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trlProps/ctrlProp6.xml" ContentType="application/vnd.ms-excel.controlproperties+xml"/>
  <Override PartName="/xl/tables/table3.xml" ContentType="application/vnd.openxmlformats-officedocument.spreadsheetml.table+xml"/>
  <Override PartName="/xl/comments7.xml" ContentType="application/vnd.openxmlformats-officedocument.spreadsheetml.comments+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tables/table4.xml" ContentType="application/vnd.openxmlformats-officedocument.spreadsheetml.table+xml"/>
  <Override PartName="/xl/comments13.xml" ContentType="application/vnd.openxmlformats-officedocument.spreadsheetml.comments+xml"/>
  <Override PartName="/xl/drawings/drawing19.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drawings/drawing25.xml" ContentType="application/vnd.openxmlformats-officedocument.drawing+xml"/>
  <Override PartName="/xl/tables/table5.xml" ContentType="application/vnd.openxmlformats-officedocument.spreadsheetml.table+xml"/>
  <Override PartName="/xl/comments20.xml" ContentType="application/vnd.openxmlformats-officedocument.spreadsheetml.comments+xml"/>
  <Override PartName="/xl/drawings/drawing2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1.xml" ContentType="application/vnd.openxmlformats-officedocument.spreadsheetml.comments+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tables/table6.xml" ContentType="application/vnd.openxmlformats-officedocument.spreadsheetml.table+xml"/>
  <Override PartName="/xl/comments23.xml" ContentType="application/vnd.openxmlformats-officedocument.spreadsheetml.comments+xml"/>
  <Override PartName="/xl/drawings/drawing2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4.xml" ContentType="application/vnd.openxmlformats-officedocument.spreadsheetml.comments+xml"/>
  <Override PartName="/xl/drawings/drawing30.xml" ContentType="application/vnd.openxmlformats-officedocument.drawing+xml"/>
  <Override PartName="/xl/comments25.xml" ContentType="application/vnd.openxmlformats-officedocument.spreadsheetml.comments+xml"/>
  <Override PartName="/xl/drawings/drawing31.xml" ContentType="application/vnd.openxmlformats-officedocument.drawing+xml"/>
  <Override PartName="/xl/tables/table7.xml" ContentType="application/vnd.openxmlformats-officedocument.spreadsheetml.table+xml"/>
  <Override PartName="/xl/comments26.xml" ContentType="application/vnd.openxmlformats-officedocument.spreadsheetml.comments+xml"/>
  <Override PartName="/xl/drawings/drawing3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27.xml" ContentType="application/vnd.openxmlformats-officedocument.spreadsheetml.comments+xml"/>
  <Override PartName="/xl/drawings/drawing33.xml" ContentType="application/vnd.openxmlformats-officedocument.drawing+xml"/>
  <Override PartName="/xl/comments28.xml" ContentType="application/vnd.openxmlformats-officedocument.spreadsheetml.comments+xml"/>
  <Override PartName="/xl/drawings/drawing34.xml" ContentType="application/vnd.openxmlformats-officedocument.drawing+xml"/>
  <Override PartName="/xl/tables/table8.xml" ContentType="application/vnd.openxmlformats-officedocument.spreadsheetml.table+xml"/>
  <Override PartName="/xl/comments29.xml" ContentType="application/vnd.openxmlformats-officedocument.spreadsheetml.comments+xml"/>
  <Override PartName="/xl/drawings/drawing3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30.xml" ContentType="application/vnd.openxmlformats-officedocument.spreadsheetml.comments+xml"/>
  <Override PartName="/xl/drawings/drawing36.xml" ContentType="application/vnd.openxmlformats-officedocument.drawing+xml"/>
  <Override PartName="/xl/comments31.xml" ContentType="application/vnd.openxmlformats-officedocument.spreadsheetml.comments+xml"/>
  <Override PartName="/xl/tables/table9.xml" ContentType="application/vnd.openxmlformats-officedocument.spreadsheetml.table+xml"/>
  <Override PartName="/xl/comments32.xml" ContentType="application/vnd.openxmlformats-officedocument.spreadsheetml.comments+xml"/>
  <Override PartName="/xl/drawings/drawing3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33.xml" ContentType="application/vnd.openxmlformats-officedocument.spreadsheetml.comments+xml"/>
  <Override PartName="/xl/drawings/drawing38.xml" ContentType="application/vnd.openxmlformats-officedocument.drawing+xml"/>
  <Override PartName="/xl/comments34.xml" ContentType="application/vnd.openxmlformats-officedocument.spreadsheetml.comments+xml"/>
  <Override PartName="/xl/tables/table10.xml" ContentType="application/vnd.openxmlformats-officedocument.spreadsheetml.table+xml"/>
  <Override PartName="/xl/comments35.xml" ContentType="application/vnd.openxmlformats-officedocument.spreadsheetml.comments+xml"/>
  <Override PartName="/xl/drawings/drawing3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36.xml" ContentType="application/vnd.openxmlformats-officedocument.spreadsheetml.comments+xml"/>
  <Override PartName="/xl/drawings/drawing40.xml" ContentType="application/vnd.openxmlformats-officedocument.drawing+xml"/>
  <Override PartName="/xl/comments37.xml" ContentType="application/vnd.openxmlformats-officedocument.spreadsheetml.comments+xml"/>
  <Override PartName="/xl/tables/table11.xml" ContentType="application/vnd.openxmlformats-officedocument.spreadsheetml.table+xml"/>
  <Override PartName="/xl/comments38.xml" ContentType="application/vnd.openxmlformats-officedocument.spreadsheetml.comments+xml"/>
  <Override PartName="/xl/drawings/drawing4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omments40.xml" ContentType="application/vnd.openxmlformats-officedocument.spreadsheetml.comments+xml"/>
  <Override PartName="/xl/tables/table12.xml" ContentType="application/vnd.openxmlformats-officedocument.spreadsheetml.table+xml"/>
  <Override PartName="/xl/comments41.xml" ContentType="application/vnd.openxmlformats-officedocument.spreadsheetml.comments+xml"/>
  <Override PartName="/xl/drawings/drawing43.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42.xml" ContentType="application/vnd.openxmlformats-officedocument.spreadsheetml.comments+xml"/>
  <Override PartName="/xl/drawings/drawing44.xml" ContentType="application/vnd.openxmlformats-officedocument.drawing+xml"/>
  <Override PartName="/xl/comments43.xml" ContentType="application/vnd.openxmlformats-officedocument.spreadsheetml.comments+xml"/>
  <Override PartName="/xl/tables/table13.xml" ContentType="application/vnd.openxmlformats-officedocument.spreadsheetml.table+xml"/>
  <Override PartName="/xl/comments44.xml" ContentType="application/vnd.openxmlformats-officedocument.spreadsheetml.comments+xml"/>
  <Override PartName="/xl/drawings/drawing45.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5.xml" ContentType="application/vnd.openxmlformats-officedocument.spreadsheetml.comments+xml"/>
  <Override PartName="/xl/drawings/drawing46.xml" ContentType="application/vnd.openxmlformats-officedocument.drawing+xml"/>
  <Override PartName="/xl/comments46.xml" ContentType="application/vnd.openxmlformats-officedocument.spreadsheetml.comments+xml"/>
  <Override PartName="/xl/tables/table14.xml" ContentType="application/vnd.openxmlformats-officedocument.spreadsheetml.table+xml"/>
  <Override PartName="/xl/comments47.xml" ContentType="application/vnd.openxmlformats-officedocument.spreadsheetml.comments+xml"/>
  <Override PartName="/xl/drawings/drawing4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48.xml" ContentType="application/vnd.openxmlformats-officedocument.spreadsheetml.comments+xml"/>
  <Override PartName="/xl/drawings/drawing48.xml" ContentType="application/vnd.openxmlformats-officedocument.drawing+xml"/>
  <Override PartName="/xl/comments49.xml" ContentType="application/vnd.openxmlformats-officedocument.spreadsheetml.comments+xml"/>
  <Override PartName="/xl/tables/table15.xml" ContentType="application/vnd.openxmlformats-officedocument.spreadsheetml.table+xml"/>
  <Override PartName="/xl/comments50.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omments51.xml" ContentType="application/vnd.openxmlformats-officedocument.spreadsheetml.comments+xml"/>
  <Override PartName="/xl/drawings/drawing50.xml" ContentType="application/vnd.openxmlformats-officedocument.drawing+xml"/>
  <Override PartName="/xl/comments52.xml" ContentType="application/vnd.openxmlformats-officedocument.spreadsheetml.comments+xml"/>
  <Override PartName="/xl/tables/table16.xml" ContentType="application/vnd.openxmlformats-officedocument.spreadsheetml.table+xml"/>
  <Override PartName="/xl/comments53.xml" ContentType="application/vnd.openxmlformats-officedocument.spreadsheetml.comments+xml"/>
  <Override PartName="/xl/drawings/drawing51.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54.xml" ContentType="application/vnd.openxmlformats-officedocument.spreadsheetml.comments+xml"/>
  <Override PartName="/xl/drawings/drawing52.xml" ContentType="application/vnd.openxmlformats-officedocument.drawing+xml"/>
  <Override PartName="/xl/comments55.xml" ContentType="application/vnd.openxmlformats-officedocument.spreadsheetml.comments+xml"/>
  <Override PartName="/xl/tables/table17.xml" ContentType="application/vnd.openxmlformats-officedocument.spreadsheetml.table+xml"/>
  <Override PartName="/xl/comments56.xml" ContentType="application/vnd.openxmlformats-officedocument.spreadsheetml.comments+xml"/>
  <Override PartName="/xl/drawings/drawing5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57.xml" ContentType="application/vnd.openxmlformats-officedocument.spreadsheetml.comments+xml"/>
  <Override PartName="/xl/drawings/drawing54.xml" ContentType="application/vnd.openxmlformats-officedocument.drawing+xml"/>
  <Override PartName="/xl/comments58.xml" ContentType="application/vnd.openxmlformats-officedocument.spreadsheetml.comments+xml"/>
  <Override PartName="/xl/tables/table18.xml" ContentType="application/vnd.openxmlformats-officedocument.spreadsheetml.table+xml"/>
  <Override PartName="/xl/comments59.xml" ContentType="application/vnd.openxmlformats-officedocument.spreadsheetml.comments+xml"/>
  <Override PartName="/xl/drawings/drawing5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60.xml" ContentType="application/vnd.openxmlformats-officedocument.spreadsheetml.comments+xml"/>
  <Override PartName="/xl/drawings/drawing56.xml" ContentType="application/vnd.openxmlformats-officedocument.drawing+xml"/>
  <Override PartName="/xl/comments61.xml" ContentType="application/vnd.openxmlformats-officedocument.spreadsheetml.comments+xml"/>
  <Override PartName="/xl/tables/table19.xml" ContentType="application/vnd.openxmlformats-officedocument.spreadsheetml.table+xml"/>
  <Override PartName="/xl/comments62.xml" ContentType="application/vnd.openxmlformats-officedocument.spreadsheetml.comments+xml"/>
  <Override PartName="/xl/drawings/drawing57.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63.xml" ContentType="application/vnd.openxmlformats-officedocument.spreadsheetml.comments+xml"/>
  <Override PartName="/xl/drawings/drawing58.xml" ContentType="application/vnd.openxmlformats-officedocument.drawing+xml"/>
  <Override PartName="/xl/comments64.xml" ContentType="application/vnd.openxmlformats-officedocument.spreadsheetml.comments+xml"/>
  <Override PartName="/xl/tables/table20.xml" ContentType="application/vnd.openxmlformats-officedocument.spreadsheetml.table+xml"/>
  <Override PartName="/xl/comments65.xml" ContentType="application/vnd.openxmlformats-officedocument.spreadsheetml.comments+xml"/>
  <Override PartName="/xl/drawings/drawing5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66.xml" ContentType="application/vnd.openxmlformats-officedocument.spreadsheetml.comments+xml"/>
  <Override PartName="/xl/drawings/drawing60.xml" ContentType="application/vnd.openxmlformats-officedocument.drawing+xml"/>
  <Override PartName="/xl/comments67.xml" ContentType="application/vnd.openxmlformats-officedocument.spreadsheetml.comments+xml"/>
  <Override PartName="/xl/tables/table21.xml" ContentType="application/vnd.openxmlformats-officedocument.spreadsheetml.table+xml"/>
  <Override PartName="/xl/comments68.xml" ContentType="application/vnd.openxmlformats-officedocument.spreadsheetml.comments+xml"/>
  <Override PartName="/xl/drawings/drawing61.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omments69.xml" ContentType="application/vnd.openxmlformats-officedocument.spreadsheetml.comments+xml"/>
  <Override PartName="/xl/drawings/drawing62.xml" ContentType="application/vnd.openxmlformats-officedocument.drawing+xml"/>
  <Override PartName="/xl/comments70.xml" ContentType="application/vnd.openxmlformats-officedocument.spreadsheetml.comments+xml"/>
  <Override PartName="/xl/tables/table22.xml" ContentType="application/vnd.openxmlformats-officedocument.spreadsheetml.table+xml"/>
  <Override PartName="/xl/comments71.xml" ContentType="application/vnd.openxmlformats-officedocument.spreadsheetml.comments+xml"/>
  <Override PartName="/xl/drawings/drawing63.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72.xml" ContentType="application/vnd.openxmlformats-officedocument.spreadsheetml.comments+xml"/>
  <Override PartName="/xl/drawings/drawing6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65.xml" ContentType="application/vnd.openxmlformats-officedocument.drawing+xml"/>
  <Override PartName="/xl/drawings/drawing6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2" codeName="{E5D1E7B1-6628-F0F0-D09B-76B25B5F3CD3}"/>
  <workbookPr codeName="ThisWorkbook"/>
  <mc:AlternateContent xmlns:mc="http://schemas.openxmlformats.org/markup-compatibility/2006">
    <mc:Choice Requires="x15">
      <x15ac:absPath xmlns:x15ac="http://schemas.microsoft.com/office/spreadsheetml/2010/11/ac" url="/Users/davework/Downloads/Spread Template/"/>
    </mc:Choice>
  </mc:AlternateContent>
  <xr:revisionPtr revIDLastSave="0" documentId="13_ncr:1_{11B190FB-E5E8-5249-A186-84BDB87F05C4}" xr6:coauthVersionLast="47" xr6:coauthVersionMax="47" xr10:uidLastSave="{00000000-0000-0000-0000-000000000000}"/>
  <bookViews>
    <workbookView xWindow="4420" yWindow="500" windowWidth="18680" windowHeight="21100" tabRatio="858" xr2:uid="{00000000-000D-0000-FFFF-FFFF00000000}"/>
  </bookViews>
  <sheets>
    <sheet name="Financial Spread" sheetId="130" r:id="rId1"/>
    <sheet name="Table of Contents" sheetId="125" r:id="rId2"/>
    <sheet name="Summary" sheetId="126" r:id="rId3"/>
    <sheet name="BDO Prequal" sheetId="127" r:id="rId4"/>
    <sheet name="Sheet2" sheetId="128" r:id="rId5"/>
    <sheet name="Wksht Print Separately" sheetId="71" state="hidden" r:id="rId6"/>
    <sheet name="UOP" sheetId="5" state="hidden" r:id="rId7"/>
    <sheet name="UOP (2)" sheetId="6" state="hidden" r:id="rId8"/>
    <sheet name="Memo Grid" sheetId="8" state="hidden" r:id="rId9"/>
    <sheet name="Memo Grid 504" sheetId="122" state="hidden" r:id="rId10"/>
    <sheet name="Coll" sheetId="10" state="hidden" r:id="rId11"/>
    <sheet name="Coll (2)" sheetId="11" state="hidden" r:id="rId12"/>
    <sheet name="Ratios" sheetId="17" state="hidden" r:id="rId13"/>
    <sheet name="Hist IS and Proj" sheetId="13" state="hidden" r:id="rId14"/>
    <sheet name="Cash Flow" sheetId="12" state="hidden" r:id="rId15"/>
    <sheet name="Debt Sch" sheetId="18" state="hidden" r:id="rId16"/>
    <sheet name="Break Even" sheetId="75" state="hidden" r:id="rId17"/>
    <sheet name="Global CF" sheetId="68" state="hidden" r:id="rId18"/>
    <sheet name="Hist BS" sheetId="14" state="hidden" r:id="rId19"/>
    <sheet name="Pro-forma" sheetId="16" state="hidden" r:id="rId20"/>
    <sheet name="WC Analysis" sheetId="73" state="hidden" r:id="rId21"/>
    <sheet name="Biz Val Internal" sheetId="80" state="hidden" r:id="rId22"/>
    <sheet name="EPC IS" sheetId="20" state="hidden" r:id="rId23"/>
    <sheet name="EPC BS" sheetId="21" state="hidden" r:id="rId24"/>
    <sheet name="EPC CF" sheetId="19" state="hidden" r:id="rId25"/>
    <sheet name="Per Need 1" sheetId="37" state="hidden" r:id="rId26"/>
    <sheet name="PFS 1" sheetId="38" state="hidden" r:id="rId27"/>
    <sheet name="Per RE 1" sheetId="39" state="hidden" r:id="rId28"/>
    <sheet name="Per Need 2" sheetId="40" state="hidden" r:id="rId29"/>
    <sheet name="PFS 2" sheetId="41" state="hidden" r:id="rId30"/>
    <sheet name="Per RE 2" sheetId="42" state="hidden" r:id="rId31"/>
    <sheet name="Per Need 3" sheetId="43" state="hidden" r:id="rId32"/>
    <sheet name="PFS 3" sheetId="44" state="hidden" r:id="rId33"/>
    <sheet name="Per RE 3" sheetId="45" state="hidden" r:id="rId34"/>
    <sheet name="Per Need 4" sheetId="46" state="hidden" r:id="rId35"/>
    <sheet name="PFS 4" sheetId="47" state="hidden" r:id="rId36"/>
    <sheet name="Per RE 4" sheetId="48" state="hidden" r:id="rId37"/>
    <sheet name="SBA Elig" sheetId="76" state="hidden" r:id="rId38"/>
    <sheet name="EPC Elig" sheetId="77" state="hidden" r:id="rId39"/>
    <sheet name="SBA Debt Refi Elig" sheetId="78" state="hidden" r:id="rId40"/>
    <sheet name="Bus Acq Elig" sheetId="79" state="hidden" r:id="rId41"/>
    <sheet name="Aff 1 IS" sheetId="23" state="hidden" r:id="rId42"/>
    <sheet name="Aff 1 BS" sheetId="24" state="hidden" r:id="rId43"/>
    <sheet name="Aff 1 CF" sheetId="22" state="hidden" r:id="rId44"/>
    <sheet name="Aff 2 IS" sheetId="26" state="hidden" r:id="rId45"/>
    <sheet name="Aff 2 BS" sheetId="27" state="hidden" r:id="rId46"/>
    <sheet name="Aff 2 CF" sheetId="25" state="hidden" r:id="rId47"/>
    <sheet name="Aff 3 IS" sheetId="29" state="hidden" r:id="rId48"/>
    <sheet name="Aff 3 BS" sheetId="30" state="hidden" r:id="rId49"/>
    <sheet name="Aff 3 CF" sheetId="28" state="hidden" r:id="rId50"/>
    <sheet name="Aff 4 IS" sheetId="32" state="hidden" r:id="rId51"/>
    <sheet name="Aff 4 BS" sheetId="33" state="hidden" r:id="rId52"/>
    <sheet name="Aff 4 CF" sheetId="31" state="hidden" r:id="rId53"/>
    <sheet name="Aff 5 IS" sheetId="35" state="hidden" r:id="rId54"/>
    <sheet name="Aff 5 BS" sheetId="36" state="hidden" r:id="rId55"/>
    <sheet name="Aff 5 CF" sheetId="34" state="hidden" r:id="rId56"/>
    <sheet name="Aff 6 IS" sheetId="81" state="hidden" r:id="rId57"/>
    <sheet name="Aff 6 BS" sheetId="82" state="hidden" r:id="rId58"/>
    <sheet name="Aff 6 CF" sheetId="83" state="hidden" r:id="rId59"/>
    <sheet name="Aff 7 IS" sheetId="84" state="hidden" r:id="rId60"/>
    <sheet name="Aff 7 BS" sheetId="86" state="hidden" r:id="rId61"/>
    <sheet name="Aff 7 CF" sheetId="85" state="hidden" r:id="rId62"/>
    <sheet name="Aff 8 IS" sheetId="87" state="hidden" r:id="rId63"/>
    <sheet name="Aff 8 BS" sheetId="89" state="hidden" r:id="rId64"/>
    <sheet name="Aff 8 CF" sheetId="88" state="hidden" r:id="rId65"/>
    <sheet name="Aff 9 IS" sheetId="90" state="hidden" r:id="rId66"/>
    <sheet name="Aff 9 BS" sheetId="92" state="hidden" r:id="rId67"/>
    <sheet name="Aff 9 CF" sheetId="91" state="hidden" r:id="rId68"/>
    <sheet name="Aff 10 IS" sheetId="93" state="hidden" r:id="rId69"/>
    <sheet name="Aff 10 BS" sheetId="95" state="hidden" r:id="rId70"/>
    <sheet name="Aff 10 CF" sheetId="94" state="hidden" r:id="rId71"/>
    <sheet name="Aff 11 IS" sheetId="96" state="hidden" r:id="rId72"/>
    <sheet name="Aff 11 BS" sheetId="97" state="hidden" r:id="rId73"/>
    <sheet name="Aff 11 CF" sheetId="98" state="hidden" r:id="rId74"/>
    <sheet name="Aff 12 IS" sheetId="99" state="hidden" r:id="rId75"/>
    <sheet name="Aff 12 BS" sheetId="100" state="hidden" r:id="rId76"/>
    <sheet name="Aff 12 CF" sheetId="101" state="hidden" r:id="rId77"/>
    <sheet name="Aff 13 IS" sheetId="102" state="hidden" r:id="rId78"/>
    <sheet name="Aff 13 BS" sheetId="103" state="hidden" r:id="rId79"/>
    <sheet name="Aff 13 CF" sheetId="104" state="hidden" r:id="rId80"/>
    <sheet name="Aff 14 IS" sheetId="105" state="hidden" r:id="rId81"/>
    <sheet name="Aff 14 BS" sheetId="106" state="hidden" r:id="rId82"/>
    <sheet name="Aff 14 CF" sheetId="107" state="hidden" r:id="rId83"/>
    <sheet name="Aff 15 IS" sheetId="108" state="hidden" r:id="rId84"/>
    <sheet name="Aff 15 BS" sheetId="109" state="hidden" r:id="rId85"/>
    <sheet name="Aff 15 CF" sheetId="110" state="hidden" r:id="rId86"/>
    <sheet name="Aff 16 IS" sheetId="111" state="hidden" r:id="rId87"/>
    <sheet name="Aff 16 BS" sheetId="112" state="hidden" r:id="rId88"/>
    <sheet name="Aff 16 CF" sheetId="113" state="hidden" r:id="rId89"/>
    <sheet name="Aff 17 IS" sheetId="114" state="hidden" r:id="rId90"/>
    <sheet name="Aff 17 BS" sheetId="115" state="hidden" r:id="rId91"/>
    <sheet name="Aff 17 CF" sheetId="116" state="hidden" r:id="rId92"/>
    <sheet name="Aff 18 IS" sheetId="117" state="hidden" r:id="rId93"/>
    <sheet name="Aff 18 BS" sheetId="118" state="hidden" r:id="rId94"/>
    <sheet name="Aff 18 CF" sheetId="119" state="hidden" r:id="rId95"/>
    <sheet name="SBA Personal Resource Test" sheetId="69" state="hidden" r:id="rId96"/>
    <sheet name="Pmt Calcs" sheetId="59" state="hidden" r:id="rId97"/>
    <sheet name="Amort Sch" sheetId="60" state="hidden" r:id="rId98"/>
    <sheet name="Amort Sch (2)" sheetId="61" state="hidden" r:id="rId99"/>
    <sheet name="Lists" sheetId="65" state="hidden" r:id="rId100"/>
    <sheet name="Version" sheetId="66" state="hidden" r:id="rId101"/>
  </sheets>
  <externalReferences>
    <externalReference r:id="rId102"/>
  </externalReferences>
  <definedNames>
    <definedName name="Beg_Bal" localSheetId="98">'Amort Sch (2)'!$C$19:$C$378</definedName>
    <definedName name="Beg_Bal" localSheetId="3">'[1]Amort Sch'!$C$19:$C$378</definedName>
    <definedName name="Beg_Bal">'Amort Sch'!$C$19:$C$378</definedName>
    <definedName name="Cum_Int" localSheetId="98">'Amort Sch (2)'!$J$19:$J$378</definedName>
    <definedName name="Cum_Int">'Amort Sch'!$J$19:$J$378</definedName>
    <definedName name="Data" localSheetId="98">'Amort Sch (2)'!$A$19:$J$378</definedName>
    <definedName name="Data">'Amort Sch'!$A$19:$J$378</definedName>
    <definedName name="DebSchInsRow" localSheetId="15">Table1[[#Totals],[Creditor]]</definedName>
    <definedName name="DisbursementType">#REF!</definedName>
    <definedName name="End_Bal" localSheetId="98">'Amort Sch (2)'!$I$19:$I$378</definedName>
    <definedName name="End_Bal" localSheetId="3">'[1]Amort Sch'!$I$19:$I$378</definedName>
    <definedName name="End_Bal">'Amort Sch'!$I$19:$I$378</definedName>
    <definedName name="EXPENSES">#REF!</definedName>
    <definedName name="Extra_Pay" localSheetId="98">'Amort Sch (2)'!$E$19:$E$378</definedName>
    <definedName name="Extra_Pay" localSheetId="3">'[1]Amort Sch'!$E$19:$E$378</definedName>
    <definedName name="Extra_Pay">'Amort Sch'!$E$19:$E$378</definedName>
    <definedName name="Full_Print" localSheetId="98">'Amort Sch (2)'!$A$2:$J$378</definedName>
    <definedName name="Full_Print" localSheetId="3">'[1]Amort Sch'!$A$2:$J$378</definedName>
    <definedName name="Full_Print">'Amort Sch'!$A$2:$J$378</definedName>
    <definedName name="Header_Row" localSheetId="98">ROW('Amort Sch (2)'!$18:$18)</definedName>
    <definedName name="Header_Row" localSheetId="3">ROW('[1]Amort Sch'!$18:$18)</definedName>
    <definedName name="Header_Row">ROW('Amort Sch'!$18:$18)</definedName>
    <definedName name="Int" localSheetId="98">'Amort Sch (2)'!$H$19:$H$378</definedName>
    <definedName name="Int" localSheetId="3">'[1]Amort Sch'!$H$19:$H$378</definedName>
    <definedName name="Int">'Amort Sch'!$H$19:$H$378</definedName>
    <definedName name="Interest_Rate" localSheetId="98">'Amort Sch (2)'!$D$7</definedName>
    <definedName name="Interest_Rate" localSheetId="3">'[1]Amort Sch'!$D$7</definedName>
    <definedName name="Interest_Rate">'Amort Sch'!$D$7</definedName>
    <definedName name="Last_Row" localSheetId="98">IF('Amort Sch (2)'!Values_Entered,'Amort Sch (2)'!Header_Row+'Amort Sch (2)'!Number_of_Payments,'Amort Sch (2)'!Header_Row)</definedName>
    <definedName name="Last_Row" localSheetId="3">IF('BDO Prequal'!Values_Entered,'BDO Prequal'!Header_Row+'BDO Prequal'!Number_of_Payments,'BDO Prequal'!Header_Row)</definedName>
    <definedName name="Last_Row" localSheetId="20">IF('WC Analysis'!Values_Entered,[0]!Header_Row+'WC Analysis'!Number_of_Payments,[0]!Header_Row)</definedName>
    <definedName name="Last_Row">IF(Values_Entered,Header_Row+Number_of_Payments,Header_Row)</definedName>
    <definedName name="Loan_Amount" localSheetId="98">'Amort Sch (2)'!$D$6</definedName>
    <definedName name="Loan_Amount" localSheetId="3">'[1]Amort Sch'!$D$6</definedName>
    <definedName name="Loan_Amount">'Amort Sch'!$D$6</definedName>
    <definedName name="Loan_Start" localSheetId="98">'Amort Sch (2)'!$D$10</definedName>
    <definedName name="Loan_Start" localSheetId="3">'[1]Amort Sch'!$D$10</definedName>
    <definedName name="Loan_Start">'Amort Sch'!$D$10</definedName>
    <definedName name="Loan_Years" localSheetId="98">'Amort Sch (2)'!$D$8</definedName>
    <definedName name="Loan_Years" localSheetId="3">'[1]Amort Sch'!$D$8</definedName>
    <definedName name="Loan_Years">'Amort Sch'!$D$8</definedName>
    <definedName name="MajorExpensesList">#REF!</definedName>
    <definedName name="Num_Pmt_Per_Year" localSheetId="98">'Amort Sch (2)'!$D$9</definedName>
    <definedName name="Num_Pmt_Per_Year" localSheetId="3">'[1]Amort Sch'!$D$9</definedName>
    <definedName name="Num_Pmt_Per_Year">'Amort Sch'!$D$9</definedName>
    <definedName name="Number_of_Payments" localSheetId="98">MATCH(0.01,'Amort Sch (2)'!End_Bal,-1)+1</definedName>
    <definedName name="Number_of_Payments" localSheetId="3">MATCH(0.01,'BDO Prequal'!End_Bal,-1)+1</definedName>
    <definedName name="Number_of_Payments" localSheetId="20">MATCH(0.01,[0]!End_Bal,-1)+1</definedName>
    <definedName name="Number_of_Payments">MATCH(0.01,End_Bal,-1)+1</definedName>
    <definedName name="Pay_Date" localSheetId="98">'Amort Sch (2)'!$B$19:$B$378</definedName>
    <definedName name="Pay_Date">'Amort Sch'!$B$19:$B$378</definedName>
    <definedName name="Pay_Num" localSheetId="98">'Amort Sch (2)'!$A$19:$A$378</definedName>
    <definedName name="Pay_Num" localSheetId="3">'[1]Amort Sch'!$A$19:$A$378</definedName>
    <definedName name="Pay_Num">'Amort Sch'!$A$19:$A$378</definedName>
    <definedName name="Payment_Date" localSheetId="43">DATE(YEAR([0]!Loan_Start),MONTH([0]!Loan_Start)+Payment_Number,DAY([0]!Loan_Start))</definedName>
    <definedName name="Payment_Date" localSheetId="69">DATE(YEAR([0]!Loan_Start),MONTH([0]!Loan_Start)+Payment_Number,DAY([0]!Loan_Start))</definedName>
    <definedName name="Payment_Date" localSheetId="70">DATE(YEAR([0]!Loan_Start),MONTH([0]!Loan_Start)+Payment_Number,DAY([0]!Loan_Start))</definedName>
    <definedName name="Payment_Date" localSheetId="68">DATE(YEAR([0]!Loan_Start),MONTH([0]!Loan_Start)+Payment_Number,DAY([0]!Loan_Start))</definedName>
    <definedName name="Payment_Date" localSheetId="72">DATE(YEAR([0]!Loan_Start),MONTH([0]!Loan_Start)+Payment_Number,DAY([0]!Loan_Start))</definedName>
    <definedName name="Payment_Date" localSheetId="73">DATE(YEAR([0]!Loan_Start),MONTH([0]!Loan_Start)+Payment_Number,DAY([0]!Loan_Start))</definedName>
    <definedName name="Payment_Date" localSheetId="71">DATE(YEAR([0]!Loan_Start),MONTH([0]!Loan_Start)+Payment_Number,DAY([0]!Loan_Start))</definedName>
    <definedName name="Payment_Date" localSheetId="75">DATE(YEAR([0]!Loan_Start),MONTH([0]!Loan_Start)+Payment_Number,DAY([0]!Loan_Start))</definedName>
    <definedName name="Payment_Date" localSheetId="76">DATE(YEAR([0]!Loan_Start),MONTH([0]!Loan_Start)+Payment_Number,DAY([0]!Loan_Start))</definedName>
    <definedName name="Payment_Date" localSheetId="74">DATE(YEAR([0]!Loan_Start),MONTH([0]!Loan_Start)+Payment_Number,DAY([0]!Loan_Start))</definedName>
    <definedName name="Payment_Date" localSheetId="78">DATE(YEAR([0]!Loan_Start),MONTH([0]!Loan_Start)+Payment_Number,DAY([0]!Loan_Start))</definedName>
    <definedName name="Payment_Date" localSheetId="79">DATE(YEAR([0]!Loan_Start),MONTH([0]!Loan_Start)+Payment_Number,DAY([0]!Loan_Start))</definedName>
    <definedName name="Payment_Date" localSheetId="77">DATE(YEAR([0]!Loan_Start),MONTH([0]!Loan_Start)+Payment_Number,DAY([0]!Loan_Start))</definedName>
    <definedName name="Payment_Date" localSheetId="81">DATE(YEAR([0]!Loan_Start),MONTH([0]!Loan_Start)+Payment_Number,DAY([0]!Loan_Start))</definedName>
    <definedName name="Payment_Date" localSheetId="82">DATE(YEAR([0]!Loan_Start),MONTH([0]!Loan_Start)+Payment_Number,DAY([0]!Loan_Start))</definedName>
    <definedName name="Payment_Date" localSheetId="80">DATE(YEAR([0]!Loan_Start),MONTH([0]!Loan_Start)+Payment_Number,DAY([0]!Loan_Start))</definedName>
    <definedName name="Payment_Date" localSheetId="84">DATE(YEAR([0]!Loan_Start),MONTH([0]!Loan_Start)+Payment_Number,DAY([0]!Loan_Start))</definedName>
    <definedName name="Payment_Date" localSheetId="85">DATE(YEAR([0]!Loan_Start),MONTH([0]!Loan_Start)+Payment_Number,DAY([0]!Loan_Start))</definedName>
    <definedName name="Payment_Date" localSheetId="83">DATE(YEAR([0]!Loan_Start),MONTH([0]!Loan_Start)+Payment_Number,DAY([0]!Loan_Start))</definedName>
    <definedName name="Payment_Date" localSheetId="87">DATE(YEAR([0]!Loan_Start),MONTH([0]!Loan_Start)+Payment_Number,DAY([0]!Loan_Start))</definedName>
    <definedName name="Payment_Date" localSheetId="88">DATE(YEAR([0]!Loan_Start),MONTH([0]!Loan_Start)+Payment_Number,DAY([0]!Loan_Start))</definedName>
    <definedName name="Payment_Date" localSheetId="86">DATE(YEAR([0]!Loan_Start),MONTH([0]!Loan_Start)+Payment_Number,DAY([0]!Loan_Start))</definedName>
    <definedName name="Payment_Date" localSheetId="90">DATE(YEAR([0]!Loan_Start),MONTH([0]!Loan_Start)+Payment_Number,DAY([0]!Loan_Start))</definedName>
    <definedName name="Payment_Date" localSheetId="91">DATE(YEAR([0]!Loan_Start),MONTH([0]!Loan_Start)+Payment_Number,DAY([0]!Loan_Start))</definedName>
    <definedName name="Payment_Date" localSheetId="89">DATE(YEAR([0]!Loan_Start),MONTH([0]!Loan_Start)+Payment_Number,DAY([0]!Loan_Start))</definedName>
    <definedName name="Payment_Date" localSheetId="93">DATE(YEAR([0]!Loan_Start),MONTH([0]!Loan_Start)+Payment_Number,DAY([0]!Loan_Start))</definedName>
    <definedName name="Payment_Date" localSheetId="94">DATE(YEAR([0]!Loan_Start),MONTH([0]!Loan_Start)+Payment_Number,DAY([0]!Loan_Start))</definedName>
    <definedName name="Payment_Date" localSheetId="92">DATE(YEAR([0]!Loan_Start),MONTH([0]!Loan_Start)+Payment_Number,DAY([0]!Loan_Start))</definedName>
    <definedName name="Payment_Date" localSheetId="46">DATE(YEAR([0]!Loan_Start),MONTH([0]!Loan_Start)+Payment_Number,DAY([0]!Loan_Start))</definedName>
    <definedName name="Payment_Date" localSheetId="49">DATE(YEAR([0]!Loan_Start),MONTH([0]!Loan_Start)+Payment_Number,DAY([0]!Loan_Start))</definedName>
    <definedName name="Payment_Date" localSheetId="52">DATE(YEAR([0]!Loan_Start),MONTH([0]!Loan_Start)+Payment_Number,DAY([0]!Loan_Start))</definedName>
    <definedName name="Payment_Date" localSheetId="55">DATE(YEAR([0]!Loan_Start),MONTH([0]!Loan_Start)+Payment_Number,DAY([0]!Loan_Start))</definedName>
    <definedName name="Payment_Date" localSheetId="57">DATE(YEAR([0]!Loan_Start),MONTH([0]!Loan_Start)+Payment_Number,DAY([0]!Loan_Start))</definedName>
    <definedName name="Payment_Date" localSheetId="58">DATE(YEAR([0]!Loan_Start),MONTH([0]!Loan_Start)+Payment_Number,DAY([0]!Loan_Start))</definedName>
    <definedName name="Payment_Date" localSheetId="56">DATE(YEAR([0]!Loan_Start),MONTH([0]!Loan_Start)+Payment_Number,DAY([0]!Loan_Start))</definedName>
    <definedName name="Payment_Date" localSheetId="60">DATE(YEAR([0]!Loan_Start),MONTH([0]!Loan_Start)+Payment_Number,DAY([0]!Loan_Start))</definedName>
    <definedName name="Payment_Date" localSheetId="61">DATE(YEAR([0]!Loan_Start),MONTH([0]!Loan_Start)+Payment_Number,DAY([0]!Loan_Start))</definedName>
    <definedName name="Payment_Date" localSheetId="59">DATE(YEAR([0]!Loan_Start),MONTH([0]!Loan_Start)+Payment_Number,DAY([0]!Loan_Start))</definedName>
    <definedName name="Payment_Date" localSheetId="63">DATE(YEAR([0]!Loan_Start),MONTH([0]!Loan_Start)+Payment_Number,DAY([0]!Loan_Start))</definedName>
    <definedName name="Payment_Date" localSheetId="64">DATE(YEAR([0]!Loan_Start),MONTH([0]!Loan_Start)+Payment_Number,DAY([0]!Loan_Start))</definedName>
    <definedName name="Payment_Date" localSheetId="62">DATE(YEAR([0]!Loan_Start),MONTH([0]!Loan_Start)+Payment_Number,DAY([0]!Loan_Start))</definedName>
    <definedName name="Payment_Date" localSheetId="66">DATE(YEAR([0]!Loan_Start),MONTH([0]!Loan_Start)+Payment_Number,DAY([0]!Loan_Start))</definedName>
    <definedName name="Payment_Date" localSheetId="67">DATE(YEAR([0]!Loan_Start),MONTH([0]!Loan_Start)+Payment_Number,DAY([0]!Loan_Start))</definedName>
    <definedName name="Payment_Date" localSheetId="65">DATE(YEAR([0]!Loan_Start),MONTH([0]!Loan_Start)+Payment_Number,DAY([0]!Loan_Start))</definedName>
    <definedName name="Payment_Date" localSheetId="98">DATE(YEAR('Amort Sch (2)'!Loan_Start),MONTH('Amort Sch (2)'!Loan_Start)+Payment_Number,DAY('Amort Sch (2)'!Loan_Start))</definedName>
    <definedName name="Payment_Date" localSheetId="3">DATE(YEAR('BDO Prequal'!Loan_Start),MONTH('BDO Prequal'!Loan_Start)+Payment_Number,DAY('BDO Prequal'!Loan_Start))</definedName>
    <definedName name="Payment_Date" localSheetId="16">DATE(YEAR([0]!Loan_Start),MONTH([0]!Loan_Start)+Payment_Number,DAY([0]!Loan_Start))</definedName>
    <definedName name="Payment_Date" localSheetId="17">DATE(YEAR([0]!Loan_Start),MONTH([0]!Loan_Start)+Payment_Number,DAY([0]!Loan_Start))</definedName>
    <definedName name="Payment_Date" localSheetId="9">DATE(YEAR([0]!Loan_Start),MONTH([0]!Loan_Start)+Payment_Number,DAY([0]!Loan_Start))</definedName>
    <definedName name="Payment_Date" localSheetId="20">DATE(YEAR([0]!Loan_Start),MONTH([0]!Loan_Start)+Payment_Number,DAY([0]!Loan_Start))</definedName>
    <definedName name="Payment_Date" localSheetId="5">DATE(YEAR([0]!Loan_Start),MONTH([0]!Loan_Start)+Payment_Number,DAY([0]!Loan_Start))</definedName>
    <definedName name="Payment_Date">DATE(YEAR(Loan_Start),MONTH(Loan_Start)+Payment_Number,DAY(Loan_Start))</definedName>
    <definedName name="Periodic_rate" localSheetId="69">Annual_interest_rate/Payments_per_year</definedName>
    <definedName name="Periodic_rate" localSheetId="70">Annual_interest_rate/Payments_per_year</definedName>
    <definedName name="Periodic_rate" localSheetId="68">Annual_interest_rate/Payments_per_year</definedName>
    <definedName name="Periodic_rate" localSheetId="72">Annual_interest_rate/Payments_per_year</definedName>
    <definedName name="Periodic_rate" localSheetId="73">Annual_interest_rate/Payments_per_year</definedName>
    <definedName name="Periodic_rate" localSheetId="71">Annual_interest_rate/Payments_per_year</definedName>
    <definedName name="Periodic_rate" localSheetId="75">Annual_interest_rate/Payments_per_year</definedName>
    <definedName name="Periodic_rate" localSheetId="76">Annual_interest_rate/Payments_per_year</definedName>
    <definedName name="Periodic_rate" localSheetId="74">Annual_interest_rate/Payments_per_year</definedName>
    <definedName name="Periodic_rate" localSheetId="78">Annual_interest_rate/Payments_per_year</definedName>
    <definedName name="Periodic_rate" localSheetId="79">Annual_interest_rate/Payments_per_year</definedName>
    <definedName name="Periodic_rate" localSheetId="77">Annual_interest_rate/Payments_per_year</definedName>
    <definedName name="Periodic_rate" localSheetId="81">Annual_interest_rate/Payments_per_year</definedName>
    <definedName name="Periodic_rate" localSheetId="82">Annual_interest_rate/Payments_per_year</definedName>
    <definedName name="Periodic_rate" localSheetId="80">Annual_interest_rate/Payments_per_year</definedName>
    <definedName name="Periodic_rate" localSheetId="84">Annual_interest_rate/Payments_per_year</definedName>
    <definedName name="Periodic_rate" localSheetId="85">Annual_interest_rate/Payments_per_year</definedName>
    <definedName name="Periodic_rate" localSheetId="83">Annual_interest_rate/Payments_per_year</definedName>
    <definedName name="Periodic_rate" localSheetId="87">Annual_interest_rate/Payments_per_year</definedName>
    <definedName name="Periodic_rate" localSheetId="88">Annual_interest_rate/Payments_per_year</definedName>
    <definedName name="Periodic_rate" localSheetId="86">Annual_interest_rate/Payments_per_year</definedName>
    <definedName name="Periodic_rate" localSheetId="90">Annual_interest_rate/Payments_per_year</definedName>
    <definedName name="Periodic_rate" localSheetId="91">Annual_interest_rate/Payments_per_year</definedName>
    <definedName name="Periodic_rate" localSheetId="89">Annual_interest_rate/Payments_per_year</definedName>
    <definedName name="Periodic_rate" localSheetId="93">Annual_interest_rate/Payments_per_year</definedName>
    <definedName name="Periodic_rate" localSheetId="94">Annual_interest_rate/Payments_per_year</definedName>
    <definedName name="Periodic_rate" localSheetId="92">Annual_interest_rate/Payments_per_year</definedName>
    <definedName name="Periodic_rate" localSheetId="57">Annual_interest_rate/Payments_per_year</definedName>
    <definedName name="Periodic_rate" localSheetId="58">Annual_interest_rate/Payments_per_year</definedName>
    <definedName name="Periodic_rate" localSheetId="56">Annual_interest_rate/Payments_per_year</definedName>
    <definedName name="Periodic_rate" localSheetId="60">Annual_interest_rate/Payments_per_year</definedName>
    <definedName name="Periodic_rate" localSheetId="61">Annual_interest_rate/Payments_per_year</definedName>
    <definedName name="Periodic_rate" localSheetId="59">Annual_interest_rate/Payments_per_year</definedName>
    <definedName name="Periodic_rate" localSheetId="63">Annual_interest_rate/Payments_per_year</definedName>
    <definedName name="Periodic_rate" localSheetId="64">Annual_interest_rate/Payments_per_year</definedName>
    <definedName name="Periodic_rate" localSheetId="62">Annual_interest_rate/Payments_per_year</definedName>
    <definedName name="Periodic_rate" localSheetId="66">Annual_interest_rate/Payments_per_year</definedName>
    <definedName name="Periodic_rate" localSheetId="67">Annual_interest_rate/Payments_per_year</definedName>
    <definedName name="Periodic_rate" localSheetId="65">Annual_interest_rate/Payments_per_year</definedName>
    <definedName name="Periodic_rate" localSheetId="3">Annual_interest_rate/Payments_per_year</definedName>
    <definedName name="Periodic_rate" localSheetId="16">Annual_interest_rate/Payments_per_year</definedName>
    <definedName name="Periodic_rate" localSheetId="9">Annual_interest_rate/Payments_per_year</definedName>
    <definedName name="Periodic_rate" localSheetId="20">Annual_interest_rate/Payments_per_year</definedName>
    <definedName name="Periodic_rate">Annual_interest_rate/Payments_per_year</definedName>
    <definedName name="Princ" localSheetId="98">'Amort Sch (2)'!$G$19:$G$378</definedName>
    <definedName name="Princ" localSheetId="3">'[1]Amort Sch'!$G$19:$G$378</definedName>
    <definedName name="Princ">'Amort Sch'!$G$19:$G$378</definedName>
    <definedName name="_xlnm.Print_Area" localSheetId="42">'Aff 1 BS'!$A$1:$J$122</definedName>
    <definedName name="_xlnm.Print_Area" localSheetId="43">'Aff 1 CF'!$A$1:$R$78</definedName>
    <definedName name="_xlnm.Print_Area" localSheetId="41">'Aff 1 IS'!$B$1:$O$126</definedName>
    <definedName name="_xlnm.Print_Area" localSheetId="69">'Aff 10 BS'!$A$1:$J$122</definedName>
    <definedName name="_xlnm.Print_Area" localSheetId="70">'Aff 10 CF'!$A$1:$R$79</definedName>
    <definedName name="_xlnm.Print_Area" localSheetId="68">'Aff 10 IS'!$B$1:$O$126</definedName>
    <definedName name="_xlnm.Print_Area" localSheetId="72">'Aff 11 BS'!$A$1:$J$122</definedName>
    <definedName name="_xlnm.Print_Area" localSheetId="73">'Aff 11 CF'!$A$1:$R$79</definedName>
    <definedName name="_xlnm.Print_Area" localSheetId="71">'Aff 11 IS'!$B$1:$O$126</definedName>
    <definedName name="_xlnm.Print_Area" localSheetId="75">'Aff 12 BS'!$A$1:$J$122</definedName>
    <definedName name="_xlnm.Print_Area" localSheetId="76">'Aff 12 CF'!$A$1:$R$79</definedName>
    <definedName name="_xlnm.Print_Area" localSheetId="74">'Aff 12 IS'!$B$1:$O$126</definedName>
    <definedName name="_xlnm.Print_Area" localSheetId="78">'Aff 13 BS'!$A$1:$J$122</definedName>
    <definedName name="_xlnm.Print_Area" localSheetId="79">'Aff 13 CF'!$A$1:$R$79</definedName>
    <definedName name="_xlnm.Print_Area" localSheetId="77">'Aff 13 IS'!$B$1:$O$126</definedName>
    <definedName name="_xlnm.Print_Area" localSheetId="81">'Aff 14 BS'!$A$1:$J$122</definedName>
    <definedName name="_xlnm.Print_Area" localSheetId="82">'Aff 14 CF'!$A$1:$R$79</definedName>
    <definedName name="_xlnm.Print_Area" localSheetId="80">'Aff 14 IS'!$B$1:$O$126</definedName>
    <definedName name="_xlnm.Print_Area" localSheetId="84">'Aff 15 BS'!$A$1:$J$122</definedName>
    <definedName name="_xlnm.Print_Area" localSheetId="85">'Aff 15 CF'!$A$1:$R$79</definedName>
    <definedName name="_xlnm.Print_Area" localSheetId="83">'Aff 15 IS'!$B$1:$O$126</definedName>
    <definedName name="_xlnm.Print_Area" localSheetId="87">'Aff 16 BS'!$A$1:$J$122</definedName>
    <definedName name="_xlnm.Print_Area" localSheetId="88">'Aff 16 CF'!$A$1:$R$79</definedName>
    <definedName name="_xlnm.Print_Area" localSheetId="86">'Aff 16 IS'!$B$1:$O$126</definedName>
    <definedName name="_xlnm.Print_Area" localSheetId="90">'Aff 17 BS'!$A$1:$J$122</definedName>
    <definedName name="_xlnm.Print_Area" localSheetId="91">'Aff 17 CF'!$A$1:$R$79</definedName>
    <definedName name="_xlnm.Print_Area" localSheetId="89">'Aff 17 IS'!$B$1:$O$126</definedName>
    <definedName name="_xlnm.Print_Area" localSheetId="93">'Aff 18 BS'!$A$1:$J$122</definedName>
    <definedName name="_xlnm.Print_Area" localSheetId="94">'Aff 18 CF'!$A$1:$R$79</definedName>
    <definedName name="_xlnm.Print_Area" localSheetId="92">'Aff 18 IS'!$B$1:$O$126</definedName>
    <definedName name="_xlnm.Print_Area" localSheetId="45">'Aff 2 BS'!$A$1:$J$122</definedName>
    <definedName name="_xlnm.Print_Area" localSheetId="46">'Aff 2 CF'!$A$1:$R$79</definedName>
    <definedName name="_xlnm.Print_Area" localSheetId="44">'Aff 2 IS'!$B$1:$O$126</definedName>
    <definedName name="_xlnm.Print_Area" localSheetId="48">'Aff 3 BS'!$A$1:$J$122</definedName>
    <definedName name="_xlnm.Print_Area" localSheetId="49">'Aff 3 CF'!$A$1:$R$79</definedName>
    <definedName name="_xlnm.Print_Area" localSheetId="47">'Aff 3 IS'!$B$1:$O$126</definedName>
    <definedName name="_xlnm.Print_Area" localSheetId="51">'Aff 4 BS'!$A$1:$J$122</definedName>
    <definedName name="_xlnm.Print_Area" localSheetId="52">'Aff 4 CF'!$A$1:$R$79</definedName>
    <definedName name="_xlnm.Print_Area" localSheetId="50">'Aff 4 IS'!$B$1:$O$126</definedName>
    <definedName name="_xlnm.Print_Area" localSheetId="54">'Aff 5 BS'!$A$1:$J$122</definedName>
    <definedName name="_xlnm.Print_Area" localSheetId="55">'Aff 5 CF'!$A$1:$R$79</definedName>
    <definedName name="_xlnm.Print_Area" localSheetId="53">'Aff 5 IS'!$B$1:$O$126</definedName>
    <definedName name="_xlnm.Print_Area" localSheetId="57">'Aff 6 BS'!$A$1:$J$122</definedName>
    <definedName name="_xlnm.Print_Area" localSheetId="58">'Aff 6 CF'!$A$1:$R$79</definedName>
    <definedName name="_xlnm.Print_Area" localSheetId="56">'Aff 6 IS'!$B$1:$O$126</definedName>
    <definedName name="_xlnm.Print_Area" localSheetId="60">'Aff 7 BS'!$A$1:$J$122</definedName>
    <definedName name="_xlnm.Print_Area" localSheetId="61">'Aff 7 CF'!$A$1:$R$79</definedName>
    <definedName name="_xlnm.Print_Area" localSheetId="59">'Aff 7 IS'!$B$1:$O$126</definedName>
    <definedName name="_xlnm.Print_Area" localSheetId="63">'Aff 8 BS'!$A$1:$J$122</definedName>
    <definedName name="_xlnm.Print_Area" localSheetId="64">'Aff 8 CF'!$A$1:$R$79</definedName>
    <definedName name="_xlnm.Print_Area" localSheetId="62">'Aff 8 IS'!$B$1:$O$126</definedName>
    <definedName name="_xlnm.Print_Area" localSheetId="66">'Aff 9 BS'!$A$1:$J$122</definedName>
    <definedName name="_xlnm.Print_Area" localSheetId="67">'Aff 9 CF'!$A$1:$R$79</definedName>
    <definedName name="_xlnm.Print_Area" localSheetId="65">'Aff 9 IS'!$B$1:$O$126</definedName>
    <definedName name="_xlnm.Print_Area" localSheetId="97">'Amort Sch'!$A$1:$J$378</definedName>
    <definedName name="_xlnm.Print_Area" localSheetId="98">'Amort Sch (2)'!$A$1:$J$378</definedName>
    <definedName name="_xlnm.Print_Area" localSheetId="21">'Biz Val Internal'!$B$2:$M$71</definedName>
    <definedName name="_xlnm.Print_Area" localSheetId="16">'Break Even'!$P$10:$U$53</definedName>
    <definedName name="_xlnm.Print_Area" localSheetId="40">'Bus Acq Elig'!$B$2:$T$137</definedName>
    <definedName name="_xlnm.Print_Area" localSheetId="14">'Cash Flow'!$A$1:$R$79</definedName>
    <definedName name="_xlnm.Print_Area" localSheetId="10">Coll!$B$2:$K$156</definedName>
    <definedName name="_xlnm.Print_Area" localSheetId="11">'Coll (2)'!$B$2:$K$134</definedName>
    <definedName name="_xlnm.Print_Area" localSheetId="15">'Debt Sch'!$B$1:$O$31</definedName>
    <definedName name="_xlnm.Print_Area" localSheetId="23">'EPC BS'!$A$1:$J$122</definedName>
    <definedName name="_xlnm.Print_Area" localSheetId="24">'EPC CF'!$A$1:$O$87</definedName>
    <definedName name="_xlnm.Print_Area" localSheetId="38">'EPC Elig'!$B$2:$T$89</definedName>
    <definedName name="_xlnm.Print_Area" localSheetId="22">'EPC IS'!$B$1:$O$126</definedName>
    <definedName name="_xlnm.Print_Area" localSheetId="17">'Global CF'!$A$1:$R$82</definedName>
    <definedName name="_xlnm.Print_Area" localSheetId="18">'Hist BS'!$A$1:$J$122</definedName>
    <definedName name="_xlnm.Print_Area" localSheetId="13">'Hist IS and Proj'!$B$1:$O$126,'Hist IS and Proj'!$R$1:$AD$126</definedName>
    <definedName name="_xlnm.Print_Area" localSheetId="8">'Memo Grid'!$C$3:$O$73</definedName>
    <definedName name="_xlnm.Print_Area" localSheetId="9">'Memo Grid 504'!$C$3:$O$251</definedName>
    <definedName name="_xlnm.Print_Area" localSheetId="25">'Per Need 1'!$A$1:$K$67</definedName>
    <definedName name="_xlnm.Print_Area" localSheetId="28">'Per Need 2'!$A$1:$K$67</definedName>
    <definedName name="_xlnm.Print_Area" localSheetId="31">'Per Need 3'!$A$1:$K$67</definedName>
    <definedName name="_xlnm.Print_Area" localSheetId="34">'Per Need 4'!$A$1:$K$67</definedName>
    <definedName name="_xlnm.Print_Area" localSheetId="26">'PFS 1'!$A$1:$G$54</definedName>
    <definedName name="_xlnm.Print_Area" localSheetId="29">'PFS 2'!$A$1:$G$54</definedName>
    <definedName name="_xlnm.Print_Area" localSheetId="32">'PFS 3'!$A$1:$G$54</definedName>
    <definedName name="_xlnm.Print_Area" localSheetId="35">'PFS 4'!$A$1:$G$54</definedName>
    <definedName name="_xlnm.Print_Area" localSheetId="19">'Pro-forma'!$A$1:$J$96</definedName>
    <definedName name="_xlnm.Print_Area" localSheetId="12">Ratios!$B$2:$U$73</definedName>
    <definedName name="_xlnm.Print_Area" localSheetId="39">'SBA Debt Refi Elig'!$B$2:$T$53</definedName>
    <definedName name="_xlnm.Print_Area" localSheetId="37">'SBA Elig'!$B$2:$T$159</definedName>
    <definedName name="_xlnm.Print_Area" localSheetId="2">Summary!$B$39:$G$93</definedName>
    <definedName name="_xlnm.Print_Area" localSheetId="6">UOP!$B$1:$K$126</definedName>
    <definedName name="_xlnm.Print_Area" localSheetId="7">'UOP (2)'!$B$1:$K$126</definedName>
    <definedName name="_xlnm.Print_Area" localSheetId="20">'WC Analysis'!$A$1:$M$66</definedName>
    <definedName name="_xlnm.Print_Area" localSheetId="5">'Wksht Print Separately'!$B$2:$I$292</definedName>
    <definedName name="Print_Area_Reset" localSheetId="98">OFFSET('Amort Sch (2)'!Full_Print,0,0,'Amort Sch (2)'!Last_Row)</definedName>
    <definedName name="Print_Area_Reset" localSheetId="3">OFFSET('BDO Prequal'!Full_Print,0,0,'BDO Prequal'!Last_Row)</definedName>
    <definedName name="Print_Area_Reset" localSheetId="20">OFFSET([0]!Full_Print,0,0,'WC Analysis'!Last_Row)</definedName>
    <definedName name="Print_Area_Reset">OFFSET(Full_Print,0,0,Last_Row)</definedName>
    <definedName name="_xlnm.Print_Titles" localSheetId="97">'Amort Sch'!$15:$18</definedName>
    <definedName name="_xlnm.Print_Titles" localSheetId="98">'Amort Sch (2)'!$15:$18</definedName>
    <definedName name="Sched_Pay" localSheetId="98">'Amort Sch (2)'!$D$19:$D$378</definedName>
    <definedName name="Sched_Pay" localSheetId="3">'[1]Amort Sch'!$D$19:$D$378</definedName>
    <definedName name="Sched_Pay">'Amort Sch'!$D$19:$D$378</definedName>
    <definedName name="Scheduled_Extra_Payments" localSheetId="98">'Amort Sch (2)'!$D$11</definedName>
    <definedName name="Scheduled_Extra_Payments" localSheetId="3">'[1]Amort Sch'!$D$11</definedName>
    <definedName name="Scheduled_Extra_Payments">'Amort Sch'!$D$11</definedName>
    <definedName name="Scheduled_Interest_Rate" localSheetId="98">'Amort Sch (2)'!$D$7</definedName>
    <definedName name="Scheduled_Interest_Rate">'Amort Sch'!$D$7</definedName>
    <definedName name="Scheduled_Monthly_Payment" localSheetId="98">'Amort Sch (2)'!$H$6</definedName>
    <definedName name="Scheduled_Monthly_Payment" localSheetId="3">'[1]Amort Sch'!$H$6</definedName>
    <definedName name="Scheduled_Monthly_Payment">'Amort Sch'!$H$6</definedName>
    <definedName name="solver_adj" localSheetId="3" hidden="1">'BDO Prequal'!$C$64</definedName>
    <definedName name="solver_adj" localSheetId="6" hidden="1">UOP!$D$17</definedName>
    <definedName name="solver_cvg" localSheetId="3" hidden="1">0.0001</definedName>
    <definedName name="solver_drv" localSheetId="3" hidden="1">1</definedName>
    <definedName name="solver_eng" localSheetId="3" hidden="1">1</definedName>
    <definedName name="solver_eng" localSheetId="6" hidden="1">1</definedName>
    <definedName name="solver_est" localSheetId="3" hidden="1">1</definedName>
    <definedName name="solver_itr" localSheetId="3" hidden="1">2147483647</definedName>
    <definedName name="solver_lhs1" localSheetId="3" hidden="1">'BDO Prequal'!$C$65</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eg" localSheetId="6" hidden="1">1</definedName>
    <definedName name="solver_nod" localSheetId="3" hidden="1">2147483647</definedName>
    <definedName name="solver_num" localSheetId="3" hidden="1">1</definedName>
    <definedName name="solver_num" localSheetId="6" hidden="1">0</definedName>
    <definedName name="solver_nwt" localSheetId="3" hidden="1">1</definedName>
    <definedName name="solver_opt" localSheetId="3" hidden="1">'BDO Prequal'!$D$64</definedName>
    <definedName name="solver_opt" localSheetId="6" hidden="1">UOP!$E$17</definedName>
    <definedName name="solver_pre" localSheetId="3" hidden="1">0.000001</definedName>
    <definedName name="solver_rbv" localSheetId="3" hidden="1">1</definedName>
    <definedName name="solver_rel1" localSheetId="3" hidden="1">1</definedName>
    <definedName name="solver_rhs1" localSheetId="3" hidden="1">5000000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2</definedName>
    <definedName name="solver_typ" localSheetId="6" hidden="1">2</definedName>
    <definedName name="solver_val" localSheetId="3" hidden="1">0</definedName>
    <definedName name="solver_val" localSheetId="6" hidden="1">0</definedName>
    <definedName name="solver_ver" localSheetId="3" hidden="1">3</definedName>
    <definedName name="solver_ver" localSheetId="6" hidden="1">3</definedName>
    <definedName name="Total_Interest" localSheetId="98">'Amort Sch (2)'!$H$10</definedName>
    <definedName name="Total_Interest">'Amort Sch'!$H$10</definedName>
    <definedName name="Total_Pay" localSheetId="98">'Amort Sch (2)'!$F$19:$F$378</definedName>
    <definedName name="Total_Pay" localSheetId="3">'[1]Amort Sch'!$F$19:$F$378</definedName>
    <definedName name="Total_Pay">'Amort Sch'!$F$19:$F$378</definedName>
    <definedName name="Total_Payment" localSheetId="43">Scheduled_Payment+Extra_Payment</definedName>
    <definedName name="Total_Payment" localSheetId="69">Scheduled_Payment+Extra_Payment</definedName>
    <definedName name="Total_Payment" localSheetId="70">Scheduled_Payment+Extra_Payment</definedName>
    <definedName name="Total_Payment" localSheetId="68">Scheduled_Payment+Extra_Payment</definedName>
    <definedName name="Total_Payment" localSheetId="72">Scheduled_Payment+Extra_Payment</definedName>
    <definedName name="Total_Payment" localSheetId="73">Scheduled_Payment+Extra_Payment</definedName>
    <definedName name="Total_Payment" localSheetId="71">Scheduled_Payment+Extra_Payment</definedName>
    <definedName name="Total_Payment" localSheetId="75">Scheduled_Payment+Extra_Payment</definedName>
    <definedName name="Total_Payment" localSheetId="76">Scheduled_Payment+Extra_Payment</definedName>
    <definedName name="Total_Payment" localSheetId="74">Scheduled_Payment+Extra_Payment</definedName>
    <definedName name="Total_Payment" localSheetId="78">Scheduled_Payment+Extra_Payment</definedName>
    <definedName name="Total_Payment" localSheetId="79">Scheduled_Payment+Extra_Payment</definedName>
    <definedName name="Total_Payment" localSheetId="77">Scheduled_Payment+Extra_Payment</definedName>
    <definedName name="Total_Payment" localSheetId="81">Scheduled_Payment+Extra_Payment</definedName>
    <definedName name="Total_Payment" localSheetId="82">Scheduled_Payment+Extra_Payment</definedName>
    <definedName name="Total_Payment" localSheetId="80">Scheduled_Payment+Extra_Payment</definedName>
    <definedName name="Total_Payment" localSheetId="84">Scheduled_Payment+Extra_Payment</definedName>
    <definedName name="Total_Payment" localSheetId="85">Scheduled_Payment+Extra_Payment</definedName>
    <definedName name="Total_Payment" localSheetId="83">Scheduled_Payment+Extra_Payment</definedName>
    <definedName name="Total_Payment" localSheetId="87">Scheduled_Payment+Extra_Payment</definedName>
    <definedName name="Total_Payment" localSheetId="88">Scheduled_Payment+Extra_Payment</definedName>
    <definedName name="Total_Payment" localSheetId="86">Scheduled_Payment+Extra_Payment</definedName>
    <definedName name="Total_Payment" localSheetId="90">Scheduled_Payment+Extra_Payment</definedName>
    <definedName name="Total_Payment" localSheetId="91">Scheduled_Payment+Extra_Payment</definedName>
    <definedName name="Total_Payment" localSheetId="89">Scheduled_Payment+Extra_Payment</definedName>
    <definedName name="Total_Payment" localSheetId="93">Scheduled_Payment+Extra_Payment</definedName>
    <definedName name="Total_Payment" localSheetId="94">Scheduled_Payment+Extra_Payment</definedName>
    <definedName name="Total_Payment" localSheetId="92">Scheduled_Payment+Extra_Payment</definedName>
    <definedName name="Total_Payment" localSheetId="46">Scheduled_Payment+Extra_Payment</definedName>
    <definedName name="Total_Payment" localSheetId="49">Scheduled_Payment+Extra_Payment</definedName>
    <definedName name="Total_Payment" localSheetId="52">Scheduled_Payment+Extra_Payment</definedName>
    <definedName name="Total_Payment" localSheetId="55">Scheduled_Payment+Extra_Payment</definedName>
    <definedName name="Total_Payment" localSheetId="57">Scheduled_Payment+Extra_Payment</definedName>
    <definedName name="Total_Payment" localSheetId="58">Scheduled_Payment+Extra_Payment</definedName>
    <definedName name="Total_Payment" localSheetId="56">Scheduled_Payment+Extra_Payment</definedName>
    <definedName name="Total_Payment" localSheetId="60">Scheduled_Payment+Extra_Payment</definedName>
    <definedName name="Total_Payment" localSheetId="61">Scheduled_Payment+Extra_Payment</definedName>
    <definedName name="Total_Payment" localSheetId="59">Scheduled_Payment+Extra_Payment</definedName>
    <definedName name="Total_Payment" localSheetId="63">Scheduled_Payment+Extra_Payment</definedName>
    <definedName name="Total_Payment" localSheetId="64">Scheduled_Payment+Extra_Payment</definedName>
    <definedName name="Total_Payment" localSheetId="62">Scheduled_Payment+Extra_Payment</definedName>
    <definedName name="Total_Payment" localSheetId="66">Scheduled_Payment+Extra_Payment</definedName>
    <definedName name="Total_Payment" localSheetId="67">Scheduled_Payment+Extra_Payment</definedName>
    <definedName name="Total_Payment" localSheetId="65">Scheduled_Payment+Extra_Payment</definedName>
    <definedName name="Total_Payment" localSheetId="98">Scheduled_Payment+Extra_Payment</definedName>
    <definedName name="Total_Payment" localSheetId="3">Scheduled_Payment+Extra_Payment</definedName>
    <definedName name="Total_Payment" localSheetId="16">Scheduled_Payment+Extra_Payment</definedName>
    <definedName name="Total_Payment" localSheetId="17">Scheduled_Payment+Extra_Payment</definedName>
    <definedName name="Total_Payment" localSheetId="9">Scheduled_Payment+Extra_Payment</definedName>
    <definedName name="Total_Payment" localSheetId="20">Scheduled_Payment+Extra_Payment</definedName>
    <definedName name="Total_Payment" localSheetId="5">Scheduled_Payment+Extra_Payment</definedName>
    <definedName name="Total_Payment">Scheduled_Payment+Extra_Payment</definedName>
    <definedName name="Total_payments" localSheetId="69">Payments_per_year*Term_in_years</definedName>
    <definedName name="Total_payments" localSheetId="70">Payments_per_year*Term_in_years</definedName>
    <definedName name="Total_payments" localSheetId="68">Payments_per_year*Term_in_years</definedName>
    <definedName name="Total_payments" localSheetId="72">Payments_per_year*Term_in_years</definedName>
    <definedName name="Total_payments" localSheetId="73">Payments_per_year*Term_in_years</definedName>
    <definedName name="Total_payments" localSheetId="71">Payments_per_year*Term_in_years</definedName>
    <definedName name="Total_payments" localSheetId="75">Payments_per_year*Term_in_years</definedName>
    <definedName name="Total_payments" localSheetId="76">Payments_per_year*Term_in_years</definedName>
    <definedName name="Total_payments" localSheetId="74">Payments_per_year*Term_in_years</definedName>
    <definedName name="Total_payments" localSheetId="78">Payments_per_year*Term_in_years</definedName>
    <definedName name="Total_payments" localSheetId="79">Payments_per_year*Term_in_years</definedName>
    <definedName name="Total_payments" localSheetId="77">Payments_per_year*Term_in_years</definedName>
    <definedName name="Total_payments" localSheetId="81">Payments_per_year*Term_in_years</definedName>
    <definedName name="Total_payments" localSheetId="82">Payments_per_year*Term_in_years</definedName>
    <definedName name="Total_payments" localSheetId="80">Payments_per_year*Term_in_years</definedName>
    <definedName name="Total_payments" localSheetId="84">Payments_per_year*Term_in_years</definedName>
    <definedName name="Total_payments" localSheetId="85">Payments_per_year*Term_in_years</definedName>
    <definedName name="Total_payments" localSheetId="83">Payments_per_year*Term_in_years</definedName>
    <definedName name="Total_payments" localSheetId="87">Payments_per_year*Term_in_years</definedName>
    <definedName name="Total_payments" localSheetId="88">Payments_per_year*Term_in_years</definedName>
    <definedName name="Total_payments" localSheetId="86">Payments_per_year*Term_in_years</definedName>
    <definedName name="Total_payments" localSheetId="90">Payments_per_year*Term_in_years</definedName>
    <definedName name="Total_payments" localSheetId="91">Payments_per_year*Term_in_years</definedName>
    <definedName name="Total_payments" localSheetId="89">Payments_per_year*Term_in_years</definedName>
    <definedName name="Total_payments" localSheetId="93">Payments_per_year*Term_in_years</definedName>
    <definedName name="Total_payments" localSheetId="94">Payments_per_year*Term_in_years</definedName>
    <definedName name="Total_payments" localSheetId="92">Payments_per_year*Term_in_years</definedName>
    <definedName name="Total_payments" localSheetId="57">Payments_per_year*Term_in_years</definedName>
    <definedName name="Total_payments" localSheetId="58">Payments_per_year*Term_in_years</definedName>
    <definedName name="Total_payments" localSheetId="56">Payments_per_year*Term_in_years</definedName>
    <definedName name="Total_payments" localSheetId="60">Payments_per_year*Term_in_years</definedName>
    <definedName name="Total_payments" localSheetId="61">Payments_per_year*Term_in_years</definedName>
    <definedName name="Total_payments" localSheetId="59">Payments_per_year*Term_in_years</definedName>
    <definedName name="Total_payments" localSheetId="63">Payments_per_year*Term_in_years</definedName>
    <definedName name="Total_payments" localSheetId="64">Payments_per_year*Term_in_years</definedName>
    <definedName name="Total_payments" localSheetId="62">Payments_per_year*Term_in_years</definedName>
    <definedName name="Total_payments" localSheetId="66">Payments_per_year*Term_in_years</definedName>
    <definedName name="Total_payments" localSheetId="67">Payments_per_year*Term_in_years</definedName>
    <definedName name="Total_payments" localSheetId="65">Payments_per_year*Term_in_years</definedName>
    <definedName name="Total_payments" localSheetId="3">Payments_per_year*Term_in_years</definedName>
    <definedName name="Total_payments" localSheetId="16">Payments_per_year*Term_in_years</definedName>
    <definedName name="Total_payments" localSheetId="9">Payments_per_year*Term_in_years</definedName>
    <definedName name="Total_payments" localSheetId="20">Payments_per_year*Term_in_years</definedName>
    <definedName name="Total_payments">Payments_per_year*Term_in_years</definedName>
    <definedName name="Values_Entered" localSheetId="98">IF('Amort Sch (2)'!Loan_Amount*'Amort Sch (2)'!Interest_Rate*'Amort Sch (2)'!Loan_Years*'Amort Sch (2)'!Loan_Start&gt;0,1,0)</definedName>
    <definedName name="Values_Entered" localSheetId="3">IF('BDO Prequal'!Loan_Amount*'BDO Prequal'!Interest_Rate*'BDO Prequal'!Loan_Years*'BDO Prequal'!Loan_Start&gt;0,1,0)</definedName>
    <definedName name="Values_Entered" localSheetId="20">#N/A</definedName>
    <definedName name="Values_Entered">IF(Loan_Amount*Interest_Rate*Loan_Years*Loan_Start&gt;0,1,0)</definedName>
    <definedName name="Z_21407958_824A_48F0_8320_3FDCF576453F_.wvu.PrintArea" localSheetId="11" hidden="1">'Coll (2)'!$B$2:$K$134</definedName>
    <definedName name="Z_21407958_824A_48F0_8320_3FDCF576453F_.wvu.PrintArea" localSheetId="7" hidden="1">'UOP (2)'!$B$1:$K$126</definedName>
    <definedName name="Z_2C0AC598_6B0E_4A21_9240_7FB33779877A_.wvu.PrintArea" localSheetId="43" hidden="1">'Aff 1 CF'!$A$1:$R$118</definedName>
    <definedName name="Z_2C0AC598_6B0E_4A21_9240_7FB33779877A_.wvu.PrintArea" localSheetId="70" hidden="1">'Aff 10 CF'!$A$1:$R$118</definedName>
    <definedName name="Z_2C0AC598_6B0E_4A21_9240_7FB33779877A_.wvu.PrintArea" localSheetId="73" hidden="1">'Aff 11 CF'!$A$1:$R$118</definedName>
    <definedName name="Z_2C0AC598_6B0E_4A21_9240_7FB33779877A_.wvu.PrintArea" localSheetId="76" hidden="1">'Aff 12 CF'!$A$1:$R$118</definedName>
    <definedName name="Z_2C0AC598_6B0E_4A21_9240_7FB33779877A_.wvu.PrintArea" localSheetId="79" hidden="1">'Aff 13 CF'!$A$1:$R$118</definedName>
    <definedName name="Z_2C0AC598_6B0E_4A21_9240_7FB33779877A_.wvu.PrintArea" localSheetId="82" hidden="1">'Aff 14 CF'!$A$1:$R$118</definedName>
    <definedName name="Z_2C0AC598_6B0E_4A21_9240_7FB33779877A_.wvu.PrintArea" localSheetId="85" hidden="1">'Aff 15 CF'!$A$1:$R$118</definedName>
    <definedName name="Z_2C0AC598_6B0E_4A21_9240_7FB33779877A_.wvu.PrintArea" localSheetId="88" hidden="1">'Aff 16 CF'!$A$1:$R$118</definedName>
    <definedName name="Z_2C0AC598_6B0E_4A21_9240_7FB33779877A_.wvu.PrintArea" localSheetId="91" hidden="1">'Aff 17 CF'!$A$1:$R$118</definedName>
    <definedName name="Z_2C0AC598_6B0E_4A21_9240_7FB33779877A_.wvu.PrintArea" localSheetId="94" hidden="1">'Aff 18 CF'!$A$1:$R$118</definedName>
    <definedName name="Z_2C0AC598_6B0E_4A21_9240_7FB33779877A_.wvu.PrintArea" localSheetId="46" hidden="1">'Aff 2 CF'!$A$1:$R$118</definedName>
    <definedName name="Z_2C0AC598_6B0E_4A21_9240_7FB33779877A_.wvu.PrintArea" localSheetId="49" hidden="1">'Aff 3 CF'!$A$1:$R$118</definedName>
    <definedName name="Z_2C0AC598_6B0E_4A21_9240_7FB33779877A_.wvu.PrintArea" localSheetId="52" hidden="1">'Aff 4 CF'!$A$1:$R$118</definedName>
    <definedName name="Z_2C0AC598_6B0E_4A21_9240_7FB33779877A_.wvu.PrintArea" localSheetId="55" hidden="1">'Aff 5 CF'!$A$1:$R$118</definedName>
    <definedName name="Z_2C0AC598_6B0E_4A21_9240_7FB33779877A_.wvu.PrintArea" localSheetId="58" hidden="1">'Aff 6 CF'!$A$1:$R$118</definedName>
    <definedName name="Z_2C0AC598_6B0E_4A21_9240_7FB33779877A_.wvu.PrintArea" localSheetId="61" hidden="1">'Aff 7 CF'!$A$1:$R$118</definedName>
    <definedName name="Z_2C0AC598_6B0E_4A21_9240_7FB33779877A_.wvu.PrintArea" localSheetId="64" hidden="1">'Aff 8 CF'!$A$1:$R$118</definedName>
    <definedName name="Z_2C0AC598_6B0E_4A21_9240_7FB33779877A_.wvu.PrintArea" localSheetId="67" hidden="1">'Aff 9 CF'!$A$1:$R$118</definedName>
    <definedName name="Z_2C0AC598_6B0E_4A21_9240_7FB33779877A_.wvu.Rows" localSheetId="43" hidden="1">'Aff 1 CF'!$37:$38,'Aff 1 CF'!$43:$44,'Aff 1 CF'!$49:$50</definedName>
    <definedName name="Z_2C0AC598_6B0E_4A21_9240_7FB33779877A_.wvu.Rows" localSheetId="70" hidden="1">'Aff 10 CF'!$37:$38,'Aff 10 CF'!$43:$44,'Aff 10 CF'!$49:$50</definedName>
    <definedName name="Z_2C0AC598_6B0E_4A21_9240_7FB33779877A_.wvu.Rows" localSheetId="73" hidden="1">'Aff 11 CF'!$37:$38,'Aff 11 CF'!$43:$44,'Aff 11 CF'!$49:$50</definedName>
    <definedName name="Z_2C0AC598_6B0E_4A21_9240_7FB33779877A_.wvu.Rows" localSheetId="76" hidden="1">'Aff 12 CF'!$37:$38,'Aff 12 CF'!$43:$44,'Aff 12 CF'!$49:$50</definedName>
    <definedName name="Z_2C0AC598_6B0E_4A21_9240_7FB33779877A_.wvu.Rows" localSheetId="79" hidden="1">'Aff 13 CF'!$37:$38,'Aff 13 CF'!$43:$44,'Aff 13 CF'!$49:$50</definedName>
    <definedName name="Z_2C0AC598_6B0E_4A21_9240_7FB33779877A_.wvu.Rows" localSheetId="82" hidden="1">'Aff 14 CF'!$37:$38,'Aff 14 CF'!$43:$44,'Aff 14 CF'!$49:$50</definedName>
    <definedName name="Z_2C0AC598_6B0E_4A21_9240_7FB33779877A_.wvu.Rows" localSheetId="85" hidden="1">'Aff 15 CF'!$37:$38,'Aff 15 CF'!$43:$44,'Aff 15 CF'!$49:$50</definedName>
    <definedName name="Z_2C0AC598_6B0E_4A21_9240_7FB33779877A_.wvu.Rows" localSheetId="88" hidden="1">'Aff 16 CF'!$37:$38,'Aff 16 CF'!$43:$44,'Aff 16 CF'!$49:$50</definedName>
    <definedName name="Z_2C0AC598_6B0E_4A21_9240_7FB33779877A_.wvu.Rows" localSheetId="91" hidden="1">'Aff 17 CF'!$37:$38,'Aff 17 CF'!$43:$44,'Aff 17 CF'!$49:$50</definedName>
    <definedName name="Z_2C0AC598_6B0E_4A21_9240_7FB33779877A_.wvu.Rows" localSheetId="94" hidden="1">'Aff 18 CF'!$37:$38,'Aff 18 CF'!$43:$44,'Aff 18 CF'!$49:$50</definedName>
    <definedName name="Z_2C0AC598_6B0E_4A21_9240_7FB33779877A_.wvu.Rows" localSheetId="46" hidden="1">'Aff 2 CF'!$37:$38,'Aff 2 CF'!$43:$44,'Aff 2 CF'!$49:$50</definedName>
    <definedName name="Z_2C0AC598_6B0E_4A21_9240_7FB33779877A_.wvu.Rows" localSheetId="49" hidden="1">'Aff 3 CF'!$37:$38,'Aff 3 CF'!$43:$44,'Aff 3 CF'!$49:$50</definedName>
    <definedName name="Z_2C0AC598_6B0E_4A21_9240_7FB33779877A_.wvu.Rows" localSheetId="52" hidden="1">'Aff 4 CF'!$37:$38,'Aff 4 CF'!$43:$44,'Aff 4 CF'!$49:$50</definedName>
    <definedName name="Z_2C0AC598_6B0E_4A21_9240_7FB33779877A_.wvu.Rows" localSheetId="55" hidden="1">'Aff 5 CF'!$37:$38,'Aff 5 CF'!$43:$44,'Aff 5 CF'!$49:$50</definedName>
    <definedName name="Z_2C0AC598_6B0E_4A21_9240_7FB33779877A_.wvu.Rows" localSheetId="58" hidden="1">'Aff 6 CF'!$37:$38,'Aff 6 CF'!$43:$44,'Aff 6 CF'!$49:$50</definedName>
    <definedName name="Z_2C0AC598_6B0E_4A21_9240_7FB33779877A_.wvu.Rows" localSheetId="61" hidden="1">'Aff 7 CF'!$37:$38,'Aff 7 CF'!$43:$44,'Aff 7 CF'!$49:$50</definedName>
    <definedName name="Z_2C0AC598_6B0E_4A21_9240_7FB33779877A_.wvu.Rows" localSheetId="64" hidden="1">'Aff 8 CF'!$37:$38,'Aff 8 CF'!$43:$44,'Aff 8 CF'!$49:$50</definedName>
    <definedName name="Z_2C0AC598_6B0E_4A21_9240_7FB33779877A_.wvu.Rows" localSheetId="67" hidden="1">'Aff 9 CF'!$37:$38,'Aff 9 CF'!$43:$44,'Aff 9 CF'!$49:$50</definedName>
    <definedName name="Z_3AE1A25B_EF83_4399_B62D_4FC4D26924F8_.wvu.PrintArea" localSheetId="43" hidden="1">'Aff 1 CF'!$A$1:$R$118</definedName>
    <definedName name="Z_3AE1A25B_EF83_4399_B62D_4FC4D26924F8_.wvu.PrintArea" localSheetId="70" hidden="1">'Aff 10 CF'!$A$1:$R$118</definedName>
    <definedName name="Z_3AE1A25B_EF83_4399_B62D_4FC4D26924F8_.wvu.PrintArea" localSheetId="73" hidden="1">'Aff 11 CF'!$A$1:$R$118</definedName>
    <definedName name="Z_3AE1A25B_EF83_4399_B62D_4FC4D26924F8_.wvu.PrintArea" localSheetId="76" hidden="1">'Aff 12 CF'!$A$1:$R$118</definedName>
    <definedName name="Z_3AE1A25B_EF83_4399_B62D_4FC4D26924F8_.wvu.PrintArea" localSheetId="79" hidden="1">'Aff 13 CF'!$A$1:$R$118</definedName>
    <definedName name="Z_3AE1A25B_EF83_4399_B62D_4FC4D26924F8_.wvu.PrintArea" localSheetId="82" hidden="1">'Aff 14 CF'!$A$1:$R$118</definedName>
    <definedName name="Z_3AE1A25B_EF83_4399_B62D_4FC4D26924F8_.wvu.PrintArea" localSheetId="85" hidden="1">'Aff 15 CF'!$A$1:$R$118</definedName>
    <definedName name="Z_3AE1A25B_EF83_4399_B62D_4FC4D26924F8_.wvu.PrintArea" localSheetId="88" hidden="1">'Aff 16 CF'!$A$1:$R$118</definedName>
    <definedName name="Z_3AE1A25B_EF83_4399_B62D_4FC4D26924F8_.wvu.PrintArea" localSheetId="91" hidden="1">'Aff 17 CF'!$A$1:$R$118</definedName>
    <definedName name="Z_3AE1A25B_EF83_4399_B62D_4FC4D26924F8_.wvu.PrintArea" localSheetId="94" hidden="1">'Aff 18 CF'!$A$1:$R$118</definedName>
    <definedName name="Z_3AE1A25B_EF83_4399_B62D_4FC4D26924F8_.wvu.PrintArea" localSheetId="46" hidden="1">'Aff 2 CF'!$A$1:$R$118</definedName>
    <definedName name="Z_3AE1A25B_EF83_4399_B62D_4FC4D26924F8_.wvu.PrintArea" localSheetId="49" hidden="1">'Aff 3 CF'!$A$1:$R$118</definedName>
    <definedName name="Z_3AE1A25B_EF83_4399_B62D_4FC4D26924F8_.wvu.PrintArea" localSheetId="52" hidden="1">'Aff 4 CF'!$A$1:$R$118</definedName>
    <definedName name="Z_3AE1A25B_EF83_4399_B62D_4FC4D26924F8_.wvu.PrintArea" localSheetId="55" hidden="1">'Aff 5 CF'!$A$1:$R$118</definedName>
    <definedName name="Z_3AE1A25B_EF83_4399_B62D_4FC4D26924F8_.wvu.PrintArea" localSheetId="58" hidden="1">'Aff 6 CF'!$A$1:$R$118</definedName>
    <definedName name="Z_3AE1A25B_EF83_4399_B62D_4FC4D26924F8_.wvu.PrintArea" localSheetId="61" hidden="1">'Aff 7 CF'!$A$1:$R$118</definedName>
    <definedName name="Z_3AE1A25B_EF83_4399_B62D_4FC4D26924F8_.wvu.PrintArea" localSheetId="64" hidden="1">'Aff 8 CF'!$A$1:$R$118</definedName>
    <definedName name="Z_3AE1A25B_EF83_4399_B62D_4FC4D26924F8_.wvu.PrintArea" localSheetId="67" hidden="1">'Aff 9 CF'!$A$1:$R$118</definedName>
    <definedName name="Z_3AE1A25B_EF83_4399_B62D_4FC4D26924F8_.wvu.Rows" localSheetId="43" hidden="1">'Aff 1 CF'!$37:$38,'Aff 1 CF'!$43:$44,'Aff 1 CF'!$49:$50</definedName>
    <definedName name="Z_3AE1A25B_EF83_4399_B62D_4FC4D26924F8_.wvu.Rows" localSheetId="70" hidden="1">'Aff 10 CF'!$37:$38,'Aff 10 CF'!$43:$44,'Aff 10 CF'!$49:$50</definedName>
    <definedName name="Z_3AE1A25B_EF83_4399_B62D_4FC4D26924F8_.wvu.Rows" localSheetId="73" hidden="1">'Aff 11 CF'!$37:$38,'Aff 11 CF'!$43:$44,'Aff 11 CF'!$49:$50</definedName>
    <definedName name="Z_3AE1A25B_EF83_4399_B62D_4FC4D26924F8_.wvu.Rows" localSheetId="76" hidden="1">'Aff 12 CF'!$37:$38,'Aff 12 CF'!$43:$44,'Aff 12 CF'!$49:$50</definedName>
    <definedName name="Z_3AE1A25B_EF83_4399_B62D_4FC4D26924F8_.wvu.Rows" localSheetId="79" hidden="1">'Aff 13 CF'!$37:$38,'Aff 13 CF'!$43:$44,'Aff 13 CF'!$49:$50</definedName>
    <definedName name="Z_3AE1A25B_EF83_4399_B62D_4FC4D26924F8_.wvu.Rows" localSheetId="82" hidden="1">'Aff 14 CF'!$37:$38,'Aff 14 CF'!$43:$44,'Aff 14 CF'!$49:$50</definedName>
    <definedName name="Z_3AE1A25B_EF83_4399_B62D_4FC4D26924F8_.wvu.Rows" localSheetId="85" hidden="1">'Aff 15 CF'!$37:$38,'Aff 15 CF'!$43:$44,'Aff 15 CF'!$49:$50</definedName>
    <definedName name="Z_3AE1A25B_EF83_4399_B62D_4FC4D26924F8_.wvu.Rows" localSheetId="88" hidden="1">'Aff 16 CF'!$37:$38,'Aff 16 CF'!$43:$44,'Aff 16 CF'!$49:$50</definedName>
    <definedName name="Z_3AE1A25B_EF83_4399_B62D_4FC4D26924F8_.wvu.Rows" localSheetId="91" hidden="1">'Aff 17 CF'!$37:$38,'Aff 17 CF'!$43:$44,'Aff 17 CF'!$49:$50</definedName>
    <definedName name="Z_3AE1A25B_EF83_4399_B62D_4FC4D26924F8_.wvu.Rows" localSheetId="94" hidden="1">'Aff 18 CF'!$37:$38,'Aff 18 CF'!$43:$44,'Aff 18 CF'!$49:$50</definedName>
    <definedName name="Z_3AE1A25B_EF83_4399_B62D_4FC4D26924F8_.wvu.Rows" localSheetId="46" hidden="1">'Aff 2 CF'!$37:$38,'Aff 2 CF'!$43:$44,'Aff 2 CF'!$49:$50</definedName>
    <definedName name="Z_3AE1A25B_EF83_4399_B62D_4FC4D26924F8_.wvu.Rows" localSheetId="49" hidden="1">'Aff 3 CF'!$37:$38,'Aff 3 CF'!$43:$44,'Aff 3 CF'!$49:$50</definedName>
    <definedName name="Z_3AE1A25B_EF83_4399_B62D_4FC4D26924F8_.wvu.Rows" localSheetId="52" hidden="1">'Aff 4 CF'!$37:$38,'Aff 4 CF'!$43:$44,'Aff 4 CF'!$49:$50</definedName>
    <definedName name="Z_3AE1A25B_EF83_4399_B62D_4FC4D26924F8_.wvu.Rows" localSheetId="55" hidden="1">'Aff 5 CF'!$37:$38,'Aff 5 CF'!$43:$44,'Aff 5 CF'!$49:$50</definedName>
    <definedName name="Z_3AE1A25B_EF83_4399_B62D_4FC4D26924F8_.wvu.Rows" localSheetId="58" hidden="1">'Aff 6 CF'!$37:$38,'Aff 6 CF'!$43:$44,'Aff 6 CF'!$49:$50</definedName>
    <definedName name="Z_3AE1A25B_EF83_4399_B62D_4FC4D26924F8_.wvu.Rows" localSheetId="61" hidden="1">'Aff 7 CF'!$37:$38,'Aff 7 CF'!$43:$44,'Aff 7 CF'!$49:$50</definedName>
    <definedName name="Z_3AE1A25B_EF83_4399_B62D_4FC4D26924F8_.wvu.Rows" localSheetId="64" hidden="1">'Aff 8 CF'!$37:$38,'Aff 8 CF'!$43:$44,'Aff 8 CF'!$49:$50</definedName>
    <definedName name="Z_3AE1A25B_EF83_4399_B62D_4FC4D26924F8_.wvu.Rows" localSheetId="67" hidden="1">'Aff 9 CF'!$37:$38,'Aff 9 CF'!$43:$44,'Aff 9 CF'!$49:$50</definedName>
    <definedName name="Z_6E1FDEE6_49D0_4876_8C7C_09893145D2CE_.wvu.PrintArea" localSheetId="42" hidden="1">'Aff 1 BS'!$A$1:$J$129</definedName>
    <definedName name="Z_6E1FDEE6_49D0_4876_8C7C_09893145D2CE_.wvu.PrintArea" localSheetId="43" hidden="1">'Aff 1 CF'!$A$1:$R$78</definedName>
    <definedName name="Z_6E1FDEE6_49D0_4876_8C7C_09893145D2CE_.wvu.PrintArea" localSheetId="41" hidden="1">'Aff 1 IS'!$B$1:$O$126</definedName>
    <definedName name="Z_6E1FDEE6_49D0_4876_8C7C_09893145D2CE_.wvu.PrintArea" localSheetId="69" hidden="1">'Aff 10 BS'!$A$1:$J$129</definedName>
    <definedName name="Z_6E1FDEE6_49D0_4876_8C7C_09893145D2CE_.wvu.PrintArea" localSheetId="70" hidden="1">'Aff 10 CF'!$A$1:$R$79</definedName>
    <definedName name="Z_6E1FDEE6_49D0_4876_8C7C_09893145D2CE_.wvu.PrintArea" localSheetId="68" hidden="1">'Aff 10 IS'!$B$1:$O$126</definedName>
    <definedName name="Z_6E1FDEE6_49D0_4876_8C7C_09893145D2CE_.wvu.PrintArea" localSheetId="72" hidden="1">'Aff 11 BS'!$A$1:$J$129</definedName>
    <definedName name="Z_6E1FDEE6_49D0_4876_8C7C_09893145D2CE_.wvu.PrintArea" localSheetId="73" hidden="1">'Aff 11 CF'!$A$1:$R$79</definedName>
    <definedName name="Z_6E1FDEE6_49D0_4876_8C7C_09893145D2CE_.wvu.PrintArea" localSheetId="71" hidden="1">'Aff 11 IS'!$B$1:$O$126</definedName>
    <definedName name="Z_6E1FDEE6_49D0_4876_8C7C_09893145D2CE_.wvu.PrintArea" localSheetId="75" hidden="1">'Aff 12 BS'!$A$1:$J$129</definedName>
    <definedName name="Z_6E1FDEE6_49D0_4876_8C7C_09893145D2CE_.wvu.PrintArea" localSheetId="76" hidden="1">'Aff 12 CF'!$A$1:$R$79</definedName>
    <definedName name="Z_6E1FDEE6_49D0_4876_8C7C_09893145D2CE_.wvu.PrintArea" localSheetId="74" hidden="1">'Aff 12 IS'!$B$1:$O$126</definedName>
    <definedName name="Z_6E1FDEE6_49D0_4876_8C7C_09893145D2CE_.wvu.PrintArea" localSheetId="78" hidden="1">'Aff 13 BS'!$A$1:$J$129</definedName>
    <definedName name="Z_6E1FDEE6_49D0_4876_8C7C_09893145D2CE_.wvu.PrintArea" localSheetId="79" hidden="1">'Aff 13 CF'!$A$1:$R$79</definedName>
    <definedName name="Z_6E1FDEE6_49D0_4876_8C7C_09893145D2CE_.wvu.PrintArea" localSheetId="77" hidden="1">'Aff 13 IS'!$B$1:$O$126</definedName>
    <definedName name="Z_6E1FDEE6_49D0_4876_8C7C_09893145D2CE_.wvu.PrintArea" localSheetId="81" hidden="1">'Aff 14 BS'!$A$1:$J$129</definedName>
    <definedName name="Z_6E1FDEE6_49D0_4876_8C7C_09893145D2CE_.wvu.PrintArea" localSheetId="82" hidden="1">'Aff 14 CF'!$A$1:$R$79</definedName>
    <definedName name="Z_6E1FDEE6_49D0_4876_8C7C_09893145D2CE_.wvu.PrintArea" localSheetId="80" hidden="1">'Aff 14 IS'!$B$1:$O$126</definedName>
    <definedName name="Z_6E1FDEE6_49D0_4876_8C7C_09893145D2CE_.wvu.PrintArea" localSheetId="84" hidden="1">'Aff 15 BS'!$A$1:$J$129</definedName>
    <definedName name="Z_6E1FDEE6_49D0_4876_8C7C_09893145D2CE_.wvu.PrintArea" localSheetId="85" hidden="1">'Aff 15 CF'!$A$1:$R$79</definedName>
    <definedName name="Z_6E1FDEE6_49D0_4876_8C7C_09893145D2CE_.wvu.PrintArea" localSheetId="83" hidden="1">'Aff 15 IS'!$B$1:$O$126</definedName>
    <definedName name="Z_6E1FDEE6_49D0_4876_8C7C_09893145D2CE_.wvu.PrintArea" localSheetId="87" hidden="1">'Aff 16 BS'!$A$1:$J$129</definedName>
    <definedName name="Z_6E1FDEE6_49D0_4876_8C7C_09893145D2CE_.wvu.PrintArea" localSheetId="88" hidden="1">'Aff 16 CF'!$A$1:$R$79</definedName>
    <definedName name="Z_6E1FDEE6_49D0_4876_8C7C_09893145D2CE_.wvu.PrintArea" localSheetId="86" hidden="1">'Aff 16 IS'!$B$1:$O$126</definedName>
    <definedName name="Z_6E1FDEE6_49D0_4876_8C7C_09893145D2CE_.wvu.PrintArea" localSheetId="90" hidden="1">'Aff 17 BS'!$A$1:$J$129</definedName>
    <definedName name="Z_6E1FDEE6_49D0_4876_8C7C_09893145D2CE_.wvu.PrintArea" localSheetId="91" hidden="1">'Aff 17 CF'!$A$1:$R$79</definedName>
    <definedName name="Z_6E1FDEE6_49D0_4876_8C7C_09893145D2CE_.wvu.PrintArea" localSheetId="89" hidden="1">'Aff 17 IS'!$B$1:$O$126</definedName>
    <definedName name="Z_6E1FDEE6_49D0_4876_8C7C_09893145D2CE_.wvu.PrintArea" localSheetId="93" hidden="1">'Aff 18 BS'!$A$1:$J$129</definedName>
    <definedName name="Z_6E1FDEE6_49D0_4876_8C7C_09893145D2CE_.wvu.PrintArea" localSheetId="94" hidden="1">'Aff 18 CF'!$A$1:$R$79</definedName>
    <definedName name="Z_6E1FDEE6_49D0_4876_8C7C_09893145D2CE_.wvu.PrintArea" localSheetId="92" hidden="1">'Aff 18 IS'!$B$1:$O$126</definedName>
    <definedName name="Z_6E1FDEE6_49D0_4876_8C7C_09893145D2CE_.wvu.PrintArea" localSheetId="45" hidden="1">'Aff 2 BS'!$A$1:$J$129</definedName>
    <definedName name="Z_6E1FDEE6_49D0_4876_8C7C_09893145D2CE_.wvu.PrintArea" localSheetId="46" hidden="1">'Aff 2 CF'!$A$1:$R$79</definedName>
    <definedName name="Z_6E1FDEE6_49D0_4876_8C7C_09893145D2CE_.wvu.PrintArea" localSheetId="44" hidden="1">'Aff 2 IS'!$B$1:$O$126</definedName>
    <definedName name="Z_6E1FDEE6_49D0_4876_8C7C_09893145D2CE_.wvu.PrintArea" localSheetId="48" hidden="1">'Aff 3 BS'!$A$1:$J$129</definedName>
    <definedName name="Z_6E1FDEE6_49D0_4876_8C7C_09893145D2CE_.wvu.PrintArea" localSheetId="49" hidden="1">'Aff 3 CF'!$A$1:$R$79</definedName>
    <definedName name="Z_6E1FDEE6_49D0_4876_8C7C_09893145D2CE_.wvu.PrintArea" localSheetId="47" hidden="1">'Aff 3 IS'!$B$1:$O$126</definedName>
    <definedName name="Z_6E1FDEE6_49D0_4876_8C7C_09893145D2CE_.wvu.PrintArea" localSheetId="51" hidden="1">'Aff 4 BS'!$A$1:$J$129</definedName>
    <definedName name="Z_6E1FDEE6_49D0_4876_8C7C_09893145D2CE_.wvu.PrintArea" localSheetId="52" hidden="1">'Aff 4 CF'!$A$1:$R$79</definedName>
    <definedName name="Z_6E1FDEE6_49D0_4876_8C7C_09893145D2CE_.wvu.PrintArea" localSheetId="50" hidden="1">'Aff 4 IS'!$B$1:$O$126</definedName>
    <definedName name="Z_6E1FDEE6_49D0_4876_8C7C_09893145D2CE_.wvu.PrintArea" localSheetId="54" hidden="1">'Aff 5 BS'!$A$1:$J$129</definedName>
    <definedName name="Z_6E1FDEE6_49D0_4876_8C7C_09893145D2CE_.wvu.PrintArea" localSheetId="55" hidden="1">'Aff 5 CF'!$A$1:$R$79</definedName>
    <definedName name="Z_6E1FDEE6_49D0_4876_8C7C_09893145D2CE_.wvu.PrintArea" localSheetId="53" hidden="1">'Aff 5 IS'!$B$1:$O$126</definedName>
    <definedName name="Z_6E1FDEE6_49D0_4876_8C7C_09893145D2CE_.wvu.PrintArea" localSheetId="57" hidden="1">'Aff 6 BS'!$A$1:$J$129</definedName>
    <definedName name="Z_6E1FDEE6_49D0_4876_8C7C_09893145D2CE_.wvu.PrintArea" localSheetId="58" hidden="1">'Aff 6 CF'!$A$1:$R$79</definedName>
    <definedName name="Z_6E1FDEE6_49D0_4876_8C7C_09893145D2CE_.wvu.PrintArea" localSheetId="56" hidden="1">'Aff 6 IS'!$B$1:$O$126</definedName>
    <definedName name="Z_6E1FDEE6_49D0_4876_8C7C_09893145D2CE_.wvu.PrintArea" localSheetId="60" hidden="1">'Aff 7 BS'!$A$1:$J$129</definedName>
    <definedName name="Z_6E1FDEE6_49D0_4876_8C7C_09893145D2CE_.wvu.PrintArea" localSheetId="61" hidden="1">'Aff 7 CF'!$A$1:$R$79</definedName>
    <definedName name="Z_6E1FDEE6_49D0_4876_8C7C_09893145D2CE_.wvu.PrintArea" localSheetId="59" hidden="1">'Aff 7 IS'!$B$1:$O$126</definedName>
    <definedName name="Z_6E1FDEE6_49D0_4876_8C7C_09893145D2CE_.wvu.PrintArea" localSheetId="63" hidden="1">'Aff 8 BS'!$A$1:$J$129</definedName>
    <definedName name="Z_6E1FDEE6_49D0_4876_8C7C_09893145D2CE_.wvu.PrintArea" localSheetId="64" hidden="1">'Aff 8 CF'!$A$1:$R$79</definedName>
    <definedName name="Z_6E1FDEE6_49D0_4876_8C7C_09893145D2CE_.wvu.PrintArea" localSheetId="62" hidden="1">'Aff 8 IS'!$B$1:$O$126</definedName>
    <definedName name="Z_6E1FDEE6_49D0_4876_8C7C_09893145D2CE_.wvu.PrintArea" localSheetId="66" hidden="1">'Aff 9 BS'!$A$1:$J$129</definedName>
    <definedName name="Z_6E1FDEE6_49D0_4876_8C7C_09893145D2CE_.wvu.PrintArea" localSheetId="67" hidden="1">'Aff 9 CF'!$A$1:$R$79</definedName>
    <definedName name="Z_6E1FDEE6_49D0_4876_8C7C_09893145D2CE_.wvu.PrintArea" localSheetId="65" hidden="1">'Aff 9 IS'!$B$1:$O$126</definedName>
    <definedName name="Z_6E1FDEE6_49D0_4876_8C7C_09893145D2CE_.wvu.PrintArea" localSheetId="97" hidden="1">'Amort Sch'!$A$1:$J$378</definedName>
    <definedName name="Z_6E1FDEE6_49D0_4876_8C7C_09893145D2CE_.wvu.PrintArea" localSheetId="98" hidden="1">'Amort Sch (2)'!$A$1:$J$378</definedName>
    <definedName name="Z_6E1FDEE6_49D0_4876_8C7C_09893145D2CE_.wvu.PrintArea" localSheetId="16" hidden="1">'Break Even'!$B$1:$N$164</definedName>
    <definedName name="Z_6E1FDEE6_49D0_4876_8C7C_09893145D2CE_.wvu.PrintArea" localSheetId="40" hidden="1">'Bus Acq Elig'!$B$2:$T$137</definedName>
    <definedName name="Z_6E1FDEE6_49D0_4876_8C7C_09893145D2CE_.wvu.PrintArea" localSheetId="14" hidden="1">'Cash Flow'!$A$1:$R$118</definedName>
    <definedName name="Z_6E1FDEE6_49D0_4876_8C7C_09893145D2CE_.wvu.PrintArea" localSheetId="10" hidden="1">Coll!$B$2:$K$96</definedName>
    <definedName name="Z_6E1FDEE6_49D0_4876_8C7C_09893145D2CE_.wvu.PrintArea" localSheetId="11" hidden="1">'Coll (2)'!$B$2:$K$134</definedName>
    <definedName name="Z_6E1FDEE6_49D0_4876_8C7C_09893145D2CE_.wvu.PrintArea" localSheetId="15" hidden="1">'Debt Sch'!$B$1:$M$31</definedName>
    <definedName name="Z_6E1FDEE6_49D0_4876_8C7C_09893145D2CE_.wvu.PrintArea" localSheetId="23" hidden="1">'EPC BS'!$A$1:$J$122</definedName>
    <definedName name="Z_6E1FDEE6_49D0_4876_8C7C_09893145D2CE_.wvu.PrintArea" localSheetId="24" hidden="1">'EPC CF'!$A$1:$O$87</definedName>
    <definedName name="Z_6E1FDEE6_49D0_4876_8C7C_09893145D2CE_.wvu.PrintArea" localSheetId="22" hidden="1">'EPC IS'!$B$1:$O$126</definedName>
    <definedName name="Z_6E1FDEE6_49D0_4876_8C7C_09893145D2CE_.wvu.PrintArea" localSheetId="17" hidden="1">'Global CF'!$A$1:$R$123</definedName>
    <definedName name="Z_6E1FDEE6_49D0_4876_8C7C_09893145D2CE_.wvu.PrintArea" localSheetId="18" hidden="1">'Hist BS'!$A$1:$J$122</definedName>
    <definedName name="Z_6E1FDEE6_49D0_4876_8C7C_09893145D2CE_.wvu.PrintArea" localSheetId="13" hidden="1">'Hist IS and Proj'!$B$1:$O$126</definedName>
    <definedName name="Z_6E1FDEE6_49D0_4876_8C7C_09893145D2CE_.wvu.PrintArea" localSheetId="8" hidden="1">'Memo Grid'!$C$3:$I$16</definedName>
    <definedName name="Z_6E1FDEE6_49D0_4876_8C7C_09893145D2CE_.wvu.PrintArea" localSheetId="9" hidden="1">'Memo Grid 504'!$C$3:$I$16</definedName>
    <definedName name="Z_6E1FDEE6_49D0_4876_8C7C_09893145D2CE_.wvu.PrintArea" localSheetId="25" hidden="1">'Per Need 1'!$A$1:$K$53</definedName>
    <definedName name="Z_6E1FDEE6_49D0_4876_8C7C_09893145D2CE_.wvu.PrintArea" localSheetId="28" hidden="1">'Per Need 2'!$A$1:$K$53</definedName>
    <definedName name="Z_6E1FDEE6_49D0_4876_8C7C_09893145D2CE_.wvu.PrintArea" localSheetId="31" hidden="1">'Per Need 3'!$A$1:$K$53</definedName>
    <definedName name="Z_6E1FDEE6_49D0_4876_8C7C_09893145D2CE_.wvu.PrintArea" localSheetId="34" hidden="1">'Per Need 4'!$A$1:$K$53</definedName>
    <definedName name="Z_6E1FDEE6_49D0_4876_8C7C_09893145D2CE_.wvu.PrintArea" localSheetId="27" hidden="1">'Per RE 1'!$A$1:$K$51</definedName>
    <definedName name="Z_6E1FDEE6_49D0_4876_8C7C_09893145D2CE_.wvu.PrintArea" localSheetId="30" hidden="1">'Per RE 2'!$A$1:$I$32</definedName>
    <definedName name="Z_6E1FDEE6_49D0_4876_8C7C_09893145D2CE_.wvu.PrintArea" localSheetId="33" hidden="1">'Per RE 3'!$A$1:$I$32</definedName>
    <definedName name="Z_6E1FDEE6_49D0_4876_8C7C_09893145D2CE_.wvu.PrintArea" localSheetId="36" hidden="1">'Per RE 4'!$A$1:$I$32</definedName>
    <definedName name="Z_6E1FDEE6_49D0_4876_8C7C_09893145D2CE_.wvu.PrintArea" localSheetId="26" hidden="1">'PFS 1'!$A$1:$G$48</definedName>
    <definedName name="Z_6E1FDEE6_49D0_4876_8C7C_09893145D2CE_.wvu.PrintArea" localSheetId="29" hidden="1">'PFS 2'!$A$1:$G$48</definedName>
    <definedName name="Z_6E1FDEE6_49D0_4876_8C7C_09893145D2CE_.wvu.PrintArea" localSheetId="32" hidden="1">'PFS 3'!$A$1:$G$48</definedName>
    <definedName name="Z_6E1FDEE6_49D0_4876_8C7C_09893145D2CE_.wvu.PrintArea" localSheetId="35" hidden="1">'PFS 4'!$A$1:$G$48</definedName>
    <definedName name="Z_6E1FDEE6_49D0_4876_8C7C_09893145D2CE_.wvu.PrintArea" localSheetId="19" hidden="1">'Pro-forma'!$A$1:$J$96</definedName>
    <definedName name="Z_6E1FDEE6_49D0_4876_8C7C_09893145D2CE_.wvu.PrintArea" localSheetId="12" hidden="1">Ratios!$B$2:$U$73</definedName>
    <definedName name="Z_6E1FDEE6_49D0_4876_8C7C_09893145D2CE_.wvu.PrintArea" localSheetId="39" hidden="1">'SBA Debt Refi Elig'!$B$2:$T$53</definedName>
    <definedName name="Z_6E1FDEE6_49D0_4876_8C7C_09893145D2CE_.wvu.PrintArea" localSheetId="37" hidden="1">'SBA Elig'!$B$2:$T$158</definedName>
    <definedName name="Z_6E1FDEE6_49D0_4876_8C7C_09893145D2CE_.wvu.PrintArea" localSheetId="6" hidden="1">UOP!$B$1:$K$126</definedName>
    <definedName name="Z_6E1FDEE6_49D0_4876_8C7C_09893145D2CE_.wvu.PrintArea" localSheetId="7" hidden="1">'UOP (2)'!$B$1:$K$126</definedName>
    <definedName name="Z_6E1FDEE6_49D0_4876_8C7C_09893145D2CE_.wvu.PrintArea" localSheetId="5" hidden="1">'Wksht Print Separately'!$B$2:$I$292</definedName>
    <definedName name="Z_6E1FDEE6_49D0_4876_8C7C_09893145D2CE_.wvu.PrintTitles" localSheetId="97" hidden="1">'Amort Sch'!$15:$18</definedName>
    <definedName name="Z_6E1FDEE6_49D0_4876_8C7C_09893145D2CE_.wvu.PrintTitles" localSheetId="98" hidden="1">'Amort Sch (2)'!$15:$18</definedName>
    <definedName name="Z_6E1FDEE6_49D0_4876_8C7C_09893145D2CE_.wvu.Rows" localSheetId="43" hidden="1">'Aff 1 CF'!$37:$38,'Aff 1 CF'!$43:$44,'Aff 1 CF'!$49:$50</definedName>
    <definedName name="Z_6E1FDEE6_49D0_4876_8C7C_09893145D2CE_.wvu.Rows" localSheetId="41" hidden="1">'Aff 1 IS'!$43:$47</definedName>
    <definedName name="Z_6E1FDEE6_49D0_4876_8C7C_09893145D2CE_.wvu.Rows" localSheetId="70" hidden="1">'Aff 10 CF'!$37:$38,'Aff 10 CF'!$43:$44,'Aff 10 CF'!$49:$50</definedName>
    <definedName name="Z_6E1FDEE6_49D0_4876_8C7C_09893145D2CE_.wvu.Rows" localSheetId="68" hidden="1">'Aff 10 IS'!$43:$47</definedName>
    <definedName name="Z_6E1FDEE6_49D0_4876_8C7C_09893145D2CE_.wvu.Rows" localSheetId="73" hidden="1">'Aff 11 CF'!$37:$38,'Aff 11 CF'!$43:$44,'Aff 11 CF'!$49:$50</definedName>
    <definedName name="Z_6E1FDEE6_49D0_4876_8C7C_09893145D2CE_.wvu.Rows" localSheetId="71" hidden="1">'Aff 11 IS'!$43:$47</definedName>
    <definedName name="Z_6E1FDEE6_49D0_4876_8C7C_09893145D2CE_.wvu.Rows" localSheetId="76" hidden="1">'Aff 12 CF'!$37:$38,'Aff 12 CF'!$43:$44,'Aff 12 CF'!$49:$50</definedName>
    <definedName name="Z_6E1FDEE6_49D0_4876_8C7C_09893145D2CE_.wvu.Rows" localSheetId="74" hidden="1">'Aff 12 IS'!$43:$47</definedName>
    <definedName name="Z_6E1FDEE6_49D0_4876_8C7C_09893145D2CE_.wvu.Rows" localSheetId="79" hidden="1">'Aff 13 CF'!$37:$38,'Aff 13 CF'!$43:$44,'Aff 13 CF'!$49:$50</definedName>
    <definedName name="Z_6E1FDEE6_49D0_4876_8C7C_09893145D2CE_.wvu.Rows" localSheetId="77" hidden="1">'Aff 13 IS'!$43:$47</definedName>
    <definedName name="Z_6E1FDEE6_49D0_4876_8C7C_09893145D2CE_.wvu.Rows" localSheetId="82" hidden="1">'Aff 14 CF'!$37:$38,'Aff 14 CF'!$43:$44,'Aff 14 CF'!$49:$50</definedName>
    <definedName name="Z_6E1FDEE6_49D0_4876_8C7C_09893145D2CE_.wvu.Rows" localSheetId="80" hidden="1">'Aff 14 IS'!$43:$47</definedName>
    <definedName name="Z_6E1FDEE6_49D0_4876_8C7C_09893145D2CE_.wvu.Rows" localSheetId="85" hidden="1">'Aff 15 CF'!$37:$38,'Aff 15 CF'!$43:$44,'Aff 15 CF'!$49:$50</definedName>
    <definedName name="Z_6E1FDEE6_49D0_4876_8C7C_09893145D2CE_.wvu.Rows" localSheetId="83" hidden="1">'Aff 15 IS'!$43:$47</definedName>
    <definedName name="Z_6E1FDEE6_49D0_4876_8C7C_09893145D2CE_.wvu.Rows" localSheetId="88" hidden="1">'Aff 16 CF'!$37:$38,'Aff 16 CF'!$43:$44,'Aff 16 CF'!$49:$50</definedName>
    <definedName name="Z_6E1FDEE6_49D0_4876_8C7C_09893145D2CE_.wvu.Rows" localSheetId="86" hidden="1">'Aff 16 IS'!$43:$47</definedName>
    <definedName name="Z_6E1FDEE6_49D0_4876_8C7C_09893145D2CE_.wvu.Rows" localSheetId="91" hidden="1">'Aff 17 CF'!$37:$38,'Aff 17 CF'!$43:$44,'Aff 17 CF'!$49:$50</definedName>
    <definedName name="Z_6E1FDEE6_49D0_4876_8C7C_09893145D2CE_.wvu.Rows" localSheetId="89" hidden="1">'Aff 17 IS'!$43:$47</definedName>
    <definedName name="Z_6E1FDEE6_49D0_4876_8C7C_09893145D2CE_.wvu.Rows" localSheetId="94" hidden="1">'Aff 18 CF'!$37:$38,'Aff 18 CF'!$43:$44,'Aff 18 CF'!$49:$50</definedName>
    <definedName name="Z_6E1FDEE6_49D0_4876_8C7C_09893145D2CE_.wvu.Rows" localSheetId="92" hidden="1">'Aff 18 IS'!$43:$47</definedName>
    <definedName name="Z_6E1FDEE6_49D0_4876_8C7C_09893145D2CE_.wvu.Rows" localSheetId="46" hidden="1">'Aff 2 CF'!$37:$38,'Aff 2 CF'!$43:$44,'Aff 2 CF'!$49:$50</definedName>
    <definedName name="Z_6E1FDEE6_49D0_4876_8C7C_09893145D2CE_.wvu.Rows" localSheetId="44" hidden="1">'Aff 2 IS'!$43:$47</definedName>
    <definedName name="Z_6E1FDEE6_49D0_4876_8C7C_09893145D2CE_.wvu.Rows" localSheetId="49" hidden="1">'Aff 3 CF'!$37:$38,'Aff 3 CF'!$43:$44,'Aff 3 CF'!$49:$50</definedName>
    <definedName name="Z_6E1FDEE6_49D0_4876_8C7C_09893145D2CE_.wvu.Rows" localSheetId="47" hidden="1">'Aff 3 IS'!$43:$47</definedName>
    <definedName name="Z_6E1FDEE6_49D0_4876_8C7C_09893145D2CE_.wvu.Rows" localSheetId="52" hidden="1">'Aff 4 CF'!$37:$38,'Aff 4 CF'!$43:$44,'Aff 4 CF'!$49:$50</definedName>
    <definedName name="Z_6E1FDEE6_49D0_4876_8C7C_09893145D2CE_.wvu.Rows" localSheetId="50" hidden="1">'Aff 4 IS'!$43:$47</definedName>
    <definedName name="Z_6E1FDEE6_49D0_4876_8C7C_09893145D2CE_.wvu.Rows" localSheetId="55" hidden="1">'Aff 5 CF'!$37:$38,'Aff 5 CF'!$43:$44,'Aff 5 CF'!$49:$50</definedName>
    <definedName name="Z_6E1FDEE6_49D0_4876_8C7C_09893145D2CE_.wvu.Rows" localSheetId="53" hidden="1">'Aff 5 IS'!$43:$47</definedName>
    <definedName name="Z_6E1FDEE6_49D0_4876_8C7C_09893145D2CE_.wvu.Rows" localSheetId="58" hidden="1">'Aff 6 CF'!$37:$38,'Aff 6 CF'!$43:$44,'Aff 6 CF'!$49:$50</definedName>
    <definedName name="Z_6E1FDEE6_49D0_4876_8C7C_09893145D2CE_.wvu.Rows" localSheetId="56" hidden="1">'Aff 6 IS'!$43:$47</definedName>
    <definedName name="Z_6E1FDEE6_49D0_4876_8C7C_09893145D2CE_.wvu.Rows" localSheetId="61" hidden="1">'Aff 7 CF'!$37:$38,'Aff 7 CF'!$43:$44,'Aff 7 CF'!$49:$50</definedName>
    <definedName name="Z_6E1FDEE6_49D0_4876_8C7C_09893145D2CE_.wvu.Rows" localSheetId="59" hidden="1">'Aff 7 IS'!$43:$47</definedName>
    <definedName name="Z_6E1FDEE6_49D0_4876_8C7C_09893145D2CE_.wvu.Rows" localSheetId="64" hidden="1">'Aff 8 CF'!$37:$38,'Aff 8 CF'!$43:$44,'Aff 8 CF'!$49:$50</definedName>
    <definedName name="Z_6E1FDEE6_49D0_4876_8C7C_09893145D2CE_.wvu.Rows" localSheetId="62" hidden="1">'Aff 8 IS'!$43:$47</definedName>
    <definedName name="Z_6E1FDEE6_49D0_4876_8C7C_09893145D2CE_.wvu.Rows" localSheetId="67" hidden="1">'Aff 9 CF'!$37:$38,'Aff 9 CF'!$43:$44,'Aff 9 CF'!$49:$50</definedName>
    <definedName name="Z_6E1FDEE6_49D0_4876_8C7C_09893145D2CE_.wvu.Rows" localSheetId="65" hidden="1">'Aff 9 IS'!$43:$47</definedName>
    <definedName name="Z_6E1FDEE6_49D0_4876_8C7C_09893145D2CE_.wvu.Rows" localSheetId="97" hidden="1">'Amort Sch'!$13:$13</definedName>
    <definedName name="Z_6E1FDEE6_49D0_4876_8C7C_09893145D2CE_.wvu.Rows" localSheetId="98" hidden="1">'Amort Sch (2)'!$13:$13</definedName>
    <definedName name="Z_6E1FDEE6_49D0_4876_8C7C_09893145D2CE_.wvu.Rows" localSheetId="16" hidden="1">'Break Even'!$43:$47</definedName>
    <definedName name="Z_6E1FDEE6_49D0_4876_8C7C_09893145D2CE_.wvu.Rows" localSheetId="14" hidden="1">'Cash Flow'!#REF!,'Cash Flow'!#REF!,'Cash Flow'!#REF!</definedName>
    <definedName name="Z_6E1FDEE6_49D0_4876_8C7C_09893145D2CE_.wvu.Rows" localSheetId="15" hidden="1">'Debt Sch'!#REF!</definedName>
    <definedName name="Z_6E1FDEE6_49D0_4876_8C7C_09893145D2CE_.wvu.Rows" localSheetId="24" hidden="1">'EPC CF'!$36:$50</definedName>
    <definedName name="Z_6E1FDEE6_49D0_4876_8C7C_09893145D2CE_.wvu.Rows" localSheetId="22" hidden="1">'EPC IS'!$43:$47</definedName>
    <definedName name="Z_6E1FDEE6_49D0_4876_8C7C_09893145D2CE_.wvu.Rows" localSheetId="17" hidden="1">'Global CF'!$46:$46,'Global CF'!$52:$52,'Global CF'!$58:$58</definedName>
    <definedName name="Z_6E1FDEE6_49D0_4876_8C7C_09893145D2CE_.wvu.Rows" localSheetId="13" hidden="1">'Hist IS and Proj'!$43:$47</definedName>
    <definedName name="Z_ABE00C5C_EABD_42A0_B933_6335E124A878_.wvu.PrintArea" localSheetId="8" hidden="1">'Memo Grid'!$C$3:$I$16</definedName>
    <definedName name="Z_ABE00C5C_EABD_42A0_B933_6335E124A878_.wvu.PrintArea" localSheetId="9" hidden="1">'Memo Grid 504'!$C$3:$I$16</definedName>
    <definedName name="Z_C02CA8E5_5D4C_45E5_BC4A_4C9BE481059B_.wvu.Cols" localSheetId="15" hidden="1">'Debt Sch'!$Q:$Q</definedName>
    <definedName name="Z_C02CA8E5_5D4C_45E5_BC4A_4C9BE481059B_.wvu.PrintArea" localSheetId="42" hidden="1">'Aff 1 BS'!$A$1:$J$129</definedName>
    <definedName name="Z_C02CA8E5_5D4C_45E5_BC4A_4C9BE481059B_.wvu.PrintArea" localSheetId="43" hidden="1">'Aff 1 CF'!$A$1:$R$78</definedName>
    <definedName name="Z_C02CA8E5_5D4C_45E5_BC4A_4C9BE481059B_.wvu.PrintArea" localSheetId="41" hidden="1">'Aff 1 IS'!$B$1:$O$126</definedName>
    <definedName name="Z_C02CA8E5_5D4C_45E5_BC4A_4C9BE481059B_.wvu.PrintArea" localSheetId="69" hidden="1">'Aff 10 BS'!$A$1:$J$129</definedName>
    <definedName name="Z_C02CA8E5_5D4C_45E5_BC4A_4C9BE481059B_.wvu.PrintArea" localSheetId="70" hidden="1">'Aff 10 CF'!$A$1:$R$79</definedName>
    <definedName name="Z_C02CA8E5_5D4C_45E5_BC4A_4C9BE481059B_.wvu.PrintArea" localSheetId="68" hidden="1">'Aff 10 IS'!$B$1:$O$126</definedName>
    <definedName name="Z_C02CA8E5_5D4C_45E5_BC4A_4C9BE481059B_.wvu.PrintArea" localSheetId="72" hidden="1">'Aff 11 BS'!$A$1:$J$129</definedName>
    <definedName name="Z_C02CA8E5_5D4C_45E5_BC4A_4C9BE481059B_.wvu.PrintArea" localSheetId="73" hidden="1">'Aff 11 CF'!$A$1:$R$79</definedName>
    <definedName name="Z_C02CA8E5_5D4C_45E5_BC4A_4C9BE481059B_.wvu.PrintArea" localSheetId="71" hidden="1">'Aff 11 IS'!$B$1:$O$126</definedName>
    <definedName name="Z_C02CA8E5_5D4C_45E5_BC4A_4C9BE481059B_.wvu.PrintArea" localSheetId="75" hidden="1">'Aff 12 BS'!$A$1:$J$129</definedName>
    <definedName name="Z_C02CA8E5_5D4C_45E5_BC4A_4C9BE481059B_.wvu.PrintArea" localSheetId="76" hidden="1">'Aff 12 CF'!$A$1:$R$79</definedName>
    <definedName name="Z_C02CA8E5_5D4C_45E5_BC4A_4C9BE481059B_.wvu.PrintArea" localSheetId="74" hidden="1">'Aff 12 IS'!$B$1:$O$126</definedName>
    <definedName name="Z_C02CA8E5_5D4C_45E5_BC4A_4C9BE481059B_.wvu.PrintArea" localSheetId="78" hidden="1">'Aff 13 BS'!$A$1:$J$129</definedName>
    <definedName name="Z_C02CA8E5_5D4C_45E5_BC4A_4C9BE481059B_.wvu.PrintArea" localSheetId="79" hidden="1">'Aff 13 CF'!$A$1:$R$79</definedName>
    <definedName name="Z_C02CA8E5_5D4C_45E5_BC4A_4C9BE481059B_.wvu.PrintArea" localSheetId="77" hidden="1">'Aff 13 IS'!$B$1:$O$126</definedName>
    <definedName name="Z_C02CA8E5_5D4C_45E5_BC4A_4C9BE481059B_.wvu.PrintArea" localSheetId="81" hidden="1">'Aff 14 BS'!$A$1:$J$129</definedName>
    <definedName name="Z_C02CA8E5_5D4C_45E5_BC4A_4C9BE481059B_.wvu.PrintArea" localSheetId="82" hidden="1">'Aff 14 CF'!$A$1:$R$79</definedName>
    <definedName name="Z_C02CA8E5_5D4C_45E5_BC4A_4C9BE481059B_.wvu.PrintArea" localSheetId="80" hidden="1">'Aff 14 IS'!$B$1:$O$126</definedName>
    <definedName name="Z_C02CA8E5_5D4C_45E5_BC4A_4C9BE481059B_.wvu.PrintArea" localSheetId="84" hidden="1">'Aff 15 BS'!$A$1:$J$129</definedName>
    <definedName name="Z_C02CA8E5_5D4C_45E5_BC4A_4C9BE481059B_.wvu.PrintArea" localSheetId="85" hidden="1">'Aff 15 CF'!$A$1:$R$79</definedName>
    <definedName name="Z_C02CA8E5_5D4C_45E5_BC4A_4C9BE481059B_.wvu.PrintArea" localSheetId="83" hidden="1">'Aff 15 IS'!$B$1:$O$126</definedName>
    <definedName name="Z_C02CA8E5_5D4C_45E5_BC4A_4C9BE481059B_.wvu.PrintArea" localSheetId="87" hidden="1">'Aff 16 BS'!$A$1:$J$129</definedName>
    <definedName name="Z_C02CA8E5_5D4C_45E5_BC4A_4C9BE481059B_.wvu.PrintArea" localSheetId="88" hidden="1">'Aff 16 CF'!$A$1:$R$79</definedName>
    <definedName name="Z_C02CA8E5_5D4C_45E5_BC4A_4C9BE481059B_.wvu.PrintArea" localSheetId="86" hidden="1">'Aff 16 IS'!$B$1:$O$126</definedName>
    <definedName name="Z_C02CA8E5_5D4C_45E5_BC4A_4C9BE481059B_.wvu.PrintArea" localSheetId="90" hidden="1">'Aff 17 BS'!$A$1:$J$129</definedName>
    <definedName name="Z_C02CA8E5_5D4C_45E5_BC4A_4C9BE481059B_.wvu.PrintArea" localSheetId="91" hidden="1">'Aff 17 CF'!$A$1:$R$79</definedName>
    <definedName name="Z_C02CA8E5_5D4C_45E5_BC4A_4C9BE481059B_.wvu.PrintArea" localSheetId="89" hidden="1">'Aff 17 IS'!$B$1:$O$126</definedName>
    <definedName name="Z_C02CA8E5_5D4C_45E5_BC4A_4C9BE481059B_.wvu.PrintArea" localSheetId="93" hidden="1">'Aff 18 BS'!$A$1:$J$129</definedName>
    <definedName name="Z_C02CA8E5_5D4C_45E5_BC4A_4C9BE481059B_.wvu.PrintArea" localSheetId="94" hidden="1">'Aff 18 CF'!$A$1:$R$79</definedName>
    <definedName name="Z_C02CA8E5_5D4C_45E5_BC4A_4C9BE481059B_.wvu.PrintArea" localSheetId="92" hidden="1">'Aff 18 IS'!$B$1:$O$126</definedName>
    <definedName name="Z_C02CA8E5_5D4C_45E5_BC4A_4C9BE481059B_.wvu.PrintArea" localSheetId="45" hidden="1">'Aff 2 BS'!$A$1:$J$129</definedName>
    <definedName name="Z_C02CA8E5_5D4C_45E5_BC4A_4C9BE481059B_.wvu.PrintArea" localSheetId="46" hidden="1">'Aff 2 CF'!$A$1:$R$79</definedName>
    <definedName name="Z_C02CA8E5_5D4C_45E5_BC4A_4C9BE481059B_.wvu.PrintArea" localSheetId="44" hidden="1">'Aff 2 IS'!$B$1:$O$126</definedName>
    <definedName name="Z_C02CA8E5_5D4C_45E5_BC4A_4C9BE481059B_.wvu.PrintArea" localSheetId="48" hidden="1">'Aff 3 BS'!$A$1:$J$129</definedName>
    <definedName name="Z_C02CA8E5_5D4C_45E5_BC4A_4C9BE481059B_.wvu.PrintArea" localSheetId="49" hidden="1">'Aff 3 CF'!$A$1:$R$79</definedName>
    <definedName name="Z_C02CA8E5_5D4C_45E5_BC4A_4C9BE481059B_.wvu.PrintArea" localSheetId="47" hidden="1">'Aff 3 IS'!$B$1:$O$126</definedName>
    <definedName name="Z_C02CA8E5_5D4C_45E5_BC4A_4C9BE481059B_.wvu.PrintArea" localSheetId="51" hidden="1">'Aff 4 BS'!$A$1:$J$129</definedName>
    <definedName name="Z_C02CA8E5_5D4C_45E5_BC4A_4C9BE481059B_.wvu.PrintArea" localSheetId="52" hidden="1">'Aff 4 CF'!$A$1:$R$79</definedName>
    <definedName name="Z_C02CA8E5_5D4C_45E5_BC4A_4C9BE481059B_.wvu.PrintArea" localSheetId="50" hidden="1">'Aff 4 IS'!$B$1:$O$126</definedName>
    <definedName name="Z_C02CA8E5_5D4C_45E5_BC4A_4C9BE481059B_.wvu.PrintArea" localSheetId="54" hidden="1">'Aff 5 BS'!$A$1:$J$129</definedName>
    <definedName name="Z_C02CA8E5_5D4C_45E5_BC4A_4C9BE481059B_.wvu.PrintArea" localSheetId="55" hidden="1">'Aff 5 CF'!$A$1:$R$79</definedName>
    <definedName name="Z_C02CA8E5_5D4C_45E5_BC4A_4C9BE481059B_.wvu.PrintArea" localSheetId="53" hidden="1">'Aff 5 IS'!$B$1:$O$126</definedName>
    <definedName name="Z_C02CA8E5_5D4C_45E5_BC4A_4C9BE481059B_.wvu.PrintArea" localSheetId="57" hidden="1">'Aff 6 BS'!$A$1:$J$129</definedName>
    <definedName name="Z_C02CA8E5_5D4C_45E5_BC4A_4C9BE481059B_.wvu.PrintArea" localSheetId="58" hidden="1">'Aff 6 CF'!$A$1:$R$79</definedName>
    <definedName name="Z_C02CA8E5_5D4C_45E5_BC4A_4C9BE481059B_.wvu.PrintArea" localSheetId="56" hidden="1">'Aff 6 IS'!$B$1:$O$126</definedName>
    <definedName name="Z_C02CA8E5_5D4C_45E5_BC4A_4C9BE481059B_.wvu.PrintArea" localSheetId="60" hidden="1">'Aff 7 BS'!$A$1:$J$129</definedName>
    <definedName name="Z_C02CA8E5_5D4C_45E5_BC4A_4C9BE481059B_.wvu.PrintArea" localSheetId="61" hidden="1">'Aff 7 CF'!$A$1:$R$79</definedName>
    <definedName name="Z_C02CA8E5_5D4C_45E5_BC4A_4C9BE481059B_.wvu.PrintArea" localSheetId="59" hidden="1">'Aff 7 IS'!$B$1:$O$126</definedName>
    <definedName name="Z_C02CA8E5_5D4C_45E5_BC4A_4C9BE481059B_.wvu.PrintArea" localSheetId="63" hidden="1">'Aff 8 BS'!$A$1:$J$129</definedName>
    <definedName name="Z_C02CA8E5_5D4C_45E5_BC4A_4C9BE481059B_.wvu.PrintArea" localSheetId="64" hidden="1">'Aff 8 CF'!$A$1:$R$79</definedName>
    <definedName name="Z_C02CA8E5_5D4C_45E5_BC4A_4C9BE481059B_.wvu.PrintArea" localSheetId="62" hidden="1">'Aff 8 IS'!$B$1:$O$126</definedName>
    <definedName name="Z_C02CA8E5_5D4C_45E5_BC4A_4C9BE481059B_.wvu.PrintArea" localSheetId="66" hidden="1">'Aff 9 BS'!$A$1:$J$129</definedName>
    <definedName name="Z_C02CA8E5_5D4C_45E5_BC4A_4C9BE481059B_.wvu.PrintArea" localSheetId="67" hidden="1">'Aff 9 CF'!$A$1:$R$79</definedName>
    <definedName name="Z_C02CA8E5_5D4C_45E5_BC4A_4C9BE481059B_.wvu.PrintArea" localSheetId="65" hidden="1">'Aff 9 IS'!$B$1:$O$126</definedName>
    <definedName name="Z_C02CA8E5_5D4C_45E5_BC4A_4C9BE481059B_.wvu.PrintArea" localSheetId="97" hidden="1">'Amort Sch'!$A$1:$J$378</definedName>
    <definedName name="Z_C02CA8E5_5D4C_45E5_BC4A_4C9BE481059B_.wvu.PrintArea" localSheetId="98" hidden="1">'Amort Sch (2)'!$A$1:$J$378</definedName>
    <definedName name="Z_C02CA8E5_5D4C_45E5_BC4A_4C9BE481059B_.wvu.PrintArea" localSheetId="16" hidden="1">'Break Even'!$B$1:$N$164</definedName>
    <definedName name="Z_C02CA8E5_5D4C_45E5_BC4A_4C9BE481059B_.wvu.PrintArea" localSheetId="40" hidden="1">'Bus Acq Elig'!$B$2:$T$137</definedName>
    <definedName name="Z_C02CA8E5_5D4C_45E5_BC4A_4C9BE481059B_.wvu.PrintArea" localSheetId="14" hidden="1">'Cash Flow'!$A$1:$R$118</definedName>
    <definedName name="Z_C02CA8E5_5D4C_45E5_BC4A_4C9BE481059B_.wvu.PrintArea" localSheetId="10" hidden="1">Coll!$B$2:$K$96</definedName>
    <definedName name="Z_C02CA8E5_5D4C_45E5_BC4A_4C9BE481059B_.wvu.PrintArea" localSheetId="11" hidden="1">'Coll (2)'!$B$2:$K$134</definedName>
    <definedName name="Z_C02CA8E5_5D4C_45E5_BC4A_4C9BE481059B_.wvu.PrintArea" localSheetId="15" hidden="1">'Debt Sch'!$B$1:$M$31</definedName>
    <definedName name="Z_C02CA8E5_5D4C_45E5_BC4A_4C9BE481059B_.wvu.PrintArea" localSheetId="23" hidden="1">'EPC BS'!$A$1:$J$122</definedName>
    <definedName name="Z_C02CA8E5_5D4C_45E5_BC4A_4C9BE481059B_.wvu.PrintArea" localSheetId="24" hidden="1">'EPC CF'!$A$1:$O$87</definedName>
    <definedName name="Z_C02CA8E5_5D4C_45E5_BC4A_4C9BE481059B_.wvu.PrintArea" localSheetId="22" hidden="1">'EPC IS'!$B$1:$O$126</definedName>
    <definedName name="Z_C02CA8E5_5D4C_45E5_BC4A_4C9BE481059B_.wvu.PrintArea" localSheetId="17" hidden="1">'Global CF'!$A$1:$R$123</definedName>
    <definedName name="Z_C02CA8E5_5D4C_45E5_BC4A_4C9BE481059B_.wvu.PrintArea" localSheetId="18" hidden="1">'Hist BS'!$A$1:$J$122</definedName>
    <definedName name="Z_C02CA8E5_5D4C_45E5_BC4A_4C9BE481059B_.wvu.PrintArea" localSheetId="13" hidden="1">'Hist IS and Proj'!$B$1:$O$126</definedName>
    <definedName name="Z_C02CA8E5_5D4C_45E5_BC4A_4C9BE481059B_.wvu.PrintArea" localSheetId="8" hidden="1">'Memo Grid'!$C$3:$I$16</definedName>
    <definedName name="Z_C02CA8E5_5D4C_45E5_BC4A_4C9BE481059B_.wvu.PrintArea" localSheetId="9" hidden="1">'Memo Grid 504'!$C$3:$I$16</definedName>
    <definedName name="Z_C02CA8E5_5D4C_45E5_BC4A_4C9BE481059B_.wvu.PrintArea" localSheetId="25" hidden="1">'Per Need 1'!$A$1:$K$53</definedName>
    <definedName name="Z_C02CA8E5_5D4C_45E5_BC4A_4C9BE481059B_.wvu.PrintArea" localSheetId="28" hidden="1">'Per Need 2'!$A$1:$K$53</definedName>
    <definedName name="Z_C02CA8E5_5D4C_45E5_BC4A_4C9BE481059B_.wvu.PrintArea" localSheetId="31" hidden="1">'Per Need 3'!$A$1:$K$53</definedName>
    <definedName name="Z_C02CA8E5_5D4C_45E5_BC4A_4C9BE481059B_.wvu.PrintArea" localSheetId="34" hidden="1">'Per Need 4'!$A$1:$K$53</definedName>
    <definedName name="Z_C02CA8E5_5D4C_45E5_BC4A_4C9BE481059B_.wvu.PrintArea" localSheetId="27" hidden="1">'Per RE 1'!$A$1:$K$51</definedName>
    <definedName name="Z_C02CA8E5_5D4C_45E5_BC4A_4C9BE481059B_.wvu.PrintArea" localSheetId="30" hidden="1">'Per RE 2'!$A$1:$I$32</definedName>
    <definedName name="Z_C02CA8E5_5D4C_45E5_BC4A_4C9BE481059B_.wvu.PrintArea" localSheetId="33" hidden="1">'Per RE 3'!$A$1:$I$32</definedName>
    <definedName name="Z_C02CA8E5_5D4C_45E5_BC4A_4C9BE481059B_.wvu.PrintArea" localSheetId="36" hidden="1">'Per RE 4'!$A$1:$I$32</definedName>
    <definedName name="Z_C02CA8E5_5D4C_45E5_BC4A_4C9BE481059B_.wvu.PrintArea" localSheetId="26" hidden="1">'PFS 1'!$A$1:$G$48</definedName>
    <definedName name="Z_C02CA8E5_5D4C_45E5_BC4A_4C9BE481059B_.wvu.PrintArea" localSheetId="29" hidden="1">'PFS 2'!$A$1:$G$48</definedName>
    <definedName name="Z_C02CA8E5_5D4C_45E5_BC4A_4C9BE481059B_.wvu.PrintArea" localSheetId="32" hidden="1">'PFS 3'!$A$1:$G$48</definedName>
    <definedName name="Z_C02CA8E5_5D4C_45E5_BC4A_4C9BE481059B_.wvu.PrintArea" localSheetId="35" hidden="1">'PFS 4'!$A$1:$G$48</definedName>
    <definedName name="Z_C02CA8E5_5D4C_45E5_BC4A_4C9BE481059B_.wvu.PrintArea" localSheetId="19" hidden="1">'Pro-forma'!$A$1:$J$96</definedName>
    <definedName name="Z_C02CA8E5_5D4C_45E5_BC4A_4C9BE481059B_.wvu.PrintArea" localSheetId="12" hidden="1">Ratios!$B$2:$U$73</definedName>
    <definedName name="Z_C02CA8E5_5D4C_45E5_BC4A_4C9BE481059B_.wvu.PrintArea" localSheetId="39" hidden="1">'SBA Debt Refi Elig'!$B$2:$T$53</definedName>
    <definedName name="Z_C02CA8E5_5D4C_45E5_BC4A_4C9BE481059B_.wvu.PrintArea" localSheetId="37" hidden="1">'SBA Elig'!$B$2:$T$158</definedName>
    <definedName name="Z_C02CA8E5_5D4C_45E5_BC4A_4C9BE481059B_.wvu.PrintArea" localSheetId="6" hidden="1">UOP!$B$1:$K$126</definedName>
    <definedName name="Z_C02CA8E5_5D4C_45E5_BC4A_4C9BE481059B_.wvu.PrintArea" localSheetId="7" hidden="1">'UOP (2)'!$B$1:$K$126</definedName>
    <definedName name="Z_C02CA8E5_5D4C_45E5_BC4A_4C9BE481059B_.wvu.PrintArea" localSheetId="5" hidden="1">'Wksht Print Separately'!$B$2:$I$292</definedName>
    <definedName name="Z_C02CA8E5_5D4C_45E5_BC4A_4C9BE481059B_.wvu.PrintTitles" localSheetId="97" hidden="1">'Amort Sch'!$15:$18</definedName>
    <definedName name="Z_C02CA8E5_5D4C_45E5_BC4A_4C9BE481059B_.wvu.PrintTitles" localSheetId="98" hidden="1">'Amort Sch (2)'!$15:$18</definedName>
    <definedName name="Z_C02CA8E5_5D4C_45E5_BC4A_4C9BE481059B_.wvu.Rows" localSheetId="43" hidden="1">'Aff 1 CF'!$37:$38,'Aff 1 CF'!$43:$44,'Aff 1 CF'!$49:$50</definedName>
    <definedName name="Z_C02CA8E5_5D4C_45E5_BC4A_4C9BE481059B_.wvu.Rows" localSheetId="41" hidden="1">'Aff 1 IS'!$43:$47</definedName>
    <definedName name="Z_C02CA8E5_5D4C_45E5_BC4A_4C9BE481059B_.wvu.Rows" localSheetId="70" hidden="1">'Aff 10 CF'!$37:$38,'Aff 10 CF'!$43:$44,'Aff 10 CF'!$49:$50</definedName>
    <definedName name="Z_C02CA8E5_5D4C_45E5_BC4A_4C9BE481059B_.wvu.Rows" localSheetId="68" hidden="1">'Aff 10 IS'!$43:$47</definedName>
    <definedName name="Z_C02CA8E5_5D4C_45E5_BC4A_4C9BE481059B_.wvu.Rows" localSheetId="73" hidden="1">'Aff 11 CF'!$37:$38,'Aff 11 CF'!$43:$44,'Aff 11 CF'!$49:$50</definedName>
    <definedName name="Z_C02CA8E5_5D4C_45E5_BC4A_4C9BE481059B_.wvu.Rows" localSheetId="71" hidden="1">'Aff 11 IS'!$43:$47</definedName>
    <definedName name="Z_C02CA8E5_5D4C_45E5_BC4A_4C9BE481059B_.wvu.Rows" localSheetId="76" hidden="1">'Aff 12 CF'!$37:$38,'Aff 12 CF'!$43:$44,'Aff 12 CF'!$49:$50</definedName>
    <definedName name="Z_C02CA8E5_5D4C_45E5_BC4A_4C9BE481059B_.wvu.Rows" localSheetId="74" hidden="1">'Aff 12 IS'!$43:$47</definedName>
    <definedName name="Z_C02CA8E5_5D4C_45E5_BC4A_4C9BE481059B_.wvu.Rows" localSheetId="79" hidden="1">'Aff 13 CF'!$37:$38,'Aff 13 CF'!$43:$44,'Aff 13 CF'!$49:$50</definedName>
    <definedName name="Z_C02CA8E5_5D4C_45E5_BC4A_4C9BE481059B_.wvu.Rows" localSheetId="77" hidden="1">'Aff 13 IS'!$43:$47</definedName>
    <definedName name="Z_C02CA8E5_5D4C_45E5_BC4A_4C9BE481059B_.wvu.Rows" localSheetId="82" hidden="1">'Aff 14 CF'!$37:$38,'Aff 14 CF'!$43:$44,'Aff 14 CF'!$49:$50</definedName>
    <definedName name="Z_C02CA8E5_5D4C_45E5_BC4A_4C9BE481059B_.wvu.Rows" localSheetId="80" hidden="1">'Aff 14 IS'!$43:$47</definedName>
    <definedName name="Z_C02CA8E5_5D4C_45E5_BC4A_4C9BE481059B_.wvu.Rows" localSheetId="85" hidden="1">'Aff 15 CF'!$37:$38,'Aff 15 CF'!$43:$44,'Aff 15 CF'!$49:$50</definedName>
    <definedName name="Z_C02CA8E5_5D4C_45E5_BC4A_4C9BE481059B_.wvu.Rows" localSheetId="83" hidden="1">'Aff 15 IS'!$43:$47</definedName>
    <definedName name="Z_C02CA8E5_5D4C_45E5_BC4A_4C9BE481059B_.wvu.Rows" localSheetId="88" hidden="1">'Aff 16 CF'!$37:$38,'Aff 16 CF'!$43:$44,'Aff 16 CF'!$49:$50</definedName>
    <definedName name="Z_C02CA8E5_5D4C_45E5_BC4A_4C9BE481059B_.wvu.Rows" localSheetId="86" hidden="1">'Aff 16 IS'!$43:$47</definedName>
    <definedName name="Z_C02CA8E5_5D4C_45E5_BC4A_4C9BE481059B_.wvu.Rows" localSheetId="91" hidden="1">'Aff 17 CF'!$37:$38,'Aff 17 CF'!$43:$44,'Aff 17 CF'!$49:$50</definedName>
    <definedName name="Z_C02CA8E5_5D4C_45E5_BC4A_4C9BE481059B_.wvu.Rows" localSheetId="89" hidden="1">'Aff 17 IS'!$43:$47</definedName>
    <definedName name="Z_C02CA8E5_5D4C_45E5_BC4A_4C9BE481059B_.wvu.Rows" localSheetId="94" hidden="1">'Aff 18 CF'!$37:$38,'Aff 18 CF'!$43:$44,'Aff 18 CF'!$49:$50</definedName>
    <definedName name="Z_C02CA8E5_5D4C_45E5_BC4A_4C9BE481059B_.wvu.Rows" localSheetId="92" hidden="1">'Aff 18 IS'!$43:$47</definedName>
    <definedName name="Z_C02CA8E5_5D4C_45E5_BC4A_4C9BE481059B_.wvu.Rows" localSheetId="46" hidden="1">'Aff 2 CF'!$37:$38,'Aff 2 CF'!$43:$44,'Aff 2 CF'!$49:$50</definedName>
    <definedName name="Z_C02CA8E5_5D4C_45E5_BC4A_4C9BE481059B_.wvu.Rows" localSheetId="44" hidden="1">'Aff 2 IS'!$43:$47</definedName>
    <definedName name="Z_C02CA8E5_5D4C_45E5_BC4A_4C9BE481059B_.wvu.Rows" localSheetId="49" hidden="1">'Aff 3 CF'!$37:$38,'Aff 3 CF'!$43:$44,'Aff 3 CF'!$49:$50</definedName>
    <definedName name="Z_C02CA8E5_5D4C_45E5_BC4A_4C9BE481059B_.wvu.Rows" localSheetId="47" hidden="1">'Aff 3 IS'!$43:$47</definedName>
    <definedName name="Z_C02CA8E5_5D4C_45E5_BC4A_4C9BE481059B_.wvu.Rows" localSheetId="52" hidden="1">'Aff 4 CF'!$37:$38,'Aff 4 CF'!$43:$44,'Aff 4 CF'!$49:$50</definedName>
    <definedName name="Z_C02CA8E5_5D4C_45E5_BC4A_4C9BE481059B_.wvu.Rows" localSheetId="50" hidden="1">'Aff 4 IS'!$43:$47</definedName>
    <definedName name="Z_C02CA8E5_5D4C_45E5_BC4A_4C9BE481059B_.wvu.Rows" localSheetId="55" hidden="1">'Aff 5 CF'!$37:$38,'Aff 5 CF'!$43:$44,'Aff 5 CF'!$49:$50</definedName>
    <definedName name="Z_C02CA8E5_5D4C_45E5_BC4A_4C9BE481059B_.wvu.Rows" localSheetId="53" hidden="1">'Aff 5 IS'!$43:$47</definedName>
    <definedName name="Z_C02CA8E5_5D4C_45E5_BC4A_4C9BE481059B_.wvu.Rows" localSheetId="58" hidden="1">'Aff 6 CF'!$37:$38,'Aff 6 CF'!$43:$44,'Aff 6 CF'!$49:$50</definedName>
    <definedName name="Z_C02CA8E5_5D4C_45E5_BC4A_4C9BE481059B_.wvu.Rows" localSheetId="56" hidden="1">'Aff 6 IS'!$43:$47</definedName>
    <definedName name="Z_C02CA8E5_5D4C_45E5_BC4A_4C9BE481059B_.wvu.Rows" localSheetId="61" hidden="1">'Aff 7 CF'!$37:$38,'Aff 7 CF'!$43:$44,'Aff 7 CF'!$49:$50</definedName>
    <definedName name="Z_C02CA8E5_5D4C_45E5_BC4A_4C9BE481059B_.wvu.Rows" localSheetId="59" hidden="1">'Aff 7 IS'!$43:$47</definedName>
    <definedName name="Z_C02CA8E5_5D4C_45E5_BC4A_4C9BE481059B_.wvu.Rows" localSheetId="64" hidden="1">'Aff 8 CF'!$37:$38,'Aff 8 CF'!$43:$44,'Aff 8 CF'!$49:$50</definedName>
    <definedName name="Z_C02CA8E5_5D4C_45E5_BC4A_4C9BE481059B_.wvu.Rows" localSheetId="62" hidden="1">'Aff 8 IS'!$43:$47</definedName>
    <definedName name="Z_C02CA8E5_5D4C_45E5_BC4A_4C9BE481059B_.wvu.Rows" localSheetId="67" hidden="1">'Aff 9 CF'!$37:$38,'Aff 9 CF'!$43:$44,'Aff 9 CF'!$49:$50</definedName>
    <definedName name="Z_C02CA8E5_5D4C_45E5_BC4A_4C9BE481059B_.wvu.Rows" localSheetId="65" hidden="1">'Aff 9 IS'!$43:$47</definedName>
    <definedName name="Z_C02CA8E5_5D4C_45E5_BC4A_4C9BE481059B_.wvu.Rows" localSheetId="97" hidden="1">'Amort Sch'!$5:$14</definedName>
    <definedName name="Z_C02CA8E5_5D4C_45E5_BC4A_4C9BE481059B_.wvu.Rows" localSheetId="98" hidden="1">'Amort Sch (2)'!$5:$14</definedName>
    <definedName name="Z_C02CA8E5_5D4C_45E5_BC4A_4C9BE481059B_.wvu.Rows" localSheetId="16" hidden="1">'Break Even'!$43:$47</definedName>
    <definedName name="Z_C02CA8E5_5D4C_45E5_BC4A_4C9BE481059B_.wvu.Rows" localSheetId="14" hidden="1">'Cash Flow'!#REF!,'Cash Flow'!#REF!,'Cash Flow'!#REF!</definedName>
    <definedName name="Z_C02CA8E5_5D4C_45E5_BC4A_4C9BE481059B_.wvu.Rows" localSheetId="24" hidden="1">'EPC CF'!$37:$38,'EPC CF'!$43:$44,'EPC CF'!$49:$50</definedName>
    <definedName name="Z_C02CA8E5_5D4C_45E5_BC4A_4C9BE481059B_.wvu.Rows" localSheetId="22" hidden="1">'EPC IS'!$43:$47</definedName>
    <definedName name="Z_C02CA8E5_5D4C_45E5_BC4A_4C9BE481059B_.wvu.Rows" localSheetId="17" hidden="1">'Global CF'!$46:$47,'Global CF'!$52:$53,'Global CF'!$58:$59</definedName>
    <definedName name="Z_C02CA8E5_5D4C_45E5_BC4A_4C9BE481059B_.wvu.Rows" localSheetId="13" hidden="1">'Hist IS and Proj'!$43:$47</definedName>
    <definedName name="Z_DB1F6E98_7FCC_445F_9DA6_47D8BF8BE969_.wvu.PrintArea" localSheetId="42" hidden="1">'Aff 1 BS'!$A$1:$J$129</definedName>
    <definedName name="Z_DB1F6E98_7FCC_445F_9DA6_47D8BF8BE969_.wvu.PrintArea" localSheetId="43" hidden="1">'Aff 1 CF'!$A$1:$R$78</definedName>
    <definedName name="Z_DB1F6E98_7FCC_445F_9DA6_47D8BF8BE969_.wvu.PrintArea" localSheetId="41" hidden="1">'Aff 1 IS'!$B$1:$O$126</definedName>
    <definedName name="Z_DB1F6E98_7FCC_445F_9DA6_47D8BF8BE969_.wvu.PrintArea" localSheetId="69" hidden="1">'Aff 10 BS'!$A$1:$J$129</definedName>
    <definedName name="Z_DB1F6E98_7FCC_445F_9DA6_47D8BF8BE969_.wvu.PrintArea" localSheetId="70" hidden="1">'Aff 10 CF'!$A$1:$R$79</definedName>
    <definedName name="Z_DB1F6E98_7FCC_445F_9DA6_47D8BF8BE969_.wvu.PrintArea" localSheetId="68" hidden="1">'Aff 10 IS'!$B$1:$O$126</definedName>
    <definedName name="Z_DB1F6E98_7FCC_445F_9DA6_47D8BF8BE969_.wvu.PrintArea" localSheetId="72" hidden="1">'Aff 11 BS'!$A$1:$J$129</definedName>
    <definedName name="Z_DB1F6E98_7FCC_445F_9DA6_47D8BF8BE969_.wvu.PrintArea" localSheetId="73" hidden="1">'Aff 11 CF'!$A$1:$R$79</definedName>
    <definedName name="Z_DB1F6E98_7FCC_445F_9DA6_47D8BF8BE969_.wvu.PrintArea" localSheetId="71" hidden="1">'Aff 11 IS'!$B$1:$O$126</definedName>
    <definedName name="Z_DB1F6E98_7FCC_445F_9DA6_47D8BF8BE969_.wvu.PrintArea" localSheetId="75" hidden="1">'Aff 12 BS'!$A$1:$J$129</definedName>
    <definedName name="Z_DB1F6E98_7FCC_445F_9DA6_47D8BF8BE969_.wvu.PrintArea" localSheetId="76" hidden="1">'Aff 12 CF'!$A$1:$R$79</definedName>
    <definedName name="Z_DB1F6E98_7FCC_445F_9DA6_47D8BF8BE969_.wvu.PrintArea" localSheetId="74" hidden="1">'Aff 12 IS'!$B$1:$O$126</definedName>
    <definedName name="Z_DB1F6E98_7FCC_445F_9DA6_47D8BF8BE969_.wvu.PrintArea" localSheetId="78" hidden="1">'Aff 13 BS'!$A$1:$J$129</definedName>
    <definedName name="Z_DB1F6E98_7FCC_445F_9DA6_47D8BF8BE969_.wvu.PrintArea" localSheetId="79" hidden="1">'Aff 13 CF'!$A$1:$R$79</definedName>
    <definedName name="Z_DB1F6E98_7FCC_445F_9DA6_47D8BF8BE969_.wvu.PrintArea" localSheetId="77" hidden="1">'Aff 13 IS'!$B$1:$O$126</definedName>
    <definedName name="Z_DB1F6E98_7FCC_445F_9DA6_47D8BF8BE969_.wvu.PrintArea" localSheetId="81" hidden="1">'Aff 14 BS'!$A$1:$J$129</definedName>
    <definedName name="Z_DB1F6E98_7FCC_445F_9DA6_47D8BF8BE969_.wvu.PrintArea" localSheetId="82" hidden="1">'Aff 14 CF'!$A$1:$R$79</definedName>
    <definedName name="Z_DB1F6E98_7FCC_445F_9DA6_47D8BF8BE969_.wvu.PrintArea" localSheetId="80" hidden="1">'Aff 14 IS'!$B$1:$O$126</definedName>
    <definedName name="Z_DB1F6E98_7FCC_445F_9DA6_47D8BF8BE969_.wvu.PrintArea" localSheetId="84" hidden="1">'Aff 15 BS'!$A$1:$J$129</definedName>
    <definedName name="Z_DB1F6E98_7FCC_445F_9DA6_47D8BF8BE969_.wvu.PrintArea" localSheetId="85" hidden="1">'Aff 15 CF'!$A$1:$R$79</definedName>
    <definedName name="Z_DB1F6E98_7FCC_445F_9DA6_47D8BF8BE969_.wvu.PrintArea" localSheetId="83" hidden="1">'Aff 15 IS'!$B$1:$O$126</definedName>
    <definedName name="Z_DB1F6E98_7FCC_445F_9DA6_47D8BF8BE969_.wvu.PrintArea" localSheetId="87" hidden="1">'Aff 16 BS'!$A$1:$J$129</definedName>
    <definedName name="Z_DB1F6E98_7FCC_445F_9DA6_47D8BF8BE969_.wvu.PrintArea" localSheetId="88" hidden="1">'Aff 16 CF'!$A$1:$R$79</definedName>
    <definedName name="Z_DB1F6E98_7FCC_445F_9DA6_47D8BF8BE969_.wvu.PrintArea" localSheetId="86" hidden="1">'Aff 16 IS'!$B$1:$O$126</definedName>
    <definedName name="Z_DB1F6E98_7FCC_445F_9DA6_47D8BF8BE969_.wvu.PrintArea" localSheetId="90" hidden="1">'Aff 17 BS'!$A$1:$J$129</definedName>
    <definedName name="Z_DB1F6E98_7FCC_445F_9DA6_47D8BF8BE969_.wvu.PrintArea" localSheetId="91" hidden="1">'Aff 17 CF'!$A$1:$R$79</definedName>
    <definedName name="Z_DB1F6E98_7FCC_445F_9DA6_47D8BF8BE969_.wvu.PrintArea" localSheetId="89" hidden="1">'Aff 17 IS'!$B$1:$O$126</definedName>
    <definedName name="Z_DB1F6E98_7FCC_445F_9DA6_47D8BF8BE969_.wvu.PrintArea" localSheetId="93" hidden="1">'Aff 18 BS'!$A$1:$J$129</definedName>
    <definedName name="Z_DB1F6E98_7FCC_445F_9DA6_47D8BF8BE969_.wvu.PrintArea" localSheetId="94" hidden="1">'Aff 18 CF'!$A$1:$R$79</definedName>
    <definedName name="Z_DB1F6E98_7FCC_445F_9DA6_47D8BF8BE969_.wvu.PrintArea" localSheetId="92" hidden="1">'Aff 18 IS'!$B$1:$O$126</definedName>
    <definedName name="Z_DB1F6E98_7FCC_445F_9DA6_47D8BF8BE969_.wvu.PrintArea" localSheetId="45" hidden="1">'Aff 2 BS'!$A$1:$J$129</definedName>
    <definedName name="Z_DB1F6E98_7FCC_445F_9DA6_47D8BF8BE969_.wvu.PrintArea" localSheetId="46" hidden="1">'Aff 2 CF'!$A$1:$R$79</definedName>
    <definedName name="Z_DB1F6E98_7FCC_445F_9DA6_47D8BF8BE969_.wvu.PrintArea" localSheetId="44" hidden="1">'Aff 2 IS'!$B$1:$O$126</definedName>
    <definedName name="Z_DB1F6E98_7FCC_445F_9DA6_47D8BF8BE969_.wvu.PrintArea" localSheetId="48" hidden="1">'Aff 3 BS'!$A$1:$J$129</definedName>
    <definedName name="Z_DB1F6E98_7FCC_445F_9DA6_47D8BF8BE969_.wvu.PrintArea" localSheetId="49" hidden="1">'Aff 3 CF'!$A$1:$R$79</definedName>
    <definedName name="Z_DB1F6E98_7FCC_445F_9DA6_47D8BF8BE969_.wvu.PrintArea" localSheetId="47" hidden="1">'Aff 3 IS'!$B$1:$O$126</definedName>
    <definedName name="Z_DB1F6E98_7FCC_445F_9DA6_47D8BF8BE969_.wvu.PrintArea" localSheetId="51" hidden="1">'Aff 4 BS'!$A$1:$J$129</definedName>
    <definedName name="Z_DB1F6E98_7FCC_445F_9DA6_47D8BF8BE969_.wvu.PrintArea" localSheetId="52" hidden="1">'Aff 4 CF'!$A$1:$R$79</definedName>
    <definedName name="Z_DB1F6E98_7FCC_445F_9DA6_47D8BF8BE969_.wvu.PrintArea" localSheetId="50" hidden="1">'Aff 4 IS'!$B$1:$O$126</definedName>
    <definedName name="Z_DB1F6E98_7FCC_445F_9DA6_47D8BF8BE969_.wvu.PrintArea" localSheetId="54" hidden="1">'Aff 5 BS'!$A$1:$J$129</definedName>
    <definedName name="Z_DB1F6E98_7FCC_445F_9DA6_47D8BF8BE969_.wvu.PrintArea" localSheetId="55" hidden="1">'Aff 5 CF'!$A$1:$R$79</definedName>
    <definedName name="Z_DB1F6E98_7FCC_445F_9DA6_47D8BF8BE969_.wvu.PrintArea" localSheetId="53" hidden="1">'Aff 5 IS'!$B$1:$O$126</definedName>
    <definedName name="Z_DB1F6E98_7FCC_445F_9DA6_47D8BF8BE969_.wvu.PrintArea" localSheetId="57" hidden="1">'Aff 6 BS'!$A$1:$J$129</definedName>
    <definedName name="Z_DB1F6E98_7FCC_445F_9DA6_47D8BF8BE969_.wvu.PrintArea" localSheetId="58" hidden="1">'Aff 6 CF'!$A$1:$R$79</definedName>
    <definedName name="Z_DB1F6E98_7FCC_445F_9DA6_47D8BF8BE969_.wvu.PrintArea" localSheetId="56" hidden="1">'Aff 6 IS'!$B$1:$O$126</definedName>
    <definedName name="Z_DB1F6E98_7FCC_445F_9DA6_47D8BF8BE969_.wvu.PrintArea" localSheetId="60" hidden="1">'Aff 7 BS'!$A$1:$J$129</definedName>
    <definedName name="Z_DB1F6E98_7FCC_445F_9DA6_47D8BF8BE969_.wvu.PrintArea" localSheetId="61" hidden="1">'Aff 7 CF'!$A$1:$R$79</definedName>
    <definedName name="Z_DB1F6E98_7FCC_445F_9DA6_47D8BF8BE969_.wvu.PrintArea" localSheetId="59" hidden="1">'Aff 7 IS'!$B$1:$O$126</definedName>
    <definedName name="Z_DB1F6E98_7FCC_445F_9DA6_47D8BF8BE969_.wvu.PrintArea" localSheetId="63" hidden="1">'Aff 8 BS'!$A$1:$J$129</definedName>
    <definedName name="Z_DB1F6E98_7FCC_445F_9DA6_47D8BF8BE969_.wvu.PrintArea" localSheetId="64" hidden="1">'Aff 8 CF'!$A$1:$R$79</definedName>
    <definedName name="Z_DB1F6E98_7FCC_445F_9DA6_47D8BF8BE969_.wvu.PrintArea" localSheetId="62" hidden="1">'Aff 8 IS'!$B$1:$O$126</definedName>
    <definedName name="Z_DB1F6E98_7FCC_445F_9DA6_47D8BF8BE969_.wvu.PrintArea" localSheetId="66" hidden="1">'Aff 9 BS'!$A$1:$J$129</definedName>
    <definedName name="Z_DB1F6E98_7FCC_445F_9DA6_47D8BF8BE969_.wvu.PrintArea" localSheetId="67" hidden="1">'Aff 9 CF'!$A$1:$R$79</definedName>
    <definedName name="Z_DB1F6E98_7FCC_445F_9DA6_47D8BF8BE969_.wvu.PrintArea" localSheetId="65" hidden="1">'Aff 9 IS'!$B$1:$O$126</definedName>
    <definedName name="Z_DB1F6E98_7FCC_445F_9DA6_47D8BF8BE969_.wvu.PrintArea" localSheetId="97" hidden="1">'Amort Sch'!$A$1:$J$378</definedName>
    <definedName name="Z_DB1F6E98_7FCC_445F_9DA6_47D8BF8BE969_.wvu.PrintArea" localSheetId="98" hidden="1">'Amort Sch (2)'!$A$1:$J$378</definedName>
    <definedName name="Z_DB1F6E98_7FCC_445F_9DA6_47D8BF8BE969_.wvu.PrintArea" localSheetId="16" hidden="1">'Break Even'!$B$1:$N$164</definedName>
    <definedName name="Z_DB1F6E98_7FCC_445F_9DA6_47D8BF8BE969_.wvu.PrintArea" localSheetId="40" hidden="1">'Bus Acq Elig'!$B$2:$T$137</definedName>
    <definedName name="Z_DB1F6E98_7FCC_445F_9DA6_47D8BF8BE969_.wvu.PrintArea" localSheetId="14" hidden="1">'Cash Flow'!$A$1:$R$118</definedName>
    <definedName name="Z_DB1F6E98_7FCC_445F_9DA6_47D8BF8BE969_.wvu.PrintArea" localSheetId="10" hidden="1">Coll!$B$2:$K$96</definedName>
    <definedName name="Z_DB1F6E98_7FCC_445F_9DA6_47D8BF8BE969_.wvu.PrintArea" localSheetId="11" hidden="1">'Coll (2)'!$B$2:$K$134</definedName>
    <definedName name="Z_DB1F6E98_7FCC_445F_9DA6_47D8BF8BE969_.wvu.PrintArea" localSheetId="15" hidden="1">'Debt Sch'!$B$1:$M$31</definedName>
    <definedName name="Z_DB1F6E98_7FCC_445F_9DA6_47D8BF8BE969_.wvu.PrintArea" localSheetId="23" hidden="1">'EPC BS'!$A$1:$J$122</definedName>
    <definedName name="Z_DB1F6E98_7FCC_445F_9DA6_47D8BF8BE969_.wvu.PrintArea" localSheetId="24" hidden="1">'EPC CF'!$A$1:$O$87</definedName>
    <definedName name="Z_DB1F6E98_7FCC_445F_9DA6_47D8BF8BE969_.wvu.PrintArea" localSheetId="22" hidden="1">'EPC IS'!$B$1:$O$126</definedName>
    <definedName name="Z_DB1F6E98_7FCC_445F_9DA6_47D8BF8BE969_.wvu.PrintArea" localSheetId="17" hidden="1">'Global CF'!$A$1:$R$123</definedName>
    <definedName name="Z_DB1F6E98_7FCC_445F_9DA6_47D8BF8BE969_.wvu.PrintArea" localSheetId="18" hidden="1">'Hist BS'!$A$1:$J$122</definedName>
    <definedName name="Z_DB1F6E98_7FCC_445F_9DA6_47D8BF8BE969_.wvu.PrintArea" localSheetId="13" hidden="1">'Hist IS and Proj'!$B$1:$O$126</definedName>
    <definedName name="Z_DB1F6E98_7FCC_445F_9DA6_47D8BF8BE969_.wvu.PrintArea" localSheetId="8" hidden="1">'Memo Grid'!$C$3:$I$16</definedName>
    <definedName name="Z_DB1F6E98_7FCC_445F_9DA6_47D8BF8BE969_.wvu.PrintArea" localSheetId="9" hidden="1">'Memo Grid 504'!$C$3:$I$16</definedName>
    <definedName name="Z_DB1F6E98_7FCC_445F_9DA6_47D8BF8BE969_.wvu.PrintArea" localSheetId="25" hidden="1">'Per Need 1'!$A$1:$K$53</definedName>
    <definedName name="Z_DB1F6E98_7FCC_445F_9DA6_47D8BF8BE969_.wvu.PrintArea" localSheetId="28" hidden="1">'Per Need 2'!$A$1:$K$53</definedName>
    <definedName name="Z_DB1F6E98_7FCC_445F_9DA6_47D8BF8BE969_.wvu.PrintArea" localSheetId="31" hidden="1">'Per Need 3'!$A$1:$K$53</definedName>
    <definedName name="Z_DB1F6E98_7FCC_445F_9DA6_47D8BF8BE969_.wvu.PrintArea" localSheetId="34" hidden="1">'Per Need 4'!$A$1:$K$53</definedName>
    <definedName name="Z_DB1F6E98_7FCC_445F_9DA6_47D8BF8BE969_.wvu.PrintArea" localSheetId="27" hidden="1">'Per RE 1'!$A$1:$K$51</definedName>
    <definedName name="Z_DB1F6E98_7FCC_445F_9DA6_47D8BF8BE969_.wvu.PrintArea" localSheetId="30" hidden="1">'Per RE 2'!$A$1:$I$32</definedName>
    <definedName name="Z_DB1F6E98_7FCC_445F_9DA6_47D8BF8BE969_.wvu.PrintArea" localSheetId="33" hidden="1">'Per RE 3'!$A$1:$I$32</definedName>
    <definedName name="Z_DB1F6E98_7FCC_445F_9DA6_47D8BF8BE969_.wvu.PrintArea" localSheetId="36" hidden="1">'Per RE 4'!$A$1:$I$32</definedName>
    <definedName name="Z_DB1F6E98_7FCC_445F_9DA6_47D8BF8BE969_.wvu.PrintArea" localSheetId="26" hidden="1">'PFS 1'!$A$1:$G$48</definedName>
    <definedName name="Z_DB1F6E98_7FCC_445F_9DA6_47D8BF8BE969_.wvu.PrintArea" localSheetId="29" hidden="1">'PFS 2'!$A$1:$G$48</definedName>
    <definedName name="Z_DB1F6E98_7FCC_445F_9DA6_47D8BF8BE969_.wvu.PrintArea" localSheetId="32" hidden="1">'PFS 3'!$A$1:$G$48</definedName>
    <definedName name="Z_DB1F6E98_7FCC_445F_9DA6_47D8BF8BE969_.wvu.PrintArea" localSheetId="35" hidden="1">'PFS 4'!$A$1:$G$48</definedName>
    <definedName name="Z_DB1F6E98_7FCC_445F_9DA6_47D8BF8BE969_.wvu.PrintArea" localSheetId="19" hidden="1">'Pro-forma'!$A$1:$J$96</definedName>
    <definedName name="Z_DB1F6E98_7FCC_445F_9DA6_47D8BF8BE969_.wvu.PrintArea" localSheetId="12" hidden="1">Ratios!$B$2:$U$73</definedName>
    <definedName name="Z_DB1F6E98_7FCC_445F_9DA6_47D8BF8BE969_.wvu.PrintArea" localSheetId="39" hidden="1">'SBA Debt Refi Elig'!$B$2:$T$53</definedName>
    <definedName name="Z_DB1F6E98_7FCC_445F_9DA6_47D8BF8BE969_.wvu.PrintArea" localSheetId="37" hidden="1">'SBA Elig'!$B$2:$T$158</definedName>
    <definedName name="Z_DB1F6E98_7FCC_445F_9DA6_47D8BF8BE969_.wvu.PrintArea" localSheetId="6" hidden="1">UOP!$B$1:$K$126</definedName>
    <definedName name="Z_DB1F6E98_7FCC_445F_9DA6_47D8BF8BE969_.wvu.PrintArea" localSheetId="7" hidden="1">'UOP (2)'!$B$1:$K$126</definedName>
    <definedName name="Z_DB1F6E98_7FCC_445F_9DA6_47D8BF8BE969_.wvu.PrintArea" localSheetId="5" hidden="1">'Wksht Print Separately'!$B$2:$I$292</definedName>
    <definedName name="Z_DB1F6E98_7FCC_445F_9DA6_47D8BF8BE969_.wvu.PrintTitles" localSheetId="97" hidden="1">'Amort Sch'!$15:$18</definedName>
    <definedName name="Z_DB1F6E98_7FCC_445F_9DA6_47D8BF8BE969_.wvu.PrintTitles" localSheetId="98" hidden="1">'Amort Sch (2)'!$15:$18</definedName>
    <definedName name="Z_DB1F6E98_7FCC_445F_9DA6_47D8BF8BE969_.wvu.Rows" localSheetId="43" hidden="1">'Aff 1 CF'!$37:$38,'Aff 1 CF'!$43:$44,'Aff 1 CF'!$49:$50</definedName>
    <definedName name="Z_DB1F6E98_7FCC_445F_9DA6_47D8BF8BE969_.wvu.Rows" localSheetId="41" hidden="1">'Aff 1 IS'!$43:$47</definedName>
    <definedName name="Z_DB1F6E98_7FCC_445F_9DA6_47D8BF8BE969_.wvu.Rows" localSheetId="70" hidden="1">'Aff 10 CF'!$37:$38,'Aff 10 CF'!$43:$44,'Aff 10 CF'!$49:$50</definedName>
    <definedName name="Z_DB1F6E98_7FCC_445F_9DA6_47D8BF8BE969_.wvu.Rows" localSheetId="68" hidden="1">'Aff 10 IS'!$43:$47</definedName>
    <definedName name="Z_DB1F6E98_7FCC_445F_9DA6_47D8BF8BE969_.wvu.Rows" localSheetId="73" hidden="1">'Aff 11 CF'!$37:$38,'Aff 11 CF'!$43:$44,'Aff 11 CF'!$49:$50</definedName>
    <definedName name="Z_DB1F6E98_7FCC_445F_9DA6_47D8BF8BE969_.wvu.Rows" localSheetId="71" hidden="1">'Aff 11 IS'!$43:$47</definedName>
    <definedName name="Z_DB1F6E98_7FCC_445F_9DA6_47D8BF8BE969_.wvu.Rows" localSheetId="76" hidden="1">'Aff 12 CF'!$37:$38,'Aff 12 CF'!$43:$44,'Aff 12 CF'!$49:$50</definedName>
    <definedName name="Z_DB1F6E98_7FCC_445F_9DA6_47D8BF8BE969_.wvu.Rows" localSheetId="74" hidden="1">'Aff 12 IS'!$43:$47</definedName>
    <definedName name="Z_DB1F6E98_7FCC_445F_9DA6_47D8BF8BE969_.wvu.Rows" localSheetId="79" hidden="1">'Aff 13 CF'!$37:$38,'Aff 13 CF'!$43:$44,'Aff 13 CF'!$49:$50</definedName>
    <definedName name="Z_DB1F6E98_7FCC_445F_9DA6_47D8BF8BE969_.wvu.Rows" localSheetId="77" hidden="1">'Aff 13 IS'!$43:$47</definedName>
    <definedName name="Z_DB1F6E98_7FCC_445F_9DA6_47D8BF8BE969_.wvu.Rows" localSheetId="82" hidden="1">'Aff 14 CF'!$37:$38,'Aff 14 CF'!$43:$44,'Aff 14 CF'!$49:$50</definedName>
    <definedName name="Z_DB1F6E98_7FCC_445F_9DA6_47D8BF8BE969_.wvu.Rows" localSheetId="80" hidden="1">'Aff 14 IS'!$43:$47</definedName>
    <definedName name="Z_DB1F6E98_7FCC_445F_9DA6_47D8BF8BE969_.wvu.Rows" localSheetId="85" hidden="1">'Aff 15 CF'!$37:$38,'Aff 15 CF'!$43:$44,'Aff 15 CF'!$49:$50</definedName>
    <definedName name="Z_DB1F6E98_7FCC_445F_9DA6_47D8BF8BE969_.wvu.Rows" localSheetId="83" hidden="1">'Aff 15 IS'!$43:$47</definedName>
    <definedName name="Z_DB1F6E98_7FCC_445F_9DA6_47D8BF8BE969_.wvu.Rows" localSheetId="88" hidden="1">'Aff 16 CF'!$37:$38,'Aff 16 CF'!$43:$44,'Aff 16 CF'!$49:$50</definedName>
    <definedName name="Z_DB1F6E98_7FCC_445F_9DA6_47D8BF8BE969_.wvu.Rows" localSheetId="86" hidden="1">'Aff 16 IS'!$43:$47</definedName>
    <definedName name="Z_DB1F6E98_7FCC_445F_9DA6_47D8BF8BE969_.wvu.Rows" localSheetId="91" hidden="1">'Aff 17 CF'!$37:$38,'Aff 17 CF'!$43:$44,'Aff 17 CF'!$49:$50</definedName>
    <definedName name="Z_DB1F6E98_7FCC_445F_9DA6_47D8BF8BE969_.wvu.Rows" localSheetId="89" hidden="1">'Aff 17 IS'!$43:$47</definedName>
    <definedName name="Z_DB1F6E98_7FCC_445F_9DA6_47D8BF8BE969_.wvu.Rows" localSheetId="94" hidden="1">'Aff 18 CF'!$37:$38,'Aff 18 CF'!$43:$44,'Aff 18 CF'!$49:$50</definedName>
    <definedName name="Z_DB1F6E98_7FCC_445F_9DA6_47D8BF8BE969_.wvu.Rows" localSheetId="92" hidden="1">'Aff 18 IS'!$43:$47</definedName>
    <definedName name="Z_DB1F6E98_7FCC_445F_9DA6_47D8BF8BE969_.wvu.Rows" localSheetId="46" hidden="1">'Aff 2 CF'!$37:$38,'Aff 2 CF'!$43:$44,'Aff 2 CF'!$49:$50</definedName>
    <definedName name="Z_DB1F6E98_7FCC_445F_9DA6_47D8BF8BE969_.wvu.Rows" localSheetId="44" hidden="1">'Aff 2 IS'!$43:$47</definedName>
    <definedName name="Z_DB1F6E98_7FCC_445F_9DA6_47D8BF8BE969_.wvu.Rows" localSheetId="49" hidden="1">'Aff 3 CF'!$37:$38,'Aff 3 CF'!$43:$44,'Aff 3 CF'!$49:$50</definedName>
    <definedName name="Z_DB1F6E98_7FCC_445F_9DA6_47D8BF8BE969_.wvu.Rows" localSheetId="47" hidden="1">'Aff 3 IS'!$43:$47</definedName>
    <definedName name="Z_DB1F6E98_7FCC_445F_9DA6_47D8BF8BE969_.wvu.Rows" localSheetId="52" hidden="1">'Aff 4 CF'!$37:$38,'Aff 4 CF'!$43:$44,'Aff 4 CF'!$49:$50</definedName>
    <definedName name="Z_DB1F6E98_7FCC_445F_9DA6_47D8BF8BE969_.wvu.Rows" localSheetId="50" hidden="1">'Aff 4 IS'!$43:$47</definedName>
    <definedName name="Z_DB1F6E98_7FCC_445F_9DA6_47D8BF8BE969_.wvu.Rows" localSheetId="55" hidden="1">'Aff 5 CF'!$37:$38,'Aff 5 CF'!$43:$44,'Aff 5 CF'!$49:$50</definedName>
    <definedName name="Z_DB1F6E98_7FCC_445F_9DA6_47D8BF8BE969_.wvu.Rows" localSheetId="53" hidden="1">'Aff 5 IS'!$43:$47</definedName>
    <definedName name="Z_DB1F6E98_7FCC_445F_9DA6_47D8BF8BE969_.wvu.Rows" localSheetId="58" hidden="1">'Aff 6 CF'!$37:$38,'Aff 6 CF'!$43:$44,'Aff 6 CF'!$49:$50</definedName>
    <definedName name="Z_DB1F6E98_7FCC_445F_9DA6_47D8BF8BE969_.wvu.Rows" localSheetId="56" hidden="1">'Aff 6 IS'!$43:$47</definedName>
    <definedName name="Z_DB1F6E98_7FCC_445F_9DA6_47D8BF8BE969_.wvu.Rows" localSheetId="61" hidden="1">'Aff 7 CF'!$37:$38,'Aff 7 CF'!$43:$44,'Aff 7 CF'!$49:$50</definedName>
    <definedName name="Z_DB1F6E98_7FCC_445F_9DA6_47D8BF8BE969_.wvu.Rows" localSheetId="59" hidden="1">'Aff 7 IS'!$43:$47</definedName>
    <definedName name="Z_DB1F6E98_7FCC_445F_9DA6_47D8BF8BE969_.wvu.Rows" localSheetId="64" hidden="1">'Aff 8 CF'!$37:$38,'Aff 8 CF'!$43:$44,'Aff 8 CF'!$49:$50</definedName>
    <definedName name="Z_DB1F6E98_7FCC_445F_9DA6_47D8BF8BE969_.wvu.Rows" localSheetId="62" hidden="1">'Aff 8 IS'!$43:$47</definedName>
    <definedName name="Z_DB1F6E98_7FCC_445F_9DA6_47D8BF8BE969_.wvu.Rows" localSheetId="67" hidden="1">'Aff 9 CF'!$37:$38,'Aff 9 CF'!$43:$44,'Aff 9 CF'!$49:$50</definedName>
    <definedName name="Z_DB1F6E98_7FCC_445F_9DA6_47D8BF8BE969_.wvu.Rows" localSheetId="65" hidden="1">'Aff 9 IS'!$43:$47</definedName>
    <definedName name="Z_DB1F6E98_7FCC_445F_9DA6_47D8BF8BE969_.wvu.Rows" localSheetId="97" hidden="1">'Amort Sch'!$13:$13</definedName>
    <definedName name="Z_DB1F6E98_7FCC_445F_9DA6_47D8BF8BE969_.wvu.Rows" localSheetId="98" hidden="1">'Amort Sch (2)'!$13:$13</definedName>
    <definedName name="Z_DB1F6E98_7FCC_445F_9DA6_47D8BF8BE969_.wvu.Rows" localSheetId="16" hidden="1">'Break Even'!$43:$47</definedName>
    <definedName name="Z_DB1F6E98_7FCC_445F_9DA6_47D8BF8BE969_.wvu.Rows" localSheetId="14" hidden="1">'Cash Flow'!#REF!,'Cash Flow'!#REF!,'Cash Flow'!#REF!</definedName>
    <definedName name="Z_DB1F6E98_7FCC_445F_9DA6_47D8BF8BE969_.wvu.Rows" localSheetId="15" hidden="1">'Debt Sch'!#REF!</definedName>
    <definedName name="Z_DB1F6E98_7FCC_445F_9DA6_47D8BF8BE969_.wvu.Rows" localSheetId="24" hidden="1">'EPC CF'!$36:$50</definedName>
    <definedName name="Z_DB1F6E98_7FCC_445F_9DA6_47D8BF8BE969_.wvu.Rows" localSheetId="22" hidden="1">'EPC IS'!$43:$47</definedName>
    <definedName name="Z_DB1F6E98_7FCC_445F_9DA6_47D8BF8BE969_.wvu.Rows" localSheetId="17" hidden="1">'Global CF'!$46:$46,'Global CF'!$52:$52,'Global CF'!$58:$58</definedName>
    <definedName name="Z_DB1F6E98_7FCC_445F_9DA6_47D8BF8BE969_.wvu.Rows" localSheetId="13" hidden="1">'Hist IS and Proj'!$43:$47</definedName>
    <definedName name="Z_EDC0EC15_0264_48C8_A990_093960AE8EF3_.wvu.PrintArea" localSheetId="42" hidden="1">'Aff 1 BS'!$A$1:$J$129</definedName>
    <definedName name="Z_EDC0EC15_0264_48C8_A990_093960AE8EF3_.wvu.PrintArea" localSheetId="43" hidden="1">'Aff 1 CF'!$A$1:$R$118</definedName>
    <definedName name="Z_EDC0EC15_0264_48C8_A990_093960AE8EF3_.wvu.PrintArea" localSheetId="41" hidden="1">'Aff 1 IS'!$B$1:$O$126</definedName>
    <definedName name="Z_EDC0EC15_0264_48C8_A990_093960AE8EF3_.wvu.PrintArea" localSheetId="69" hidden="1">'Aff 10 BS'!$A$1:$J$129</definedName>
    <definedName name="Z_EDC0EC15_0264_48C8_A990_093960AE8EF3_.wvu.PrintArea" localSheetId="70" hidden="1">'Aff 10 CF'!$A$1:$R$118</definedName>
    <definedName name="Z_EDC0EC15_0264_48C8_A990_093960AE8EF3_.wvu.PrintArea" localSheetId="68" hidden="1">'Aff 10 IS'!$B$1:$O$126</definedName>
    <definedName name="Z_EDC0EC15_0264_48C8_A990_093960AE8EF3_.wvu.PrintArea" localSheetId="72" hidden="1">'Aff 11 BS'!$A$1:$J$129</definedName>
    <definedName name="Z_EDC0EC15_0264_48C8_A990_093960AE8EF3_.wvu.PrintArea" localSheetId="73" hidden="1">'Aff 11 CF'!$A$1:$R$118</definedName>
    <definedName name="Z_EDC0EC15_0264_48C8_A990_093960AE8EF3_.wvu.PrintArea" localSheetId="71" hidden="1">'Aff 11 IS'!$B$1:$O$126</definedName>
    <definedName name="Z_EDC0EC15_0264_48C8_A990_093960AE8EF3_.wvu.PrintArea" localSheetId="75" hidden="1">'Aff 12 BS'!$A$1:$J$129</definedName>
    <definedName name="Z_EDC0EC15_0264_48C8_A990_093960AE8EF3_.wvu.PrintArea" localSheetId="76" hidden="1">'Aff 12 CF'!$A$1:$R$118</definedName>
    <definedName name="Z_EDC0EC15_0264_48C8_A990_093960AE8EF3_.wvu.PrintArea" localSheetId="74" hidden="1">'Aff 12 IS'!$B$1:$O$126</definedName>
    <definedName name="Z_EDC0EC15_0264_48C8_A990_093960AE8EF3_.wvu.PrintArea" localSheetId="78" hidden="1">'Aff 13 BS'!$A$1:$J$129</definedName>
    <definedName name="Z_EDC0EC15_0264_48C8_A990_093960AE8EF3_.wvu.PrintArea" localSheetId="79" hidden="1">'Aff 13 CF'!$A$1:$R$118</definedName>
    <definedName name="Z_EDC0EC15_0264_48C8_A990_093960AE8EF3_.wvu.PrintArea" localSheetId="77" hidden="1">'Aff 13 IS'!$B$1:$O$126</definedName>
    <definedName name="Z_EDC0EC15_0264_48C8_A990_093960AE8EF3_.wvu.PrintArea" localSheetId="81" hidden="1">'Aff 14 BS'!$A$1:$J$129</definedName>
    <definedName name="Z_EDC0EC15_0264_48C8_A990_093960AE8EF3_.wvu.PrintArea" localSheetId="82" hidden="1">'Aff 14 CF'!$A$1:$R$118</definedName>
    <definedName name="Z_EDC0EC15_0264_48C8_A990_093960AE8EF3_.wvu.PrintArea" localSheetId="80" hidden="1">'Aff 14 IS'!$B$1:$O$126</definedName>
    <definedName name="Z_EDC0EC15_0264_48C8_A990_093960AE8EF3_.wvu.PrintArea" localSheetId="84" hidden="1">'Aff 15 BS'!$A$1:$J$129</definedName>
    <definedName name="Z_EDC0EC15_0264_48C8_A990_093960AE8EF3_.wvu.PrintArea" localSheetId="85" hidden="1">'Aff 15 CF'!$A$1:$R$118</definedName>
    <definedName name="Z_EDC0EC15_0264_48C8_A990_093960AE8EF3_.wvu.PrintArea" localSheetId="83" hidden="1">'Aff 15 IS'!$B$1:$O$126</definedName>
    <definedName name="Z_EDC0EC15_0264_48C8_A990_093960AE8EF3_.wvu.PrintArea" localSheetId="87" hidden="1">'Aff 16 BS'!$A$1:$J$129</definedName>
    <definedName name="Z_EDC0EC15_0264_48C8_A990_093960AE8EF3_.wvu.PrintArea" localSheetId="88" hidden="1">'Aff 16 CF'!$A$1:$R$118</definedName>
    <definedName name="Z_EDC0EC15_0264_48C8_A990_093960AE8EF3_.wvu.PrintArea" localSheetId="86" hidden="1">'Aff 16 IS'!$B$1:$O$126</definedName>
    <definedName name="Z_EDC0EC15_0264_48C8_A990_093960AE8EF3_.wvu.PrintArea" localSheetId="90" hidden="1">'Aff 17 BS'!$A$1:$J$129</definedName>
    <definedName name="Z_EDC0EC15_0264_48C8_A990_093960AE8EF3_.wvu.PrintArea" localSheetId="91" hidden="1">'Aff 17 CF'!$A$1:$R$118</definedName>
    <definedName name="Z_EDC0EC15_0264_48C8_A990_093960AE8EF3_.wvu.PrintArea" localSheetId="89" hidden="1">'Aff 17 IS'!$B$1:$O$126</definedName>
    <definedName name="Z_EDC0EC15_0264_48C8_A990_093960AE8EF3_.wvu.PrintArea" localSheetId="93" hidden="1">'Aff 18 BS'!$A$1:$J$129</definedName>
    <definedName name="Z_EDC0EC15_0264_48C8_A990_093960AE8EF3_.wvu.PrintArea" localSheetId="94" hidden="1">'Aff 18 CF'!$A$1:$R$118</definedName>
    <definedName name="Z_EDC0EC15_0264_48C8_A990_093960AE8EF3_.wvu.PrintArea" localSheetId="92" hidden="1">'Aff 18 IS'!$B$1:$O$126</definedName>
    <definedName name="Z_EDC0EC15_0264_48C8_A990_093960AE8EF3_.wvu.PrintArea" localSheetId="45" hidden="1">'Aff 2 BS'!$A$1:$J$129</definedName>
    <definedName name="Z_EDC0EC15_0264_48C8_A990_093960AE8EF3_.wvu.PrintArea" localSheetId="46" hidden="1">'Aff 2 CF'!$A$1:$R$118</definedName>
    <definedName name="Z_EDC0EC15_0264_48C8_A990_093960AE8EF3_.wvu.PrintArea" localSheetId="44" hidden="1">'Aff 2 IS'!$B$1:$O$126</definedName>
    <definedName name="Z_EDC0EC15_0264_48C8_A990_093960AE8EF3_.wvu.PrintArea" localSheetId="48" hidden="1">'Aff 3 BS'!$A$1:$J$129</definedName>
    <definedName name="Z_EDC0EC15_0264_48C8_A990_093960AE8EF3_.wvu.PrintArea" localSheetId="49" hidden="1">'Aff 3 CF'!$A$1:$R$118</definedName>
    <definedName name="Z_EDC0EC15_0264_48C8_A990_093960AE8EF3_.wvu.PrintArea" localSheetId="47" hidden="1">'Aff 3 IS'!$B$1:$O$126</definedName>
    <definedName name="Z_EDC0EC15_0264_48C8_A990_093960AE8EF3_.wvu.PrintArea" localSheetId="51" hidden="1">'Aff 4 BS'!$A$1:$J$129</definedName>
    <definedName name="Z_EDC0EC15_0264_48C8_A990_093960AE8EF3_.wvu.PrintArea" localSheetId="52" hidden="1">'Aff 4 CF'!$A$1:$R$118</definedName>
    <definedName name="Z_EDC0EC15_0264_48C8_A990_093960AE8EF3_.wvu.PrintArea" localSheetId="50" hidden="1">'Aff 4 IS'!$B$1:$O$126</definedName>
    <definedName name="Z_EDC0EC15_0264_48C8_A990_093960AE8EF3_.wvu.PrintArea" localSheetId="54" hidden="1">'Aff 5 BS'!$A$1:$J$129</definedName>
    <definedName name="Z_EDC0EC15_0264_48C8_A990_093960AE8EF3_.wvu.PrintArea" localSheetId="55" hidden="1">'Aff 5 CF'!$A$1:$R$118</definedName>
    <definedName name="Z_EDC0EC15_0264_48C8_A990_093960AE8EF3_.wvu.PrintArea" localSheetId="53" hidden="1">'Aff 5 IS'!$B$1:$O$126</definedName>
    <definedName name="Z_EDC0EC15_0264_48C8_A990_093960AE8EF3_.wvu.PrintArea" localSheetId="57" hidden="1">'Aff 6 BS'!$A$1:$J$129</definedName>
    <definedName name="Z_EDC0EC15_0264_48C8_A990_093960AE8EF3_.wvu.PrintArea" localSheetId="58" hidden="1">'Aff 6 CF'!$A$1:$R$118</definedName>
    <definedName name="Z_EDC0EC15_0264_48C8_A990_093960AE8EF3_.wvu.PrintArea" localSheetId="56" hidden="1">'Aff 6 IS'!$B$1:$O$126</definedName>
    <definedName name="Z_EDC0EC15_0264_48C8_A990_093960AE8EF3_.wvu.PrintArea" localSheetId="60" hidden="1">'Aff 7 BS'!$A$1:$J$129</definedName>
    <definedName name="Z_EDC0EC15_0264_48C8_A990_093960AE8EF3_.wvu.PrintArea" localSheetId="61" hidden="1">'Aff 7 CF'!$A$1:$R$118</definedName>
    <definedName name="Z_EDC0EC15_0264_48C8_A990_093960AE8EF3_.wvu.PrintArea" localSheetId="59" hidden="1">'Aff 7 IS'!$B$1:$O$126</definedName>
    <definedName name="Z_EDC0EC15_0264_48C8_A990_093960AE8EF3_.wvu.PrintArea" localSheetId="63" hidden="1">'Aff 8 BS'!$A$1:$J$129</definedName>
    <definedName name="Z_EDC0EC15_0264_48C8_A990_093960AE8EF3_.wvu.PrintArea" localSheetId="64" hidden="1">'Aff 8 CF'!$A$1:$R$118</definedName>
    <definedName name="Z_EDC0EC15_0264_48C8_A990_093960AE8EF3_.wvu.PrintArea" localSheetId="62" hidden="1">'Aff 8 IS'!$B$1:$O$126</definedName>
    <definedName name="Z_EDC0EC15_0264_48C8_A990_093960AE8EF3_.wvu.PrintArea" localSheetId="66" hidden="1">'Aff 9 BS'!$A$1:$J$129</definedName>
    <definedName name="Z_EDC0EC15_0264_48C8_A990_093960AE8EF3_.wvu.PrintArea" localSheetId="67" hidden="1">'Aff 9 CF'!$A$1:$R$118</definedName>
    <definedName name="Z_EDC0EC15_0264_48C8_A990_093960AE8EF3_.wvu.PrintArea" localSheetId="65" hidden="1">'Aff 9 IS'!$B$1:$O$126</definedName>
    <definedName name="Z_EDC0EC15_0264_48C8_A990_093960AE8EF3_.wvu.PrintArea" localSheetId="16" hidden="1">'Break Even'!$B$1:$N$164</definedName>
    <definedName name="Z_EDC0EC15_0264_48C8_A990_093960AE8EF3_.wvu.PrintArea" localSheetId="40" hidden="1">'Bus Acq Elig'!$B$2:$T$137</definedName>
    <definedName name="Z_EDC0EC15_0264_48C8_A990_093960AE8EF3_.wvu.PrintArea" localSheetId="14" hidden="1">'Cash Flow'!$A$1:$R$118</definedName>
    <definedName name="Z_EDC0EC15_0264_48C8_A990_093960AE8EF3_.wvu.PrintArea" localSheetId="10" hidden="1">Coll!$B$2:$K$96</definedName>
    <definedName name="Z_EDC0EC15_0264_48C8_A990_093960AE8EF3_.wvu.PrintArea" localSheetId="11" hidden="1">'Coll (2)'!$B$2:$K$134</definedName>
    <definedName name="Z_EDC0EC15_0264_48C8_A990_093960AE8EF3_.wvu.PrintArea" localSheetId="15" hidden="1">'Debt Sch'!$B$1:$M$31</definedName>
    <definedName name="Z_EDC0EC15_0264_48C8_A990_093960AE8EF3_.wvu.PrintArea" localSheetId="23" hidden="1">'EPC BS'!$A$1:$J$122</definedName>
    <definedName name="Z_EDC0EC15_0264_48C8_A990_093960AE8EF3_.wvu.PrintArea" localSheetId="24" hidden="1">'EPC CF'!$A$1:$O$87</definedName>
    <definedName name="Z_EDC0EC15_0264_48C8_A990_093960AE8EF3_.wvu.PrintArea" localSheetId="22" hidden="1">'EPC IS'!$B$1:$O$126</definedName>
    <definedName name="Z_EDC0EC15_0264_48C8_A990_093960AE8EF3_.wvu.PrintArea" localSheetId="17" hidden="1">'Global CF'!$A$1:$R$123</definedName>
    <definedName name="Z_EDC0EC15_0264_48C8_A990_093960AE8EF3_.wvu.PrintArea" localSheetId="18" hidden="1">'Hist BS'!$A$1:$J$122</definedName>
    <definedName name="Z_EDC0EC15_0264_48C8_A990_093960AE8EF3_.wvu.PrintArea" localSheetId="13" hidden="1">'Hist IS and Proj'!$B$1:$O$126</definedName>
    <definedName name="Z_EDC0EC15_0264_48C8_A990_093960AE8EF3_.wvu.PrintArea" localSheetId="8" hidden="1">'Memo Grid'!$C$3:$I$16</definedName>
    <definedName name="Z_EDC0EC15_0264_48C8_A990_093960AE8EF3_.wvu.PrintArea" localSheetId="9" hidden="1">'Memo Grid 504'!$C$3:$I$16</definedName>
    <definedName name="Z_EDC0EC15_0264_48C8_A990_093960AE8EF3_.wvu.PrintArea" localSheetId="25" hidden="1">'Per Need 1'!$A$1:$K$53</definedName>
    <definedName name="Z_EDC0EC15_0264_48C8_A990_093960AE8EF3_.wvu.PrintArea" localSheetId="28" hidden="1">'Per Need 2'!$A$1:$K$53</definedName>
    <definedName name="Z_EDC0EC15_0264_48C8_A990_093960AE8EF3_.wvu.PrintArea" localSheetId="31" hidden="1">'Per Need 3'!$A$1:$K$53</definedName>
    <definedName name="Z_EDC0EC15_0264_48C8_A990_093960AE8EF3_.wvu.PrintArea" localSheetId="34" hidden="1">'Per Need 4'!$A$1:$K$53</definedName>
    <definedName name="Z_EDC0EC15_0264_48C8_A990_093960AE8EF3_.wvu.PrintArea" localSheetId="27" hidden="1">'Per RE 1'!$A$1:$K$51</definedName>
    <definedName name="Z_EDC0EC15_0264_48C8_A990_093960AE8EF3_.wvu.PrintArea" localSheetId="30" hidden="1">'Per RE 2'!$A$1:$I$32</definedName>
    <definedName name="Z_EDC0EC15_0264_48C8_A990_093960AE8EF3_.wvu.PrintArea" localSheetId="33" hidden="1">'Per RE 3'!$A$1:$I$32</definedName>
    <definedName name="Z_EDC0EC15_0264_48C8_A990_093960AE8EF3_.wvu.PrintArea" localSheetId="36" hidden="1">'Per RE 4'!$A$1:$I$32</definedName>
    <definedName name="Z_EDC0EC15_0264_48C8_A990_093960AE8EF3_.wvu.PrintArea" localSheetId="26" hidden="1">'PFS 1'!$A$1:$G$48</definedName>
    <definedName name="Z_EDC0EC15_0264_48C8_A990_093960AE8EF3_.wvu.PrintArea" localSheetId="29" hidden="1">'PFS 2'!$A$1:$G$48</definedName>
    <definedName name="Z_EDC0EC15_0264_48C8_A990_093960AE8EF3_.wvu.PrintArea" localSheetId="32" hidden="1">'PFS 3'!$A$1:$G$48</definedName>
    <definedName name="Z_EDC0EC15_0264_48C8_A990_093960AE8EF3_.wvu.PrintArea" localSheetId="35" hidden="1">'PFS 4'!$A$1:$G$48</definedName>
    <definedName name="Z_EDC0EC15_0264_48C8_A990_093960AE8EF3_.wvu.PrintArea" localSheetId="19" hidden="1">'Pro-forma'!$A$1:$J$96</definedName>
    <definedName name="Z_EDC0EC15_0264_48C8_A990_093960AE8EF3_.wvu.PrintArea" localSheetId="12" hidden="1">Ratios!$B$2:$U$73</definedName>
    <definedName name="Z_EDC0EC15_0264_48C8_A990_093960AE8EF3_.wvu.PrintArea" localSheetId="39" hidden="1">'SBA Debt Refi Elig'!$B$2:$T$53</definedName>
    <definedName name="Z_EDC0EC15_0264_48C8_A990_093960AE8EF3_.wvu.PrintArea" localSheetId="37" hidden="1">'SBA Elig'!$B$2:$T$158</definedName>
    <definedName name="Z_EDC0EC15_0264_48C8_A990_093960AE8EF3_.wvu.PrintArea" localSheetId="6" hidden="1">UOP!$B$1:$K$126</definedName>
    <definedName name="Z_EDC0EC15_0264_48C8_A990_093960AE8EF3_.wvu.PrintArea" localSheetId="7" hidden="1">'UOP (2)'!$B$1:$K$126</definedName>
    <definedName name="Z_EDC0EC15_0264_48C8_A990_093960AE8EF3_.wvu.PrintArea" localSheetId="5" hidden="1">'Wksht Print Separately'!$B$2:$I$292</definedName>
    <definedName name="Z_EDC0EC15_0264_48C8_A990_093960AE8EF3_.wvu.Rows" localSheetId="43" hidden="1">'Aff 1 CF'!$37:$37,'Aff 1 CF'!$43:$43,'Aff 1 CF'!$49:$49</definedName>
    <definedName name="Z_EDC0EC15_0264_48C8_A990_093960AE8EF3_.wvu.Rows" localSheetId="41" hidden="1">'Aff 1 IS'!$43:$47</definedName>
    <definedName name="Z_EDC0EC15_0264_48C8_A990_093960AE8EF3_.wvu.Rows" localSheetId="70" hidden="1">'Aff 10 CF'!$37:$37,'Aff 10 CF'!$43:$43,'Aff 10 CF'!$49:$49</definedName>
    <definedName name="Z_EDC0EC15_0264_48C8_A990_093960AE8EF3_.wvu.Rows" localSheetId="68" hidden="1">'Aff 10 IS'!$43:$47</definedName>
    <definedName name="Z_EDC0EC15_0264_48C8_A990_093960AE8EF3_.wvu.Rows" localSheetId="73" hidden="1">'Aff 11 CF'!$37:$37,'Aff 11 CF'!$43:$43,'Aff 11 CF'!$49:$49</definedName>
    <definedName name="Z_EDC0EC15_0264_48C8_A990_093960AE8EF3_.wvu.Rows" localSheetId="71" hidden="1">'Aff 11 IS'!$43:$47</definedName>
    <definedName name="Z_EDC0EC15_0264_48C8_A990_093960AE8EF3_.wvu.Rows" localSheetId="76" hidden="1">'Aff 12 CF'!$37:$37,'Aff 12 CF'!$43:$43,'Aff 12 CF'!$49:$49</definedName>
    <definedName name="Z_EDC0EC15_0264_48C8_A990_093960AE8EF3_.wvu.Rows" localSheetId="74" hidden="1">'Aff 12 IS'!$43:$47</definedName>
    <definedName name="Z_EDC0EC15_0264_48C8_A990_093960AE8EF3_.wvu.Rows" localSheetId="79" hidden="1">'Aff 13 CF'!$37:$37,'Aff 13 CF'!$43:$43,'Aff 13 CF'!$49:$49</definedName>
    <definedName name="Z_EDC0EC15_0264_48C8_A990_093960AE8EF3_.wvu.Rows" localSheetId="77" hidden="1">'Aff 13 IS'!$43:$47</definedName>
    <definedName name="Z_EDC0EC15_0264_48C8_A990_093960AE8EF3_.wvu.Rows" localSheetId="82" hidden="1">'Aff 14 CF'!$37:$37,'Aff 14 CF'!$43:$43,'Aff 14 CF'!$49:$49</definedName>
    <definedName name="Z_EDC0EC15_0264_48C8_A990_093960AE8EF3_.wvu.Rows" localSheetId="80" hidden="1">'Aff 14 IS'!$43:$47</definedName>
    <definedName name="Z_EDC0EC15_0264_48C8_A990_093960AE8EF3_.wvu.Rows" localSheetId="85" hidden="1">'Aff 15 CF'!$37:$37,'Aff 15 CF'!$43:$43,'Aff 15 CF'!$49:$49</definedName>
    <definedName name="Z_EDC0EC15_0264_48C8_A990_093960AE8EF3_.wvu.Rows" localSheetId="83" hidden="1">'Aff 15 IS'!$43:$47</definedName>
    <definedName name="Z_EDC0EC15_0264_48C8_A990_093960AE8EF3_.wvu.Rows" localSheetId="88" hidden="1">'Aff 16 CF'!$37:$37,'Aff 16 CF'!$43:$43,'Aff 16 CF'!$49:$49</definedName>
    <definedName name="Z_EDC0EC15_0264_48C8_A990_093960AE8EF3_.wvu.Rows" localSheetId="86" hidden="1">'Aff 16 IS'!$43:$47</definedName>
    <definedName name="Z_EDC0EC15_0264_48C8_A990_093960AE8EF3_.wvu.Rows" localSheetId="91" hidden="1">'Aff 17 CF'!$37:$37,'Aff 17 CF'!$43:$43,'Aff 17 CF'!$49:$49</definedName>
    <definedName name="Z_EDC0EC15_0264_48C8_A990_093960AE8EF3_.wvu.Rows" localSheetId="89" hidden="1">'Aff 17 IS'!$43:$47</definedName>
    <definedName name="Z_EDC0EC15_0264_48C8_A990_093960AE8EF3_.wvu.Rows" localSheetId="94" hidden="1">'Aff 18 CF'!$37:$37,'Aff 18 CF'!$43:$43,'Aff 18 CF'!$49:$49</definedName>
    <definedName name="Z_EDC0EC15_0264_48C8_A990_093960AE8EF3_.wvu.Rows" localSheetId="92" hidden="1">'Aff 18 IS'!$43:$47</definedName>
    <definedName name="Z_EDC0EC15_0264_48C8_A990_093960AE8EF3_.wvu.Rows" localSheetId="46" hidden="1">'Aff 2 CF'!$37:$37,'Aff 2 CF'!$43:$43,'Aff 2 CF'!$49:$49</definedName>
    <definedName name="Z_EDC0EC15_0264_48C8_A990_093960AE8EF3_.wvu.Rows" localSheetId="44" hidden="1">'Aff 2 IS'!$43:$47</definedName>
    <definedName name="Z_EDC0EC15_0264_48C8_A990_093960AE8EF3_.wvu.Rows" localSheetId="49" hidden="1">'Aff 3 CF'!$37:$37,'Aff 3 CF'!$43:$43,'Aff 3 CF'!$49:$49</definedName>
    <definedName name="Z_EDC0EC15_0264_48C8_A990_093960AE8EF3_.wvu.Rows" localSheetId="47" hidden="1">'Aff 3 IS'!$43:$47</definedName>
    <definedName name="Z_EDC0EC15_0264_48C8_A990_093960AE8EF3_.wvu.Rows" localSheetId="52" hidden="1">'Aff 4 CF'!$37:$37,'Aff 4 CF'!$43:$43,'Aff 4 CF'!$49:$49</definedName>
    <definedName name="Z_EDC0EC15_0264_48C8_A990_093960AE8EF3_.wvu.Rows" localSheetId="50" hidden="1">'Aff 4 IS'!$43:$47</definedName>
    <definedName name="Z_EDC0EC15_0264_48C8_A990_093960AE8EF3_.wvu.Rows" localSheetId="55" hidden="1">'Aff 5 CF'!$37:$37,'Aff 5 CF'!$43:$43,'Aff 5 CF'!$49:$49</definedName>
    <definedName name="Z_EDC0EC15_0264_48C8_A990_093960AE8EF3_.wvu.Rows" localSheetId="53" hidden="1">'Aff 5 IS'!$43:$47</definedName>
    <definedName name="Z_EDC0EC15_0264_48C8_A990_093960AE8EF3_.wvu.Rows" localSheetId="58" hidden="1">'Aff 6 CF'!$37:$37,'Aff 6 CF'!$43:$43,'Aff 6 CF'!$49:$49</definedName>
    <definedName name="Z_EDC0EC15_0264_48C8_A990_093960AE8EF3_.wvu.Rows" localSheetId="56" hidden="1">'Aff 6 IS'!$43:$47</definedName>
    <definedName name="Z_EDC0EC15_0264_48C8_A990_093960AE8EF3_.wvu.Rows" localSheetId="61" hidden="1">'Aff 7 CF'!$37:$37,'Aff 7 CF'!$43:$43,'Aff 7 CF'!$49:$49</definedName>
    <definedName name="Z_EDC0EC15_0264_48C8_A990_093960AE8EF3_.wvu.Rows" localSheetId="59" hidden="1">'Aff 7 IS'!$43:$47</definedName>
    <definedName name="Z_EDC0EC15_0264_48C8_A990_093960AE8EF3_.wvu.Rows" localSheetId="64" hidden="1">'Aff 8 CF'!$37:$37,'Aff 8 CF'!$43:$43,'Aff 8 CF'!$49:$49</definedName>
    <definedName name="Z_EDC0EC15_0264_48C8_A990_093960AE8EF3_.wvu.Rows" localSheetId="62" hidden="1">'Aff 8 IS'!$43:$47</definedName>
    <definedName name="Z_EDC0EC15_0264_48C8_A990_093960AE8EF3_.wvu.Rows" localSheetId="67" hidden="1">'Aff 9 CF'!$37:$37,'Aff 9 CF'!$43:$43,'Aff 9 CF'!$49:$49</definedName>
    <definedName name="Z_EDC0EC15_0264_48C8_A990_093960AE8EF3_.wvu.Rows" localSheetId="65" hidden="1">'Aff 9 IS'!$43:$47</definedName>
    <definedName name="Z_EDC0EC15_0264_48C8_A990_093960AE8EF3_.wvu.Rows" localSheetId="16" hidden="1">'Break Even'!$43:$47</definedName>
    <definedName name="Z_EDC0EC15_0264_48C8_A990_093960AE8EF3_.wvu.Rows" localSheetId="14" hidden="1">'Cash Flow'!#REF!,'Cash Flow'!#REF!,'Cash Flow'!#REF!</definedName>
    <definedName name="Z_EDC0EC15_0264_48C8_A990_093960AE8EF3_.wvu.Rows" localSheetId="15" hidden="1">'Debt Sch'!#REF!</definedName>
    <definedName name="Z_EDC0EC15_0264_48C8_A990_093960AE8EF3_.wvu.Rows" localSheetId="24" hidden="1">'EPC CF'!$36:$50</definedName>
    <definedName name="Z_EDC0EC15_0264_48C8_A990_093960AE8EF3_.wvu.Rows" localSheetId="22" hidden="1">'EPC IS'!$43:$47</definedName>
    <definedName name="Z_EDC0EC15_0264_48C8_A990_093960AE8EF3_.wvu.Rows" localSheetId="17" hidden="1">'Global CF'!$46:$46,'Global CF'!$52:$52,'Global CF'!$58:$58</definedName>
    <definedName name="Z_EDC0EC15_0264_48C8_A990_093960AE8EF3_.wvu.Rows" localSheetId="13" hidden="1">'Hist IS and Proj'!$43:$47</definedName>
    <definedName name="Z_F53EE710_3558_4E2F_B994_BF2146D78F3B_.wvu.PrintArea" localSheetId="8" hidden="1">'Memo Grid'!$C$3:$I$16</definedName>
    <definedName name="Z_F53EE710_3558_4E2F_B994_BF2146D78F3B_.wvu.PrintArea" localSheetId="9" hidden="1">'Memo Grid 504'!$C$3:$I$16</definedName>
  </definedNames>
  <calcPr calcId="191028"/>
  <customWorkbookViews>
    <customWorkbookView name="All Sheets" guid="{EDC0EC15-0264-48C8-A990-093960AE8EF3}" maximized="1" xWindow="-1929" yWindow="-9" windowWidth="1938" windowHeight="1098" tabRatio="798" activeSheetId="1"/>
    <customWorkbookView name="Conventional" guid="{6E1FDEE6-49D0-4876-8C7C-09893145D2CE}" maximized="1" xWindow="-9" yWindow="-9" windowWidth="1938" windowHeight="1060" tabRatio="798" activeSheetId="1"/>
    <customWorkbookView name="SBA" guid="{DB1F6E98-7FCC-445F-9DA6-47D8BF8BE969}" maximized="1" xWindow="-9" yWindow="-9" windowWidth="1938" windowHeight="1060" tabRatio="798" activeSheetId="1"/>
    <customWorkbookView name="Bill Woodard - Personal View" guid="{C02CA8E5-5D4C-45E5-BC4A-4C9BE481059B}" mergeInterval="0" personalView="1" maximized="1" xWindow="-1929" yWindow="-9" windowWidth="1938" windowHeight="1098" tabRatio="798" activeSheetId="12"/>
  </customWorkbookView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7" i="128" l="1"/>
  <c r="K16" i="128"/>
  <c r="K5" i="128"/>
  <c r="K12" i="128"/>
  <c r="K4" i="128"/>
  <c r="K3" i="128"/>
  <c r="D14" i="128"/>
  <c r="C683" i="127"/>
  <c r="J678" i="127"/>
  <c r="G678" i="127"/>
  <c r="I677" i="127"/>
  <c r="K677" i="127" s="1"/>
  <c r="E677" i="127"/>
  <c r="K676" i="127"/>
  <c r="I676" i="127"/>
  <c r="E676" i="127"/>
  <c r="K675" i="127"/>
  <c r="I675" i="127"/>
  <c r="E675" i="127"/>
  <c r="I674" i="127"/>
  <c r="K674" i="127" s="1"/>
  <c r="E674" i="127"/>
  <c r="K673" i="127"/>
  <c r="I673" i="127"/>
  <c r="E673" i="127"/>
  <c r="I672" i="127"/>
  <c r="K672" i="127" s="1"/>
  <c r="E672" i="127"/>
  <c r="I671" i="127"/>
  <c r="K671" i="127" s="1"/>
  <c r="K670" i="127"/>
  <c r="I670" i="127"/>
  <c r="K669" i="127"/>
  <c r="I669" i="127"/>
  <c r="I662" i="127"/>
  <c r="J177" i="127" s="1"/>
  <c r="G662" i="127"/>
  <c r="J176" i="127" s="1"/>
  <c r="E662" i="127"/>
  <c r="G644" i="127"/>
  <c r="I641" i="127"/>
  <c r="I643" i="127" s="1"/>
  <c r="G641" i="127"/>
  <c r="G645" i="127" s="1"/>
  <c r="E641" i="127"/>
  <c r="C641" i="127"/>
  <c r="C639" i="127"/>
  <c r="C638" i="127"/>
  <c r="I632" i="127"/>
  <c r="I660" i="127" s="1"/>
  <c r="G632" i="127"/>
  <c r="G660" i="127" s="1"/>
  <c r="E632" i="127"/>
  <c r="E660" i="127" s="1"/>
  <c r="C632" i="127"/>
  <c r="C660" i="127" s="1"/>
  <c r="J613" i="127"/>
  <c r="H613" i="127"/>
  <c r="F613" i="127"/>
  <c r="D613" i="127"/>
  <c r="J604" i="127"/>
  <c r="H604" i="127"/>
  <c r="F604" i="127"/>
  <c r="D604" i="127"/>
  <c r="J603" i="127"/>
  <c r="H603" i="127"/>
  <c r="F603" i="127"/>
  <c r="D603" i="127"/>
  <c r="J602" i="127"/>
  <c r="H602" i="127"/>
  <c r="F602" i="127"/>
  <c r="D602" i="127"/>
  <c r="J601" i="127"/>
  <c r="H601" i="127"/>
  <c r="F601" i="127"/>
  <c r="D601" i="127"/>
  <c r="G598" i="127"/>
  <c r="E598" i="127"/>
  <c r="G596" i="127"/>
  <c r="E596" i="127"/>
  <c r="K595" i="127"/>
  <c r="G595" i="127"/>
  <c r="J593" i="127"/>
  <c r="H593" i="127"/>
  <c r="G593" i="127"/>
  <c r="F593" i="127"/>
  <c r="E593" i="127"/>
  <c r="D593" i="127"/>
  <c r="G592" i="127"/>
  <c r="G591" i="127"/>
  <c r="E591" i="127"/>
  <c r="G590" i="127"/>
  <c r="E590" i="127"/>
  <c r="E589" i="127"/>
  <c r="G587" i="127"/>
  <c r="J585" i="127"/>
  <c r="H585" i="127"/>
  <c r="F585" i="127"/>
  <c r="E585" i="127"/>
  <c r="D585" i="127"/>
  <c r="G584" i="127"/>
  <c r="E584" i="127"/>
  <c r="K583" i="127"/>
  <c r="G583" i="127"/>
  <c r="E583" i="127"/>
  <c r="E582" i="127"/>
  <c r="G581" i="127"/>
  <c r="E581" i="127"/>
  <c r="G580" i="127"/>
  <c r="G579" i="127"/>
  <c r="E579" i="127"/>
  <c r="I578" i="127"/>
  <c r="G578" i="127"/>
  <c r="G577" i="127"/>
  <c r="E577" i="127"/>
  <c r="G576" i="127"/>
  <c r="E576" i="127"/>
  <c r="E575" i="127"/>
  <c r="K574" i="127"/>
  <c r="G574" i="127"/>
  <c r="E574" i="127"/>
  <c r="G573" i="127"/>
  <c r="G572" i="127"/>
  <c r="E572" i="127"/>
  <c r="G571" i="127"/>
  <c r="G570" i="127"/>
  <c r="E570" i="127"/>
  <c r="K569" i="127"/>
  <c r="G569" i="127"/>
  <c r="E569" i="127"/>
  <c r="E568" i="127"/>
  <c r="G567" i="127"/>
  <c r="E567" i="127"/>
  <c r="G566" i="127"/>
  <c r="G565" i="127"/>
  <c r="E565" i="127"/>
  <c r="I564" i="127"/>
  <c r="G564" i="127"/>
  <c r="G563" i="127"/>
  <c r="E563" i="127"/>
  <c r="G562" i="127"/>
  <c r="E562" i="127"/>
  <c r="E561" i="127"/>
  <c r="K558" i="127"/>
  <c r="H558" i="127"/>
  <c r="G558" i="127"/>
  <c r="E558" i="127"/>
  <c r="J557" i="127"/>
  <c r="H557" i="127"/>
  <c r="F557" i="127"/>
  <c r="F558" i="127" s="1"/>
  <c r="E557" i="127"/>
  <c r="D557" i="127"/>
  <c r="J556" i="127"/>
  <c r="K591" i="127" s="1"/>
  <c r="H556" i="127"/>
  <c r="G556" i="127"/>
  <c r="F556" i="127"/>
  <c r="G589" i="127" s="1"/>
  <c r="D556" i="127"/>
  <c r="E595" i="127" s="1"/>
  <c r="J555" i="127"/>
  <c r="H555" i="127"/>
  <c r="G555" i="127"/>
  <c r="F555" i="127"/>
  <c r="E555" i="127"/>
  <c r="D555" i="127"/>
  <c r="G554" i="127"/>
  <c r="I553" i="127"/>
  <c r="G553" i="127"/>
  <c r="E553" i="127"/>
  <c r="J552" i="127"/>
  <c r="H552" i="127"/>
  <c r="G552" i="127"/>
  <c r="F552" i="127"/>
  <c r="E552" i="127"/>
  <c r="D552" i="127"/>
  <c r="G551" i="127"/>
  <c r="E551" i="127"/>
  <c r="K550" i="127"/>
  <c r="I550" i="127"/>
  <c r="E550" i="127"/>
  <c r="J549" i="127"/>
  <c r="H549" i="127"/>
  <c r="G549" i="127"/>
  <c r="F549" i="127"/>
  <c r="E549" i="127"/>
  <c r="D549" i="127"/>
  <c r="G548" i="127"/>
  <c r="E548" i="127"/>
  <c r="G547" i="127"/>
  <c r="J542" i="127"/>
  <c r="H542" i="127"/>
  <c r="F542" i="127"/>
  <c r="J534" i="127"/>
  <c r="H534" i="127"/>
  <c r="F534" i="127"/>
  <c r="D534" i="127"/>
  <c r="J525" i="127"/>
  <c r="H525" i="127"/>
  <c r="F525" i="127"/>
  <c r="D525" i="127"/>
  <c r="J524" i="127"/>
  <c r="H524" i="127"/>
  <c r="F524" i="127"/>
  <c r="D524" i="127"/>
  <c r="J523" i="127"/>
  <c r="H523" i="127"/>
  <c r="F523" i="127"/>
  <c r="D523" i="127"/>
  <c r="J522" i="127"/>
  <c r="H522" i="127"/>
  <c r="F522" i="127"/>
  <c r="D522" i="127"/>
  <c r="K519" i="127"/>
  <c r="I519" i="127"/>
  <c r="K517" i="127"/>
  <c r="I517" i="127"/>
  <c r="K516" i="127"/>
  <c r="I516" i="127"/>
  <c r="E516" i="127"/>
  <c r="D516" i="127"/>
  <c r="D519" i="127" s="1"/>
  <c r="D531" i="127" s="1"/>
  <c r="D536" i="127" s="1"/>
  <c r="K514" i="127"/>
  <c r="J514" i="127"/>
  <c r="I514" i="127"/>
  <c r="H514" i="127"/>
  <c r="F514" i="127"/>
  <c r="D514" i="127"/>
  <c r="K513" i="127"/>
  <c r="I513" i="127"/>
  <c r="K512" i="127"/>
  <c r="I512" i="127"/>
  <c r="G512" i="127"/>
  <c r="K511" i="127"/>
  <c r="I511" i="127"/>
  <c r="E511" i="127"/>
  <c r="I510" i="127"/>
  <c r="I508" i="127"/>
  <c r="J506" i="127"/>
  <c r="I506" i="127"/>
  <c r="H506" i="127"/>
  <c r="G506" i="127"/>
  <c r="F506" i="127"/>
  <c r="D506" i="127"/>
  <c r="I505" i="127"/>
  <c r="K504" i="127"/>
  <c r="I504" i="127"/>
  <c r="K503" i="127"/>
  <c r="I503" i="127"/>
  <c r="G503" i="127"/>
  <c r="E503" i="127"/>
  <c r="I502" i="127"/>
  <c r="G502" i="127"/>
  <c r="E502" i="127"/>
  <c r="I500" i="127"/>
  <c r="K499" i="127"/>
  <c r="I499" i="127"/>
  <c r="K498" i="127"/>
  <c r="I498" i="127"/>
  <c r="G498" i="127"/>
  <c r="K497" i="127"/>
  <c r="I497" i="127"/>
  <c r="E497" i="127"/>
  <c r="I496" i="127"/>
  <c r="I495" i="127"/>
  <c r="K494" i="127"/>
  <c r="E494" i="127"/>
  <c r="I493" i="127"/>
  <c r="G493" i="127"/>
  <c r="E493" i="127"/>
  <c r="K492" i="127"/>
  <c r="I492" i="127"/>
  <c r="I491" i="127"/>
  <c r="K490" i="127"/>
  <c r="I490" i="127"/>
  <c r="K489" i="127"/>
  <c r="I489" i="127"/>
  <c r="G489" i="127"/>
  <c r="E489" i="127"/>
  <c r="I488" i="127"/>
  <c r="G488" i="127"/>
  <c r="E488" i="127"/>
  <c r="I486" i="127"/>
  <c r="K485" i="127"/>
  <c r="I485" i="127"/>
  <c r="K484" i="127"/>
  <c r="I484" i="127"/>
  <c r="G484" i="127"/>
  <c r="K483" i="127"/>
  <c r="I483" i="127"/>
  <c r="E483" i="127"/>
  <c r="I482" i="127"/>
  <c r="I479" i="127"/>
  <c r="J478" i="127"/>
  <c r="I478" i="127"/>
  <c r="H478" i="127"/>
  <c r="H479" i="127" s="1"/>
  <c r="G478" i="127"/>
  <c r="F478" i="127"/>
  <c r="D478" i="127"/>
  <c r="J477" i="127"/>
  <c r="I477" i="127"/>
  <c r="H477" i="127"/>
  <c r="I501" i="127" s="1"/>
  <c r="F477" i="127"/>
  <c r="G494" i="127" s="1"/>
  <c r="D477" i="127"/>
  <c r="D479" i="127" s="1"/>
  <c r="D508" i="127" s="1"/>
  <c r="K476" i="127"/>
  <c r="J476" i="127"/>
  <c r="I476" i="127"/>
  <c r="H476" i="127"/>
  <c r="F476" i="127"/>
  <c r="E476" i="127"/>
  <c r="D476" i="127"/>
  <c r="I475" i="127"/>
  <c r="I474" i="127"/>
  <c r="G474" i="127"/>
  <c r="E474" i="127"/>
  <c r="K473" i="127"/>
  <c r="J473" i="127"/>
  <c r="I473" i="127"/>
  <c r="H473" i="127"/>
  <c r="G473" i="127"/>
  <c r="F473" i="127"/>
  <c r="D473" i="127"/>
  <c r="K472" i="127"/>
  <c r="I472" i="127"/>
  <c r="K471" i="127"/>
  <c r="I471" i="127"/>
  <c r="G471" i="127"/>
  <c r="E471" i="127"/>
  <c r="J470" i="127"/>
  <c r="I470" i="127"/>
  <c r="H470" i="127"/>
  <c r="G470" i="127"/>
  <c r="F470" i="127"/>
  <c r="D470" i="127"/>
  <c r="I469" i="127"/>
  <c r="K468" i="127"/>
  <c r="I468" i="127"/>
  <c r="F463" i="127"/>
  <c r="H463" i="127" s="1"/>
  <c r="J463" i="127" s="1"/>
  <c r="J455" i="127"/>
  <c r="H455" i="127"/>
  <c r="F455" i="127"/>
  <c r="D455" i="127"/>
  <c r="J446" i="127"/>
  <c r="H446" i="127"/>
  <c r="F446" i="127"/>
  <c r="D446" i="127"/>
  <c r="J445" i="127"/>
  <c r="H445" i="127"/>
  <c r="F445" i="127"/>
  <c r="D445" i="127"/>
  <c r="J444" i="127"/>
  <c r="H444" i="127"/>
  <c r="F444" i="127"/>
  <c r="D444" i="127"/>
  <c r="J443" i="127"/>
  <c r="H443" i="127"/>
  <c r="F443" i="127"/>
  <c r="D443" i="127"/>
  <c r="G440" i="127"/>
  <c r="E440" i="127"/>
  <c r="K438" i="127"/>
  <c r="G438" i="127"/>
  <c r="G437" i="127"/>
  <c r="K435" i="127"/>
  <c r="J435" i="127"/>
  <c r="I435" i="127"/>
  <c r="H435" i="127"/>
  <c r="G435" i="127"/>
  <c r="F435" i="127"/>
  <c r="D435" i="127"/>
  <c r="G434" i="127"/>
  <c r="G433" i="127"/>
  <c r="K432" i="127"/>
  <c r="G432" i="127"/>
  <c r="K431" i="127"/>
  <c r="I431" i="127"/>
  <c r="E431" i="127"/>
  <c r="K429" i="127"/>
  <c r="G429" i="127"/>
  <c r="J427" i="127"/>
  <c r="H427" i="127"/>
  <c r="F427" i="127"/>
  <c r="D427" i="127"/>
  <c r="K426" i="127"/>
  <c r="I426" i="127"/>
  <c r="G426" i="127"/>
  <c r="G425" i="127"/>
  <c r="K424" i="127"/>
  <c r="K423" i="127"/>
  <c r="G423" i="127"/>
  <c r="K422" i="127"/>
  <c r="I422" i="127"/>
  <c r="G422" i="127"/>
  <c r="K421" i="127"/>
  <c r="G421" i="127"/>
  <c r="G420" i="127"/>
  <c r="K419" i="127"/>
  <c r="G419" i="127"/>
  <c r="K418" i="127"/>
  <c r="G418" i="127"/>
  <c r="E418" i="127"/>
  <c r="K417" i="127"/>
  <c r="I417" i="127"/>
  <c r="G416" i="127"/>
  <c r="K415" i="127"/>
  <c r="G415" i="127"/>
  <c r="K414" i="127"/>
  <c r="G414" i="127"/>
  <c r="E414" i="127"/>
  <c r="I413" i="127"/>
  <c r="G413" i="127"/>
  <c r="K412" i="127"/>
  <c r="G412" i="127"/>
  <c r="G411" i="127"/>
  <c r="K410" i="127"/>
  <c r="I410" i="127"/>
  <c r="K409" i="127"/>
  <c r="G409" i="127"/>
  <c r="E409" i="127"/>
  <c r="K408" i="127"/>
  <c r="I408" i="127"/>
  <c r="G408" i="127"/>
  <c r="G407" i="127"/>
  <c r="G406" i="127"/>
  <c r="K405" i="127"/>
  <c r="G405" i="127"/>
  <c r="E405" i="127"/>
  <c r="K404" i="127"/>
  <c r="G404" i="127"/>
  <c r="K403" i="127"/>
  <c r="G400" i="127"/>
  <c r="K399" i="127"/>
  <c r="J399" i="127"/>
  <c r="I399" i="127"/>
  <c r="H399" i="127"/>
  <c r="F399" i="127"/>
  <c r="F400" i="127" s="1"/>
  <c r="D399" i="127"/>
  <c r="K398" i="127"/>
  <c r="J398" i="127"/>
  <c r="H398" i="127"/>
  <c r="I427" i="127" s="1"/>
  <c r="G398" i="127"/>
  <c r="F398" i="127"/>
  <c r="G431" i="127" s="1"/>
  <c r="D398" i="127"/>
  <c r="E435" i="127" s="1"/>
  <c r="K397" i="127"/>
  <c r="J397" i="127"/>
  <c r="H397" i="127"/>
  <c r="G397" i="127"/>
  <c r="F397" i="127"/>
  <c r="D397" i="127"/>
  <c r="K396" i="127"/>
  <c r="G396" i="127"/>
  <c r="K395" i="127"/>
  <c r="I395" i="127"/>
  <c r="G395" i="127"/>
  <c r="E395" i="127"/>
  <c r="J394" i="127"/>
  <c r="I394" i="127"/>
  <c r="H394" i="127"/>
  <c r="G394" i="127"/>
  <c r="F394" i="127"/>
  <c r="D394" i="127"/>
  <c r="K393" i="127"/>
  <c r="G393" i="127"/>
  <c r="K392" i="127"/>
  <c r="I392" i="127"/>
  <c r="K391" i="127"/>
  <c r="J391" i="127"/>
  <c r="I391" i="127"/>
  <c r="H391" i="127"/>
  <c r="G391" i="127"/>
  <c r="F391" i="127"/>
  <c r="D391" i="127"/>
  <c r="K390" i="127"/>
  <c r="G390" i="127"/>
  <c r="I389" i="127"/>
  <c r="G389" i="127"/>
  <c r="E389" i="127"/>
  <c r="F384" i="127"/>
  <c r="H384" i="127" s="1"/>
  <c r="J384" i="127" s="1"/>
  <c r="J376" i="127"/>
  <c r="H376" i="127"/>
  <c r="F376" i="127"/>
  <c r="D376" i="127"/>
  <c r="J367" i="127"/>
  <c r="H367" i="127"/>
  <c r="F367" i="127"/>
  <c r="D367" i="127"/>
  <c r="J366" i="127"/>
  <c r="H366" i="127"/>
  <c r="F366" i="127"/>
  <c r="D366" i="127"/>
  <c r="J365" i="127"/>
  <c r="H365" i="127"/>
  <c r="F365" i="127"/>
  <c r="D365" i="127"/>
  <c r="J364" i="127"/>
  <c r="H364" i="127"/>
  <c r="F364" i="127"/>
  <c r="D364" i="127"/>
  <c r="K361" i="127"/>
  <c r="I361" i="127"/>
  <c r="E361" i="127"/>
  <c r="I359" i="127"/>
  <c r="E359" i="127"/>
  <c r="K358" i="127"/>
  <c r="I358" i="127"/>
  <c r="J356" i="127"/>
  <c r="I356" i="127"/>
  <c r="H356" i="127"/>
  <c r="F356" i="127"/>
  <c r="E356" i="127"/>
  <c r="D356" i="127"/>
  <c r="K355" i="127"/>
  <c r="I355" i="127"/>
  <c r="E355" i="127"/>
  <c r="K354" i="127"/>
  <c r="I354" i="127"/>
  <c r="I353" i="127"/>
  <c r="E353" i="127"/>
  <c r="I352" i="127"/>
  <c r="E352" i="127"/>
  <c r="I350" i="127"/>
  <c r="H350" i="127"/>
  <c r="J348" i="127"/>
  <c r="I348" i="127"/>
  <c r="H348" i="127"/>
  <c r="F348" i="127"/>
  <c r="D348" i="127"/>
  <c r="K347" i="127"/>
  <c r="I347" i="127"/>
  <c r="G347" i="127"/>
  <c r="K346" i="127"/>
  <c r="I346" i="127"/>
  <c r="I345" i="127"/>
  <c r="E345" i="127"/>
  <c r="I344" i="127"/>
  <c r="E344" i="127"/>
  <c r="K343" i="127"/>
  <c r="G343" i="127"/>
  <c r="E343" i="127"/>
  <c r="K342" i="127"/>
  <c r="I342" i="127"/>
  <c r="I341" i="127"/>
  <c r="E341" i="127"/>
  <c r="I340" i="127"/>
  <c r="I339" i="127"/>
  <c r="E339" i="127"/>
  <c r="K338" i="127"/>
  <c r="I338" i="127"/>
  <c r="I337" i="127"/>
  <c r="E337" i="127"/>
  <c r="E336" i="127"/>
  <c r="I335" i="127"/>
  <c r="G335" i="127"/>
  <c r="E335" i="127"/>
  <c r="K334" i="127"/>
  <c r="I334" i="127"/>
  <c r="I333" i="127"/>
  <c r="I332" i="127"/>
  <c r="E332" i="127"/>
  <c r="I331" i="127"/>
  <c r="G331" i="127"/>
  <c r="E331" i="127"/>
  <c r="I330" i="127"/>
  <c r="I328" i="127"/>
  <c r="E328" i="127"/>
  <c r="I327" i="127"/>
  <c r="E327" i="127"/>
  <c r="K326" i="127"/>
  <c r="I326" i="127"/>
  <c r="I325" i="127"/>
  <c r="I324" i="127"/>
  <c r="E324" i="127"/>
  <c r="I321" i="127"/>
  <c r="H321" i="127"/>
  <c r="H358" i="127" s="1"/>
  <c r="H361" i="127" s="1"/>
  <c r="H373" i="127" s="1"/>
  <c r="H378" i="127" s="1"/>
  <c r="G321" i="127"/>
  <c r="E321" i="127"/>
  <c r="D321" i="127"/>
  <c r="D358" i="127" s="1"/>
  <c r="D361" i="127" s="1"/>
  <c r="J320" i="127"/>
  <c r="I320" i="127"/>
  <c r="H320" i="127"/>
  <c r="F320" i="127"/>
  <c r="D320" i="127"/>
  <c r="J319" i="127"/>
  <c r="I319" i="127"/>
  <c r="H319" i="127"/>
  <c r="I343" i="127" s="1"/>
  <c r="G319" i="127"/>
  <c r="F319" i="127"/>
  <c r="E319" i="127"/>
  <c r="D319" i="127"/>
  <c r="E346" i="127" s="1"/>
  <c r="J318" i="127"/>
  <c r="I318" i="127"/>
  <c r="H318" i="127"/>
  <c r="F318" i="127"/>
  <c r="E318" i="127"/>
  <c r="D318" i="127"/>
  <c r="K317" i="127"/>
  <c r="I317" i="127"/>
  <c r="G317" i="127"/>
  <c r="E317" i="127"/>
  <c r="K316" i="127"/>
  <c r="I316" i="127"/>
  <c r="J315" i="127"/>
  <c r="I315" i="127"/>
  <c r="H315" i="127"/>
  <c r="F315" i="127"/>
  <c r="E315" i="127"/>
  <c r="D315" i="127"/>
  <c r="K314" i="127"/>
  <c r="I314" i="127"/>
  <c r="G314" i="127"/>
  <c r="E314" i="127"/>
  <c r="I313" i="127"/>
  <c r="E313" i="127"/>
  <c r="J312" i="127"/>
  <c r="I312" i="127"/>
  <c r="H312" i="127"/>
  <c r="F312" i="127"/>
  <c r="E312" i="127"/>
  <c r="D312" i="127"/>
  <c r="K311" i="127"/>
  <c r="I311" i="127"/>
  <c r="E311" i="127"/>
  <c r="I310" i="127"/>
  <c r="E310" i="127"/>
  <c r="F305" i="127"/>
  <c r="H305" i="127" s="1"/>
  <c r="J305" i="127" s="1"/>
  <c r="J297" i="127"/>
  <c r="H297" i="127"/>
  <c r="F297" i="127"/>
  <c r="F180" i="127" s="1"/>
  <c r="D297" i="127"/>
  <c r="D180" i="127" s="1"/>
  <c r="J288" i="127"/>
  <c r="H287" i="127"/>
  <c r="F287" i="127"/>
  <c r="D287" i="127"/>
  <c r="H286" i="127"/>
  <c r="F286" i="127"/>
  <c r="D286" i="127"/>
  <c r="H285" i="127"/>
  <c r="F285" i="127"/>
  <c r="D285" i="127"/>
  <c r="K280" i="127"/>
  <c r="I280" i="127"/>
  <c r="J277" i="127"/>
  <c r="H277" i="127"/>
  <c r="F277" i="127"/>
  <c r="D277" i="127"/>
  <c r="K276" i="127"/>
  <c r="G276" i="127"/>
  <c r="E276" i="127"/>
  <c r="K275" i="127"/>
  <c r="I275" i="127"/>
  <c r="K273" i="127"/>
  <c r="I273" i="127"/>
  <c r="J269" i="127"/>
  <c r="H269" i="127"/>
  <c r="F269" i="127"/>
  <c r="D269" i="127"/>
  <c r="K268" i="127"/>
  <c r="I268" i="127"/>
  <c r="E268" i="127"/>
  <c r="K267" i="127"/>
  <c r="I267" i="127"/>
  <c r="K266" i="127"/>
  <c r="K265" i="127"/>
  <c r="I265" i="127"/>
  <c r="I264" i="127"/>
  <c r="G264" i="127"/>
  <c r="E264" i="127"/>
  <c r="K263" i="127"/>
  <c r="I263" i="127"/>
  <c r="K262" i="127"/>
  <c r="K261" i="127"/>
  <c r="I261" i="127"/>
  <c r="K260" i="127"/>
  <c r="I260" i="127"/>
  <c r="G260" i="127"/>
  <c r="E260" i="127"/>
  <c r="K259" i="127"/>
  <c r="K258" i="127"/>
  <c r="I258" i="127"/>
  <c r="I257" i="127"/>
  <c r="E257" i="127"/>
  <c r="K256" i="127"/>
  <c r="I256" i="127"/>
  <c r="G256" i="127"/>
  <c r="E256" i="127"/>
  <c r="K255" i="127"/>
  <c r="K254" i="127"/>
  <c r="I254" i="127"/>
  <c r="K253" i="127"/>
  <c r="I253" i="127"/>
  <c r="G253" i="127"/>
  <c r="E253" i="127"/>
  <c r="K252" i="127"/>
  <c r="I252" i="127"/>
  <c r="G252" i="127"/>
  <c r="I250" i="127"/>
  <c r="G250" i="127"/>
  <c r="K249" i="127"/>
  <c r="I249" i="127"/>
  <c r="G249" i="127"/>
  <c r="E249" i="127"/>
  <c r="K248" i="127"/>
  <c r="I248" i="127"/>
  <c r="K247" i="127"/>
  <c r="K246" i="127"/>
  <c r="I246" i="127"/>
  <c r="K245" i="127"/>
  <c r="I245" i="127"/>
  <c r="G245" i="127"/>
  <c r="E245" i="127"/>
  <c r="K241" i="127"/>
  <c r="J241" i="127"/>
  <c r="J242" i="127" s="1"/>
  <c r="K242" i="127" s="1"/>
  <c r="H241" i="127"/>
  <c r="I241" i="127" s="1"/>
  <c r="F241" i="127"/>
  <c r="G241" i="127" s="1"/>
  <c r="E241" i="127"/>
  <c r="D241" i="127"/>
  <c r="K240" i="127"/>
  <c r="J240" i="127"/>
  <c r="H240" i="127"/>
  <c r="I277" i="127" s="1"/>
  <c r="F240" i="127"/>
  <c r="G277" i="127" s="1"/>
  <c r="D240" i="127"/>
  <c r="E277" i="127" s="1"/>
  <c r="J239" i="127"/>
  <c r="K239" i="127" s="1"/>
  <c r="H239" i="127"/>
  <c r="I239" i="127" s="1"/>
  <c r="F239" i="127"/>
  <c r="G239" i="127" s="1"/>
  <c r="E239" i="127"/>
  <c r="D239" i="127"/>
  <c r="K237" i="127"/>
  <c r="I237" i="127"/>
  <c r="G237" i="127"/>
  <c r="J236" i="127"/>
  <c r="K236" i="127" s="1"/>
  <c r="H236" i="127"/>
  <c r="I236" i="127" s="1"/>
  <c r="G236" i="127"/>
  <c r="F236" i="127"/>
  <c r="D236" i="127"/>
  <c r="K235" i="127"/>
  <c r="I235" i="127"/>
  <c r="K234" i="127"/>
  <c r="I234" i="127"/>
  <c r="G234" i="127"/>
  <c r="J233" i="127"/>
  <c r="K233" i="127" s="1"/>
  <c r="H233" i="127"/>
  <c r="I233" i="127" s="1"/>
  <c r="F233" i="127"/>
  <c r="D233" i="127"/>
  <c r="K232" i="127"/>
  <c r="G232" i="127"/>
  <c r="K231" i="127"/>
  <c r="I231" i="127"/>
  <c r="G231" i="127"/>
  <c r="E231" i="127"/>
  <c r="F226" i="127"/>
  <c r="H226" i="127" s="1"/>
  <c r="C219" i="127"/>
  <c r="D217" i="127"/>
  <c r="C217" i="127"/>
  <c r="J216" i="127"/>
  <c r="H216" i="127"/>
  <c r="I216" i="127" s="1"/>
  <c r="J215" i="127"/>
  <c r="I215" i="127"/>
  <c r="H215" i="127"/>
  <c r="J214" i="127"/>
  <c r="H214" i="127"/>
  <c r="I214" i="127" s="1"/>
  <c r="J213" i="127"/>
  <c r="I213" i="127"/>
  <c r="H213" i="127"/>
  <c r="J212" i="127"/>
  <c r="I212" i="127"/>
  <c r="H212" i="127"/>
  <c r="J211" i="127"/>
  <c r="H211" i="127"/>
  <c r="I211" i="127" s="1"/>
  <c r="J210" i="127"/>
  <c r="I210" i="127"/>
  <c r="H210" i="127"/>
  <c r="J209" i="127"/>
  <c r="H209" i="127"/>
  <c r="I209" i="127" s="1"/>
  <c r="J208" i="127"/>
  <c r="H208" i="127"/>
  <c r="I208" i="127" s="1"/>
  <c r="J207" i="127"/>
  <c r="I207" i="127"/>
  <c r="H207" i="127"/>
  <c r="J192" i="127"/>
  <c r="H192" i="127"/>
  <c r="F192" i="127"/>
  <c r="D192" i="127"/>
  <c r="J191" i="127"/>
  <c r="H191" i="127"/>
  <c r="F191" i="127"/>
  <c r="D191" i="127"/>
  <c r="J189" i="127"/>
  <c r="H189" i="127"/>
  <c r="F189" i="127"/>
  <c r="D189" i="127"/>
  <c r="J188" i="127"/>
  <c r="H188" i="127"/>
  <c r="F188" i="127"/>
  <c r="D188" i="127"/>
  <c r="J186" i="127"/>
  <c r="H186" i="127"/>
  <c r="F186" i="127"/>
  <c r="D186" i="127"/>
  <c r="J185" i="127"/>
  <c r="H185" i="127"/>
  <c r="F185" i="127"/>
  <c r="D185" i="127"/>
  <c r="J183" i="127"/>
  <c r="H183" i="127"/>
  <c r="F183" i="127"/>
  <c r="D183" i="127"/>
  <c r="J182" i="127"/>
  <c r="H182" i="127"/>
  <c r="F182" i="127"/>
  <c r="D182" i="127"/>
  <c r="J180" i="127"/>
  <c r="H180" i="127"/>
  <c r="H177" i="127"/>
  <c r="F177" i="127"/>
  <c r="D177" i="127"/>
  <c r="H176" i="127"/>
  <c r="F176" i="127"/>
  <c r="D176" i="127"/>
  <c r="J175" i="127"/>
  <c r="H175" i="127"/>
  <c r="F175" i="127"/>
  <c r="D175" i="127"/>
  <c r="H159" i="127"/>
  <c r="J147" i="127"/>
  <c r="J146" i="127"/>
  <c r="H146" i="127"/>
  <c r="F146" i="127"/>
  <c r="D146" i="127"/>
  <c r="H145" i="127"/>
  <c r="F145" i="127"/>
  <c r="D145" i="127"/>
  <c r="J144" i="127"/>
  <c r="H144" i="127"/>
  <c r="F144" i="127"/>
  <c r="D144" i="127"/>
  <c r="G139" i="127"/>
  <c r="E139" i="127"/>
  <c r="J136" i="127"/>
  <c r="H136" i="127"/>
  <c r="I136" i="127" s="1"/>
  <c r="F136" i="127"/>
  <c r="G136" i="127" s="1"/>
  <c r="D136" i="127"/>
  <c r="E134" i="127"/>
  <c r="D130" i="127"/>
  <c r="J128" i="127"/>
  <c r="H128" i="127"/>
  <c r="F128" i="127"/>
  <c r="D128" i="127"/>
  <c r="E127" i="127"/>
  <c r="I126" i="127"/>
  <c r="I123" i="127"/>
  <c r="I122" i="127"/>
  <c r="G121" i="127"/>
  <c r="E121" i="127"/>
  <c r="E120" i="127"/>
  <c r="K119" i="127"/>
  <c r="I119" i="127"/>
  <c r="G119" i="127"/>
  <c r="E119" i="127"/>
  <c r="I116" i="127"/>
  <c r="I115" i="127"/>
  <c r="G114" i="127"/>
  <c r="E114" i="127"/>
  <c r="E113" i="127"/>
  <c r="K112" i="127"/>
  <c r="I112" i="127"/>
  <c r="G112" i="127"/>
  <c r="E112" i="127"/>
  <c r="I109" i="127"/>
  <c r="BH108" i="127"/>
  <c r="BI108" i="127" s="1"/>
  <c r="BJ108" i="127" s="1"/>
  <c r="BG108" i="127"/>
  <c r="BF108" i="127"/>
  <c r="G108" i="127"/>
  <c r="E108" i="127"/>
  <c r="BH107" i="127"/>
  <c r="BI107" i="127" s="1"/>
  <c r="BJ107" i="127" s="1"/>
  <c r="BG107" i="127"/>
  <c r="BF107" i="127"/>
  <c r="G107" i="127"/>
  <c r="E107" i="127"/>
  <c r="BH106" i="127"/>
  <c r="BI106" i="127" s="1"/>
  <c r="BJ106" i="127" s="1"/>
  <c r="BG106" i="127"/>
  <c r="BF106" i="127"/>
  <c r="I106" i="127"/>
  <c r="E106" i="127"/>
  <c r="I105" i="127"/>
  <c r="G105" i="127"/>
  <c r="E105" i="127"/>
  <c r="K104" i="127"/>
  <c r="I104" i="127"/>
  <c r="E104" i="127"/>
  <c r="BH102" i="127"/>
  <c r="BI102" i="127" s="1"/>
  <c r="BJ102" i="127" s="1"/>
  <c r="BG102" i="127"/>
  <c r="BF102" i="127"/>
  <c r="BH101" i="127"/>
  <c r="BI101" i="127" s="1"/>
  <c r="BJ101" i="127" s="1"/>
  <c r="BG101" i="127"/>
  <c r="BF101" i="127"/>
  <c r="H101" i="127"/>
  <c r="I101" i="127" s="1"/>
  <c r="F101" i="127"/>
  <c r="D101" i="127"/>
  <c r="D138" i="127" s="1"/>
  <c r="D141" i="127" s="1"/>
  <c r="BH100" i="127"/>
  <c r="BI100" i="127" s="1"/>
  <c r="BJ100" i="127" s="1"/>
  <c r="BG100" i="127"/>
  <c r="BF100" i="127"/>
  <c r="J100" i="127"/>
  <c r="I100" i="127"/>
  <c r="H100" i="127"/>
  <c r="G100" i="127"/>
  <c r="F100" i="127"/>
  <c r="E100" i="127"/>
  <c r="D100" i="127"/>
  <c r="K99" i="127"/>
  <c r="J99" i="127"/>
  <c r="K133" i="127" s="1"/>
  <c r="I99" i="127"/>
  <c r="H99" i="127"/>
  <c r="I117" i="127" s="1"/>
  <c r="F99" i="127"/>
  <c r="G123" i="127" s="1"/>
  <c r="D99" i="127"/>
  <c r="J98" i="127"/>
  <c r="I98" i="127"/>
  <c r="H98" i="127"/>
  <c r="G98" i="127"/>
  <c r="F98" i="127"/>
  <c r="E98" i="127"/>
  <c r="D98" i="127"/>
  <c r="I97" i="127"/>
  <c r="BH96" i="127"/>
  <c r="BI96" i="127" s="1"/>
  <c r="BJ96" i="127" s="1"/>
  <c r="BG96" i="127"/>
  <c r="BF96" i="127"/>
  <c r="K96" i="127"/>
  <c r="I96" i="127"/>
  <c r="G96" i="127"/>
  <c r="BH95" i="127"/>
  <c r="BI95" i="127" s="1"/>
  <c r="BJ95" i="127" s="1"/>
  <c r="BG95" i="127"/>
  <c r="BF95" i="127"/>
  <c r="J95" i="127"/>
  <c r="I95" i="127"/>
  <c r="H95" i="127"/>
  <c r="G95" i="127"/>
  <c r="F95" i="127"/>
  <c r="D95" i="127"/>
  <c r="BH94" i="127"/>
  <c r="BI94" i="127" s="1"/>
  <c r="BJ94" i="127" s="1"/>
  <c r="BG94" i="127"/>
  <c r="BF94" i="127"/>
  <c r="K94" i="127"/>
  <c r="I94" i="127"/>
  <c r="G94" i="127"/>
  <c r="I93" i="127"/>
  <c r="G93" i="127"/>
  <c r="E93" i="127"/>
  <c r="J92" i="127"/>
  <c r="H92" i="127"/>
  <c r="G92" i="127"/>
  <c r="F92" i="127"/>
  <c r="D92" i="127"/>
  <c r="E92" i="127" s="1"/>
  <c r="K91" i="127"/>
  <c r="I91" i="127"/>
  <c r="G91" i="127"/>
  <c r="BH90" i="127"/>
  <c r="BI90" i="127" s="1"/>
  <c r="BJ90" i="127" s="1"/>
  <c r="BG90" i="127"/>
  <c r="BF90" i="127"/>
  <c r="I90" i="127"/>
  <c r="G90" i="127"/>
  <c r="E90" i="127"/>
  <c r="BH89" i="127"/>
  <c r="BI89" i="127" s="1"/>
  <c r="BJ89" i="127" s="1"/>
  <c r="BG89" i="127"/>
  <c r="BF89" i="127"/>
  <c r="BH88" i="127"/>
  <c r="BI88" i="127" s="1"/>
  <c r="BJ88" i="127" s="1"/>
  <c r="BG88" i="127"/>
  <c r="BF88" i="127"/>
  <c r="F85" i="127"/>
  <c r="H85" i="127" s="1"/>
  <c r="BH84" i="127"/>
  <c r="BI84" i="127" s="1"/>
  <c r="BJ84" i="127" s="1"/>
  <c r="BK84" i="127" s="1"/>
  <c r="BG84" i="127"/>
  <c r="BF84" i="127"/>
  <c r="BE84" i="127"/>
  <c r="BH83" i="127"/>
  <c r="BI83" i="127" s="1"/>
  <c r="BJ83" i="127" s="1"/>
  <c r="BK83" i="127" s="1"/>
  <c r="BG83" i="127"/>
  <c r="BF83" i="127"/>
  <c r="BH82" i="127"/>
  <c r="BI82" i="127" s="1"/>
  <c r="BJ82" i="127" s="1"/>
  <c r="BG82" i="127"/>
  <c r="BF82" i="127"/>
  <c r="C76" i="127"/>
  <c r="C75" i="127"/>
  <c r="C74" i="127"/>
  <c r="C73" i="127"/>
  <c r="D78" i="127" s="1"/>
  <c r="F65" i="127"/>
  <c r="F33" i="127" s="1"/>
  <c r="E65" i="127"/>
  <c r="C63" i="127"/>
  <c r="C62" i="127"/>
  <c r="G61" i="127"/>
  <c r="C61" i="127" s="1"/>
  <c r="C59" i="127"/>
  <c r="P58" i="127"/>
  <c r="P45" i="127" s="1"/>
  <c r="P46" i="127" s="1"/>
  <c r="C58" i="127"/>
  <c r="Q57" i="127"/>
  <c r="P57" i="127"/>
  <c r="C57" i="127"/>
  <c r="P56" i="127"/>
  <c r="C56" i="127"/>
  <c r="BF55" i="127"/>
  <c r="P55" i="127"/>
  <c r="C55" i="127"/>
  <c r="P54" i="127"/>
  <c r="C54" i="127"/>
  <c r="P53" i="127"/>
  <c r="C53" i="127"/>
  <c r="P52" i="127"/>
  <c r="C52" i="127"/>
  <c r="P51" i="127"/>
  <c r="C51" i="127"/>
  <c r="C65" i="127" s="1"/>
  <c r="P50" i="127"/>
  <c r="C50" i="127"/>
  <c r="BG49" i="127"/>
  <c r="P49" i="127"/>
  <c r="C49" i="127"/>
  <c r="BG48" i="127"/>
  <c r="BI52" i="127" s="1"/>
  <c r="BH46" i="127"/>
  <c r="BC45" i="127"/>
  <c r="BF52" i="127" s="1"/>
  <c r="P44" i="127"/>
  <c r="P43" i="127"/>
  <c r="P42" i="127"/>
  <c r="P41" i="127"/>
  <c r="P40" i="127"/>
  <c r="P39" i="127"/>
  <c r="J37" i="127" s="1"/>
  <c r="P38" i="127"/>
  <c r="P37" i="127"/>
  <c r="P36" i="127"/>
  <c r="F36" i="127"/>
  <c r="J160" i="127" s="1"/>
  <c r="E36" i="127"/>
  <c r="E40" i="127" s="1"/>
  <c r="C36" i="127"/>
  <c r="BE83" i="127" s="1"/>
  <c r="P35" i="127"/>
  <c r="P34" i="127"/>
  <c r="J33" i="127" s="1"/>
  <c r="J34" i="127"/>
  <c r="P33" i="127"/>
  <c r="J36" i="127" s="1"/>
  <c r="E33" i="127"/>
  <c r="P32" i="127"/>
  <c r="P31" i="127"/>
  <c r="J38" i="127" s="1"/>
  <c r="P30" i="127"/>
  <c r="J35" i="127" s="1"/>
  <c r="B5" i="127"/>
  <c r="BF62" i="127"/>
  <c r="BH60" i="127"/>
  <c r="BF53" i="127"/>
  <c r="BF60" i="127"/>
  <c r="BF61" i="127"/>
  <c r="BF59" i="127"/>
  <c r="BG61" i="127"/>
  <c r="BL52" i="127"/>
  <c r="BG60" i="127"/>
  <c r="BG62" i="127"/>
  <c r="BI53" i="127"/>
  <c r="BG63" i="127" s="1"/>
  <c r="G215" i="127"/>
  <c r="G208" i="127"/>
  <c r="C680" i="127"/>
  <c r="G214" i="127"/>
  <c r="G210" i="127"/>
  <c r="BD88" i="127"/>
  <c r="I63" i="127"/>
  <c r="J63" i="127" s="1"/>
  <c r="BD95" i="127"/>
  <c r="G213" i="127"/>
  <c r="G209" i="127"/>
  <c r="BD108" i="127"/>
  <c r="G216" i="127"/>
  <c r="G212" i="127"/>
  <c r="I60" i="127"/>
  <c r="J60" i="127" s="1"/>
  <c r="I55" i="127"/>
  <c r="J55" i="127" s="1"/>
  <c r="I53" i="127"/>
  <c r="J53" i="127" s="1"/>
  <c r="I50" i="127"/>
  <c r="J50" i="127" s="1"/>
  <c r="G207" i="127"/>
  <c r="BD101" i="127"/>
  <c r="I62" i="127"/>
  <c r="J62" i="127" s="1"/>
  <c r="BD83" i="127"/>
  <c r="BD100" i="127"/>
  <c r="BD106" i="127"/>
  <c r="I57" i="127"/>
  <c r="J57" i="127" s="1"/>
  <c r="C33" i="127"/>
  <c r="I56" i="127"/>
  <c r="J56" i="127" s="1"/>
  <c r="G211" i="127"/>
  <c r="I64" i="127"/>
  <c r="J64" i="127" s="1"/>
  <c r="BD107" i="127"/>
  <c r="BD102" i="127"/>
  <c r="BD90" i="127"/>
  <c r="I61" i="127"/>
  <c r="J61" i="127" s="1"/>
  <c r="I59" i="127"/>
  <c r="J59" i="127" s="1"/>
  <c r="I54" i="127"/>
  <c r="J54" i="127" s="1"/>
  <c r="I52" i="127"/>
  <c r="J52" i="127" s="1"/>
  <c r="BD84" i="127"/>
  <c r="BD96" i="127"/>
  <c r="BD94" i="127"/>
  <c r="I58" i="127"/>
  <c r="J58" i="127" s="1"/>
  <c r="I51" i="127"/>
  <c r="J51" i="127" s="1"/>
  <c r="BD82" i="127"/>
  <c r="BD89" i="127"/>
  <c r="I49" i="127"/>
  <c r="J49" i="127" s="1"/>
  <c r="Q44" i="127"/>
  <c r="J40" i="127"/>
  <c r="K97" i="127"/>
  <c r="G219" i="127"/>
  <c r="K132" i="127"/>
  <c r="K125" i="127"/>
  <c r="K118" i="127"/>
  <c r="K111" i="127"/>
  <c r="K92" i="127"/>
  <c r="K135" i="127"/>
  <c r="K121" i="127"/>
  <c r="K114" i="127"/>
  <c r="K124" i="127"/>
  <c r="K134" i="127"/>
  <c r="K127" i="127"/>
  <c r="K120" i="127"/>
  <c r="K113" i="127"/>
  <c r="K108" i="127"/>
  <c r="K136" i="127"/>
  <c r="K123" i="127"/>
  <c r="K116" i="127"/>
  <c r="K109" i="127"/>
  <c r="K126" i="127"/>
  <c r="J217" i="127"/>
  <c r="F437" i="127"/>
  <c r="F440" i="127" s="1"/>
  <c r="F452" i="127" s="1"/>
  <c r="F457" i="127" s="1"/>
  <c r="F429" i="127"/>
  <c r="J159" i="127"/>
  <c r="K90" i="127"/>
  <c r="K95" i="127"/>
  <c r="D160" i="127"/>
  <c r="H508" i="127"/>
  <c r="H516" i="127"/>
  <c r="H519" i="127" s="1"/>
  <c r="H531" i="127" s="1"/>
  <c r="H536" i="127" s="1"/>
  <c r="BE108" i="127"/>
  <c r="BE94" i="127"/>
  <c r="BK94" i="127" s="1"/>
  <c r="F40" i="127"/>
  <c r="BE95" i="127"/>
  <c r="E101" i="127"/>
  <c r="F160" i="127"/>
  <c r="F138" i="127"/>
  <c r="F141" i="127" s="1"/>
  <c r="K105" i="127"/>
  <c r="K107" i="127"/>
  <c r="H160" i="127"/>
  <c r="F595" i="127"/>
  <c r="F598" i="127" s="1"/>
  <c r="F610" i="127" s="1"/>
  <c r="F615" i="127" s="1"/>
  <c r="F587" i="127"/>
  <c r="G101" i="127"/>
  <c r="BE102" i="127"/>
  <c r="K128" i="127"/>
  <c r="E136" i="127"/>
  <c r="E122" i="127"/>
  <c r="E115" i="127"/>
  <c r="E132" i="127"/>
  <c r="E125" i="127"/>
  <c r="E118" i="127"/>
  <c r="E111" i="127"/>
  <c r="E128" i="127"/>
  <c r="E135" i="127"/>
  <c r="E138" i="127"/>
  <c r="E124" i="127"/>
  <c r="E117" i="127"/>
  <c r="E110" i="127"/>
  <c r="E141" i="127"/>
  <c r="K106" i="127"/>
  <c r="E109" i="127"/>
  <c r="E116" i="127"/>
  <c r="E123" i="127"/>
  <c r="E130" i="127"/>
  <c r="D373" i="127"/>
  <c r="D378" i="127" s="1"/>
  <c r="BE82" i="127"/>
  <c r="BK82" i="127" s="1"/>
  <c r="BL82" i="127" s="1"/>
  <c r="BE106" i="127"/>
  <c r="BK106" i="127" s="1"/>
  <c r="BE96" i="127"/>
  <c r="K115" i="127"/>
  <c r="K122" i="127"/>
  <c r="E99" i="127"/>
  <c r="K100" i="127"/>
  <c r="J101" i="127"/>
  <c r="G109" i="127"/>
  <c r="G116" i="127"/>
  <c r="F130" i="127"/>
  <c r="I139" i="127"/>
  <c r="E97" i="127"/>
  <c r="G122" i="127"/>
  <c r="G115" i="127"/>
  <c r="G104" i="127"/>
  <c r="G132" i="127"/>
  <c r="G128" i="127"/>
  <c r="G125" i="127"/>
  <c r="G118" i="127"/>
  <c r="G111" i="127"/>
  <c r="G135" i="127"/>
  <c r="G124" i="127"/>
  <c r="G117" i="127"/>
  <c r="G110" i="127"/>
  <c r="G106" i="127"/>
  <c r="G134" i="127"/>
  <c r="G130" i="127"/>
  <c r="G127" i="127"/>
  <c r="G120" i="127"/>
  <c r="G113" i="127"/>
  <c r="K101" i="127"/>
  <c r="E133" i="127"/>
  <c r="K139" i="127"/>
  <c r="H587" i="127"/>
  <c r="H595" i="127"/>
  <c r="H598" i="127" s="1"/>
  <c r="H610" i="127" s="1"/>
  <c r="H615" i="127" s="1"/>
  <c r="E645" i="127"/>
  <c r="E643" i="127"/>
  <c r="BE90" i="127"/>
  <c r="F159" i="127"/>
  <c r="D159" i="127"/>
  <c r="H138" i="127"/>
  <c r="H141" i="127" s="1"/>
  <c r="H130" i="127"/>
  <c r="I130" i="127" s="1"/>
  <c r="G60" i="127"/>
  <c r="K93" i="127"/>
  <c r="E95" i="127"/>
  <c r="G97" i="127"/>
  <c r="G99" i="127"/>
  <c r="BE100" i="127"/>
  <c r="BK100" i="127" s="1"/>
  <c r="I110" i="127"/>
  <c r="E126" i="127"/>
  <c r="G133" i="127"/>
  <c r="J271" i="127"/>
  <c r="K271" i="127" s="1"/>
  <c r="J279" i="127"/>
  <c r="G655" i="127"/>
  <c r="G656" i="127"/>
  <c r="G648" i="127" s="1"/>
  <c r="G652" i="127" s="1"/>
  <c r="G659" i="127"/>
  <c r="BE89" i="127"/>
  <c r="K98" i="127"/>
  <c r="BE107" i="127"/>
  <c r="BE88" i="127"/>
  <c r="BK88" i="127" s="1"/>
  <c r="E91" i="127"/>
  <c r="E94" i="127"/>
  <c r="E96" i="127"/>
  <c r="I128" i="127"/>
  <c r="I132" i="127"/>
  <c r="I125" i="127"/>
  <c r="I118" i="127"/>
  <c r="I111" i="127"/>
  <c r="I138" i="127"/>
  <c r="I135" i="127"/>
  <c r="I121" i="127"/>
  <c r="I114" i="127"/>
  <c r="I92" i="127"/>
  <c r="I124" i="127"/>
  <c r="I134" i="127"/>
  <c r="I127" i="127"/>
  <c r="I120" i="127"/>
  <c r="I113" i="127"/>
  <c r="I107" i="127"/>
  <c r="I108" i="127"/>
  <c r="BE101" i="127"/>
  <c r="K110" i="127"/>
  <c r="K117" i="127"/>
  <c r="G126" i="127"/>
  <c r="I133" i="127"/>
  <c r="H217" i="127"/>
  <c r="E219" i="127" s="1"/>
  <c r="G358" i="127"/>
  <c r="G355" i="127"/>
  <c r="G341" i="127"/>
  <c r="G334" i="127"/>
  <c r="G327" i="127"/>
  <c r="G318" i="127"/>
  <c r="G310" i="127"/>
  <c r="F321" i="127"/>
  <c r="G346" i="127"/>
  <c r="G342" i="127"/>
  <c r="G338" i="127"/>
  <c r="G316" i="127"/>
  <c r="G354" i="127"/>
  <c r="G361" i="127"/>
  <c r="G329" i="127"/>
  <c r="G325" i="127"/>
  <c r="G313" i="127"/>
  <c r="G337" i="127"/>
  <c r="G333" i="127"/>
  <c r="G353" i="127"/>
  <c r="G345" i="127"/>
  <c r="G320" i="127"/>
  <c r="G356" i="127"/>
  <c r="G348" i="127"/>
  <c r="G336" i="127"/>
  <c r="G332" i="127"/>
  <c r="G328" i="127"/>
  <c r="G324" i="127"/>
  <c r="G315" i="127"/>
  <c r="G359" i="127"/>
  <c r="G344" i="127"/>
  <c r="G340" i="127"/>
  <c r="G312" i="127"/>
  <c r="G352" i="127"/>
  <c r="G350" i="127"/>
  <c r="G330" i="127"/>
  <c r="G326" i="127"/>
  <c r="G311" i="127"/>
  <c r="G339" i="127"/>
  <c r="E404" i="127"/>
  <c r="K549" i="127"/>
  <c r="K573" i="127"/>
  <c r="C645" i="127"/>
  <c r="C643" i="127"/>
  <c r="I596" i="127"/>
  <c r="I590" i="127"/>
  <c r="I583" i="127"/>
  <c r="I576" i="127"/>
  <c r="I569" i="127"/>
  <c r="I562" i="127"/>
  <c r="I551" i="127"/>
  <c r="I595" i="127"/>
  <c r="I555" i="127"/>
  <c r="I581" i="127"/>
  <c r="I574" i="127"/>
  <c r="I567" i="127"/>
  <c r="I558" i="127"/>
  <c r="I592" i="127"/>
  <c r="I547" i="127"/>
  <c r="I556" i="127"/>
  <c r="I587" i="127"/>
  <c r="E422" i="127"/>
  <c r="E415" i="127"/>
  <c r="E408" i="127"/>
  <c r="D400" i="127"/>
  <c r="E396" i="127"/>
  <c r="E434" i="127"/>
  <c r="E420" i="127"/>
  <c r="E413" i="127"/>
  <c r="E406" i="127"/>
  <c r="E423" i="127"/>
  <c r="E427" i="127"/>
  <c r="E432" i="127"/>
  <c r="I554" i="127"/>
  <c r="K585" i="127"/>
  <c r="K579" i="127"/>
  <c r="K572" i="127"/>
  <c r="K565" i="127"/>
  <c r="K557" i="127"/>
  <c r="K553" i="127"/>
  <c r="K548" i="127"/>
  <c r="K598" i="127"/>
  <c r="K592" i="127"/>
  <c r="K578" i="127"/>
  <c r="K571" i="127"/>
  <c r="K564" i="127"/>
  <c r="K552" i="127"/>
  <c r="K547" i="127"/>
  <c r="J558" i="127"/>
  <c r="I565" i="127"/>
  <c r="I579" i="127"/>
  <c r="K587" i="127"/>
  <c r="K678" i="127"/>
  <c r="C681" i="127" s="1"/>
  <c r="E234" i="127"/>
  <c r="E246" i="127"/>
  <c r="G257" i="127"/>
  <c r="E261" i="127"/>
  <c r="E265" i="127"/>
  <c r="E280" i="127"/>
  <c r="K350" i="127"/>
  <c r="K344" i="127"/>
  <c r="K337" i="127"/>
  <c r="K330" i="127"/>
  <c r="K321" i="127"/>
  <c r="K312" i="127"/>
  <c r="J321" i="127"/>
  <c r="K327" i="127"/>
  <c r="K331" i="127"/>
  <c r="K335" i="127"/>
  <c r="K339" i="127"/>
  <c r="E392" i="127"/>
  <c r="E398" i="127"/>
  <c r="E400" i="127"/>
  <c r="I405" i="127"/>
  <c r="E410" i="127"/>
  <c r="I414" i="127"/>
  <c r="E419" i="127"/>
  <c r="K554" i="127"/>
  <c r="K556" i="127"/>
  <c r="I561" i="127"/>
  <c r="I570" i="127"/>
  <c r="I575" i="127"/>
  <c r="I584" i="127"/>
  <c r="K596" i="127"/>
  <c r="G643" i="127"/>
  <c r="E237" i="127"/>
  <c r="G246" i="127"/>
  <c r="E250" i="127"/>
  <c r="G265" i="127"/>
  <c r="E269" i="127"/>
  <c r="G273" i="127"/>
  <c r="G280" i="127"/>
  <c r="K319" i="127"/>
  <c r="I440" i="127"/>
  <c r="E506" i="127"/>
  <c r="E478" i="127"/>
  <c r="E513" i="127"/>
  <c r="E499" i="127"/>
  <c r="E492" i="127"/>
  <c r="E485" i="127"/>
  <c r="E468" i="127"/>
  <c r="E512" i="127"/>
  <c r="E505" i="127"/>
  <c r="E498" i="127"/>
  <c r="E491" i="127"/>
  <c r="E484" i="127"/>
  <c r="E477" i="127"/>
  <c r="E479" i="127"/>
  <c r="E508" i="127"/>
  <c r="I548" i="127"/>
  <c r="K551" i="127"/>
  <c r="K561" i="127"/>
  <c r="I566" i="127"/>
  <c r="K570" i="127"/>
  <c r="K575" i="127"/>
  <c r="I580" i="127"/>
  <c r="K584" i="127"/>
  <c r="I589" i="127"/>
  <c r="C644" i="127"/>
  <c r="E273" i="127"/>
  <c r="E266" i="127"/>
  <c r="E236" i="127"/>
  <c r="E254" i="127"/>
  <c r="E258" i="127"/>
  <c r="K352" i="127"/>
  <c r="E390" i="127"/>
  <c r="I419" i="127"/>
  <c r="E424" i="127"/>
  <c r="E433" i="127"/>
  <c r="G516" i="127"/>
  <c r="G513" i="127"/>
  <c r="G499" i="127"/>
  <c r="G492" i="127"/>
  <c r="G485" i="127"/>
  <c r="G476" i="127"/>
  <c r="G468" i="127"/>
  <c r="F479" i="127"/>
  <c r="G517" i="127"/>
  <c r="G514" i="127"/>
  <c r="G511" i="127"/>
  <c r="G504" i="127"/>
  <c r="G497" i="127"/>
  <c r="G490" i="127"/>
  <c r="G483" i="127"/>
  <c r="G472" i="127"/>
  <c r="G479" i="127"/>
  <c r="E490" i="127"/>
  <c r="E495" i="127"/>
  <c r="E504" i="127"/>
  <c r="G508" i="127"/>
  <c r="E517" i="127"/>
  <c r="K566" i="127"/>
  <c r="K580" i="127"/>
  <c r="K589" i="127"/>
  <c r="E644" i="127"/>
  <c r="E232" i="127"/>
  <c r="E240" i="127"/>
  <c r="D242" i="127"/>
  <c r="G258" i="127"/>
  <c r="E262" i="127"/>
  <c r="G269" i="127"/>
  <c r="K336" i="127"/>
  <c r="K340" i="127"/>
  <c r="K359" i="127"/>
  <c r="E393" i="127"/>
  <c r="I438" i="127"/>
  <c r="I432" i="127"/>
  <c r="I425" i="127"/>
  <c r="I418" i="127"/>
  <c r="I411" i="127"/>
  <c r="I404" i="127"/>
  <c r="I393" i="127"/>
  <c r="I437" i="127"/>
  <c r="I397" i="127"/>
  <c r="I423" i="127"/>
  <c r="I416" i="127"/>
  <c r="I409" i="127"/>
  <c r="H400" i="127"/>
  <c r="I406" i="127"/>
  <c r="E411" i="127"/>
  <c r="I415" i="127"/>
  <c r="I424" i="127"/>
  <c r="E437" i="127"/>
  <c r="G477" i="127"/>
  <c r="E486" i="127"/>
  <c r="G495" i="127"/>
  <c r="E500" i="127"/>
  <c r="I571" i="127"/>
  <c r="I593" i="127"/>
  <c r="E235" i="127"/>
  <c r="G275" i="127"/>
  <c r="G268" i="127"/>
  <c r="G261" i="127"/>
  <c r="G254" i="127"/>
  <c r="G247" i="127"/>
  <c r="G233" i="127"/>
  <c r="E247" i="127"/>
  <c r="E251" i="127"/>
  <c r="G262" i="127"/>
  <c r="G266" i="127"/>
  <c r="E274" i="127"/>
  <c r="K324" i="127"/>
  <c r="K328" i="127"/>
  <c r="K332" i="127"/>
  <c r="I390" i="127"/>
  <c r="I396" i="127"/>
  <c r="I398" i="127"/>
  <c r="I400" i="127"/>
  <c r="E407" i="127"/>
  <c r="E429" i="127"/>
  <c r="I433" i="127"/>
  <c r="E469" i="127"/>
  <c r="E472" i="127"/>
  <c r="E475" i="127"/>
  <c r="G486" i="127"/>
  <c r="G500" i="127"/>
  <c r="E514" i="127"/>
  <c r="K562" i="127"/>
  <c r="K576" i="127"/>
  <c r="I232" i="127"/>
  <c r="G235" i="127"/>
  <c r="E238" i="127"/>
  <c r="G240" i="127"/>
  <c r="F242" i="127"/>
  <c r="I247" i="127"/>
  <c r="G251" i="127"/>
  <c r="E255" i="127"/>
  <c r="I262" i="127"/>
  <c r="I266" i="127"/>
  <c r="I269" i="127"/>
  <c r="G274" i="127"/>
  <c r="E325" i="127"/>
  <c r="E329" i="127"/>
  <c r="K427" i="127"/>
  <c r="K440" i="127"/>
  <c r="K434" i="127"/>
  <c r="K420" i="127"/>
  <c r="K413" i="127"/>
  <c r="K406" i="127"/>
  <c r="K394" i="127"/>
  <c r="K389" i="127"/>
  <c r="J400" i="127"/>
  <c r="K400" i="127"/>
  <c r="K411" i="127"/>
  <c r="E416" i="127"/>
  <c r="I420" i="127"/>
  <c r="E425" i="127"/>
  <c r="K433" i="127"/>
  <c r="G469" i="127"/>
  <c r="G475" i="127"/>
  <c r="E482" i="127"/>
  <c r="G491" i="127"/>
  <c r="E496" i="127"/>
  <c r="G505" i="127"/>
  <c r="E510" i="127"/>
  <c r="E519" i="127"/>
  <c r="I557" i="127"/>
  <c r="K567" i="127"/>
  <c r="K581" i="127"/>
  <c r="K590" i="127"/>
  <c r="K593" i="127"/>
  <c r="I598" i="127"/>
  <c r="G238" i="127"/>
  <c r="I276" i="127"/>
  <c r="I240" i="127"/>
  <c r="H242" i="127"/>
  <c r="I251" i="127"/>
  <c r="G255" i="127"/>
  <c r="E259" i="127"/>
  <c r="I274" i="127"/>
  <c r="K315" i="127"/>
  <c r="K341" i="127"/>
  <c r="K345" i="127"/>
  <c r="K348" i="127"/>
  <c r="K353" i="127"/>
  <c r="K356" i="127"/>
  <c r="E403" i="127"/>
  <c r="I407" i="127"/>
  <c r="E412" i="127"/>
  <c r="E421" i="127"/>
  <c r="K508" i="127"/>
  <c r="K502" i="127"/>
  <c r="K495" i="127"/>
  <c r="K488" i="127"/>
  <c r="K479" i="127"/>
  <c r="K470" i="127"/>
  <c r="J479" i="127"/>
  <c r="K506" i="127"/>
  <c r="K500" i="127"/>
  <c r="K493" i="127"/>
  <c r="K486" i="127"/>
  <c r="K478" i="127"/>
  <c r="K474" i="127"/>
  <c r="K469" i="127"/>
  <c r="G482" i="127"/>
  <c r="E487" i="127"/>
  <c r="G496" i="127"/>
  <c r="E501" i="127"/>
  <c r="G510" i="127"/>
  <c r="I572" i="127"/>
  <c r="I585" i="127"/>
  <c r="I645" i="127"/>
  <c r="I678" i="127"/>
  <c r="K681" i="127" s="1"/>
  <c r="I238" i="127"/>
  <c r="K277" i="127"/>
  <c r="K264" i="127"/>
  <c r="K257" i="127"/>
  <c r="K250" i="127"/>
  <c r="K238" i="127"/>
  <c r="I242" i="127"/>
  <c r="E248" i="127"/>
  <c r="K251" i="127"/>
  <c r="I255" i="127"/>
  <c r="G259" i="127"/>
  <c r="E263" i="127"/>
  <c r="E267" i="127"/>
  <c r="K269" i="127"/>
  <c r="K274" i="127"/>
  <c r="K310" i="127"/>
  <c r="E316" i="127"/>
  <c r="K318" i="127"/>
  <c r="K329" i="127"/>
  <c r="K333" i="127"/>
  <c r="E338" i="127"/>
  <c r="E342" i="127"/>
  <c r="D350" i="127"/>
  <c r="E391" i="127"/>
  <c r="E394" i="127"/>
  <c r="E397" i="127"/>
  <c r="I403" i="127"/>
  <c r="K407" i="127"/>
  <c r="K416" i="127"/>
  <c r="K425" i="127"/>
  <c r="I434" i="127"/>
  <c r="K437" i="127"/>
  <c r="K475" i="127"/>
  <c r="K477" i="127"/>
  <c r="G487" i="127"/>
  <c r="K491" i="127"/>
  <c r="G501" i="127"/>
  <c r="K505" i="127"/>
  <c r="G519" i="127"/>
  <c r="I549" i="127"/>
  <c r="I552" i="127"/>
  <c r="K555" i="127"/>
  <c r="I563" i="127"/>
  <c r="I568" i="127"/>
  <c r="I577" i="127"/>
  <c r="I582" i="127"/>
  <c r="E233" i="127"/>
  <c r="G248" i="127"/>
  <c r="E252" i="127"/>
  <c r="I259" i="127"/>
  <c r="G263" i="127"/>
  <c r="G267" i="127"/>
  <c r="E275" i="127"/>
  <c r="K313" i="127"/>
  <c r="E348" i="127"/>
  <c r="E320" i="127"/>
  <c r="E354" i="127"/>
  <c r="E347" i="127"/>
  <c r="E340" i="127"/>
  <c r="E333" i="127"/>
  <c r="E326" i="127"/>
  <c r="K320" i="127"/>
  <c r="K325" i="127"/>
  <c r="E330" i="127"/>
  <c r="E334" i="127"/>
  <c r="E350" i="127"/>
  <c r="E358" i="127"/>
  <c r="E399" i="127"/>
  <c r="I412" i="127"/>
  <c r="E417" i="127"/>
  <c r="I421" i="127"/>
  <c r="E426" i="127"/>
  <c r="I429" i="127"/>
  <c r="E438" i="127"/>
  <c r="E470" i="127"/>
  <c r="E473" i="127"/>
  <c r="K482" i="127"/>
  <c r="K487" i="127"/>
  <c r="K496" i="127"/>
  <c r="K501" i="127"/>
  <c r="K510" i="127"/>
  <c r="E580" i="127"/>
  <c r="E573" i="127"/>
  <c r="E566" i="127"/>
  <c r="D558" i="127"/>
  <c r="E554" i="127"/>
  <c r="E556" i="127"/>
  <c r="E592" i="127"/>
  <c r="E578" i="127"/>
  <c r="E571" i="127"/>
  <c r="E564" i="127"/>
  <c r="E547" i="127"/>
  <c r="K563" i="127"/>
  <c r="K568" i="127"/>
  <c r="I573" i="127"/>
  <c r="K577" i="127"/>
  <c r="K582" i="127"/>
  <c r="E587" i="127"/>
  <c r="I591" i="127"/>
  <c r="I329" i="127"/>
  <c r="I336" i="127"/>
  <c r="G392" i="127"/>
  <c r="G399" i="127"/>
  <c r="G403" i="127"/>
  <c r="G410" i="127"/>
  <c r="G417" i="127"/>
  <c r="G424" i="127"/>
  <c r="G427" i="127"/>
  <c r="I487" i="127"/>
  <c r="I494" i="127"/>
  <c r="G550" i="127"/>
  <c r="G557" i="127"/>
  <c r="G561" i="127"/>
  <c r="G568" i="127"/>
  <c r="G575" i="127"/>
  <c r="G582" i="127"/>
  <c r="G585" i="127"/>
  <c r="I644" i="127"/>
  <c r="BK95" i="127" l="1"/>
  <c r="BK89" i="127"/>
  <c r="BL89" i="127" s="1"/>
  <c r="BK96" i="127"/>
  <c r="BK108" i="127"/>
  <c r="BL108" i="127" s="1"/>
  <c r="BK101" i="127"/>
  <c r="BL101" i="127" s="1"/>
  <c r="BL84" i="127"/>
  <c r="BK90" i="127"/>
  <c r="BL90" i="127" s="1"/>
  <c r="BK102" i="127"/>
  <c r="BL102" i="127" s="1"/>
  <c r="D429" i="127"/>
  <c r="D437" i="127"/>
  <c r="D440" i="127" s="1"/>
  <c r="D452" i="127" s="1"/>
  <c r="D457" i="127" s="1"/>
  <c r="J350" i="127"/>
  <c r="J358" i="127"/>
  <c r="J361" i="127" s="1"/>
  <c r="J373" i="127" s="1"/>
  <c r="J378" i="127" s="1"/>
  <c r="BL96" i="127"/>
  <c r="D60" i="127"/>
  <c r="F350" i="127"/>
  <c r="F358" i="127"/>
  <c r="F361" i="127" s="1"/>
  <c r="F373" i="127" s="1"/>
  <c r="F378" i="127" s="1"/>
  <c r="BL106" i="127"/>
  <c r="BG59" i="127"/>
  <c r="BI54" i="127" s="1"/>
  <c r="BI56" i="127" s="1"/>
  <c r="BK107" i="127"/>
  <c r="BL107" i="127" s="1"/>
  <c r="F516" i="127"/>
  <c r="F519" i="127" s="1"/>
  <c r="F531" i="127" s="1"/>
  <c r="F536" i="127" s="1"/>
  <c r="F508" i="127"/>
  <c r="J429" i="127"/>
  <c r="J437" i="127"/>
  <c r="J440" i="127" s="1"/>
  <c r="J452" i="127" s="1"/>
  <c r="J457" i="127" s="1"/>
  <c r="J282" i="127"/>
  <c r="K279" i="127"/>
  <c r="I655" i="127"/>
  <c r="I656" i="127" s="1"/>
  <c r="I648" i="127" s="1"/>
  <c r="I652" i="127" s="1"/>
  <c r="I659" i="127" s="1"/>
  <c r="H429" i="127"/>
  <c r="H437" i="127"/>
  <c r="H440" i="127" s="1"/>
  <c r="H452" i="127" s="1"/>
  <c r="H457" i="127" s="1"/>
  <c r="J587" i="127"/>
  <c r="J595" i="127"/>
  <c r="J598" i="127" s="1"/>
  <c r="J610" i="127" s="1"/>
  <c r="J615" i="127" s="1"/>
  <c r="BF54" i="127"/>
  <c r="BE56" i="127" s="1"/>
  <c r="BL83" i="127"/>
  <c r="D271" i="127"/>
  <c r="E271" i="127" s="1"/>
  <c r="D279" i="127"/>
  <c r="E655" i="127"/>
  <c r="E656" i="127"/>
  <c r="E648" i="127" s="1"/>
  <c r="E652" i="127" s="1"/>
  <c r="E659" i="127" s="1"/>
  <c r="J155" i="127"/>
  <c r="H155" i="127"/>
  <c r="F155" i="127"/>
  <c r="D155" i="127"/>
  <c r="G683" i="127"/>
  <c r="C682" i="127"/>
  <c r="C684" i="127" s="1"/>
  <c r="C685" i="127" s="1"/>
  <c r="G681" i="127"/>
  <c r="G680" i="127"/>
  <c r="J508" i="127"/>
  <c r="J516" i="127"/>
  <c r="J519" i="127" s="1"/>
  <c r="J531" i="127" s="1"/>
  <c r="J536" i="127" s="1"/>
  <c r="D587" i="127"/>
  <c r="D595" i="127"/>
  <c r="D598" i="127" s="1"/>
  <c r="D610" i="127" s="1"/>
  <c r="D615" i="127" s="1"/>
  <c r="H279" i="127"/>
  <c r="H271" i="127"/>
  <c r="I271" i="127" s="1"/>
  <c r="F279" i="127"/>
  <c r="F271" i="127"/>
  <c r="G271" i="127" s="1"/>
  <c r="E242" i="127"/>
  <c r="BL95" i="127"/>
  <c r="J65" i="127"/>
  <c r="BL53" i="127"/>
  <c r="BK63" i="127" s="1"/>
  <c r="C656" i="127"/>
  <c r="C648" i="127" s="1"/>
  <c r="C652" i="127" s="1"/>
  <c r="C659" i="127" s="1"/>
  <c r="C662" i="127" s="1"/>
  <c r="C655" i="127"/>
  <c r="BL100" i="127"/>
  <c r="G141" i="127"/>
  <c r="BF63" i="127"/>
  <c r="BK61" i="127"/>
  <c r="BK59" i="127"/>
  <c r="BK60" i="127"/>
  <c r="BK62" i="127"/>
  <c r="G242" i="127"/>
  <c r="K680" i="127"/>
  <c r="I141" i="127"/>
  <c r="BL88" i="127"/>
  <c r="G138" i="127"/>
  <c r="J138" i="127"/>
  <c r="J130" i="127"/>
  <c r="K130" i="127" s="1"/>
  <c r="BL94" i="127"/>
  <c r="J151" i="127" l="1"/>
  <c r="H151" i="127"/>
  <c r="H153" i="127" s="1"/>
  <c r="F151" i="127"/>
  <c r="F153" i="127" s="1"/>
  <c r="D151" i="127"/>
  <c r="D153" i="127" s="1"/>
  <c r="J174" i="127"/>
  <c r="H174" i="127"/>
  <c r="F174" i="127"/>
  <c r="D174" i="127"/>
  <c r="G64" i="127"/>
  <c r="J39" i="127"/>
  <c r="J41" i="127" s="1"/>
  <c r="F282" i="127"/>
  <c r="G279" i="127"/>
  <c r="BL54" i="127"/>
  <c r="BL56" i="127" s="1"/>
  <c r="H282" i="127"/>
  <c r="I279" i="127"/>
  <c r="J294" i="127"/>
  <c r="K282" i="127"/>
  <c r="D282" i="127"/>
  <c r="E279" i="127"/>
  <c r="J141" i="127"/>
  <c r="K138" i="127"/>
  <c r="J156" i="127"/>
  <c r="J161" i="127" s="1"/>
  <c r="J172" i="127" s="1"/>
  <c r="J195" i="127" s="1"/>
  <c r="H156" i="127"/>
  <c r="H161" i="127" s="1"/>
  <c r="H172" i="127" s="1"/>
  <c r="H195" i="127" s="1"/>
  <c r="F156" i="127"/>
  <c r="F161" i="127" s="1"/>
  <c r="F172" i="127" s="1"/>
  <c r="F195" i="127" s="1"/>
  <c r="D156" i="127"/>
  <c r="D161" i="127" s="1"/>
  <c r="D172" i="127" s="1"/>
  <c r="D195" i="127" s="1"/>
  <c r="C40" i="127"/>
  <c r="D64" i="127" l="1"/>
  <c r="D65" i="127" s="1"/>
  <c r="G65" i="127"/>
  <c r="J153" i="127"/>
  <c r="K141" i="127"/>
  <c r="F294" i="127"/>
  <c r="G282" i="127"/>
  <c r="D294" i="127"/>
  <c r="E282" i="127"/>
  <c r="D171" i="127"/>
  <c r="D163" i="127"/>
  <c r="D166" i="127"/>
  <c r="D165" i="127"/>
  <c r="D164" i="127"/>
  <c r="J299" i="127"/>
  <c r="J179" i="127"/>
  <c r="F171" i="127"/>
  <c r="F163" i="127"/>
  <c r="F166" i="127"/>
  <c r="F165" i="127"/>
  <c r="F164" i="127"/>
  <c r="H163" i="127"/>
  <c r="H166" i="127"/>
  <c r="H165" i="127"/>
  <c r="H171" i="127"/>
  <c r="H164" i="127"/>
  <c r="H294" i="127"/>
  <c r="I282" i="127"/>
  <c r="D179" i="127" l="1"/>
  <c r="D299" i="127"/>
  <c r="F179" i="127"/>
  <c r="F299" i="127"/>
  <c r="H179" i="127"/>
  <c r="H194" i="127" s="1"/>
  <c r="H299" i="127"/>
  <c r="D194" i="127"/>
  <c r="J163" i="127"/>
  <c r="J166" i="127"/>
  <c r="J165" i="127"/>
  <c r="J171" i="127"/>
  <c r="J194" i="127" s="1"/>
  <c r="J164" i="127"/>
  <c r="F194" i="127"/>
  <c r="G66" i="127"/>
  <c r="E66" i="127"/>
  <c r="F66" i="127"/>
  <c r="C66" i="127"/>
  <c r="F78" i="127"/>
  <c r="H78" i="127" s="1"/>
  <c r="D33" i="127"/>
  <c r="D66" i="127"/>
  <c r="H199" i="127" l="1"/>
  <c r="H201" i="127"/>
  <c r="H200" i="127"/>
  <c r="H198" i="127"/>
  <c r="F201" i="127"/>
  <c r="F200" i="127"/>
  <c r="F199" i="127"/>
  <c r="F198" i="127"/>
  <c r="D201" i="127"/>
  <c r="D200" i="127"/>
  <c r="D199" i="127"/>
  <c r="D198" i="127"/>
  <c r="J200" i="127"/>
  <c r="J199" i="127"/>
  <c r="J201" i="127"/>
  <c r="J198" i="127"/>
  <c r="C109" i="126" l="1"/>
  <c r="D107" i="126"/>
  <c r="C107" i="126"/>
  <c r="J106" i="126"/>
  <c r="H106" i="126"/>
  <c r="I106" i="126" s="1"/>
  <c r="G106" i="126"/>
  <c r="J105" i="126"/>
  <c r="H105" i="126"/>
  <c r="I105" i="126" s="1"/>
  <c r="G105" i="126"/>
  <c r="J104" i="126"/>
  <c r="H104" i="126"/>
  <c r="I104" i="126" s="1"/>
  <c r="G104" i="126"/>
  <c r="J103" i="126"/>
  <c r="H103" i="126"/>
  <c r="I103" i="126" s="1"/>
  <c r="G103" i="126"/>
  <c r="J102" i="126"/>
  <c r="H102" i="126"/>
  <c r="I102" i="126" s="1"/>
  <c r="G102" i="126"/>
  <c r="J101" i="126"/>
  <c r="H101" i="126"/>
  <c r="I101" i="126" s="1"/>
  <c r="G101" i="126"/>
  <c r="J100" i="126"/>
  <c r="H100" i="126"/>
  <c r="I100" i="126" s="1"/>
  <c r="G100" i="126"/>
  <c r="J99" i="126"/>
  <c r="H99" i="126"/>
  <c r="I99" i="126" s="1"/>
  <c r="G99" i="126"/>
  <c r="J98" i="126"/>
  <c r="H98" i="126"/>
  <c r="G98" i="126"/>
  <c r="J97" i="126"/>
  <c r="H97" i="126"/>
  <c r="I97" i="126" s="1"/>
  <c r="G97" i="126"/>
  <c r="H21" i="126"/>
  <c r="H22" i="126"/>
  <c r="H23" i="126"/>
  <c r="H24" i="126"/>
  <c r="H25" i="126"/>
  <c r="H26" i="126"/>
  <c r="H27" i="126"/>
  <c r="H28" i="126"/>
  <c r="H29" i="126"/>
  <c r="H30" i="126"/>
  <c r="H31" i="126"/>
  <c r="H32" i="126"/>
  <c r="H33" i="126"/>
  <c r="H34" i="126"/>
  <c r="H35" i="126"/>
  <c r="H20" i="126"/>
  <c r="F36" i="126"/>
  <c r="E36" i="126"/>
  <c r="J107" i="126" l="1"/>
  <c r="H107" i="126"/>
  <c r="E109" i="126" s="1"/>
  <c r="G109" i="126" s="1"/>
  <c r="I98" i="126"/>
  <c r="C36" i="126"/>
  <c r="D36" i="126" l="1"/>
  <c r="G36" i="126"/>
  <c r="H36" i="126" l="1"/>
  <c r="D37" i="126" l="1"/>
  <c r="H37" i="126"/>
  <c r="E37" i="126"/>
  <c r="F37" i="126"/>
  <c r="G37" i="126"/>
  <c r="C37" i="126"/>
  <c r="D15" i="126" l="1"/>
  <c r="E15" i="126"/>
  <c r="F15" i="126"/>
  <c r="C15" i="126"/>
  <c r="D9" i="75"/>
  <c r="D15" i="80"/>
  <c r="D18" i="80"/>
  <c r="H11" i="80"/>
  <c r="J130" i="6"/>
  <c r="J130" i="5"/>
  <c r="G130" i="5"/>
  <c r="G130" i="6"/>
  <c r="E130" i="6"/>
  <c r="E130" i="5"/>
  <c r="E131" i="5"/>
  <c r="G131" i="5"/>
  <c r="J131" i="5"/>
  <c r="E131" i="6"/>
  <c r="G131" i="6"/>
  <c r="J131" i="6"/>
  <c r="E129" i="6"/>
  <c r="E129" i="5"/>
  <c r="J36" i="17"/>
  <c r="J35" i="17"/>
  <c r="J34" i="17"/>
  <c r="L34" i="17"/>
  <c r="D92" i="75"/>
  <c r="D84" i="75"/>
  <c r="D83" i="75"/>
  <c r="D82" i="75"/>
  <c r="D81" i="75"/>
  <c r="D79" i="75"/>
  <c r="D78" i="75"/>
  <c r="D77" i="75"/>
  <c r="D75" i="75"/>
  <c r="D74" i="75"/>
  <c r="D73" i="75"/>
  <c r="D72" i="75"/>
  <c r="D71" i="75"/>
  <c r="D70" i="75"/>
  <c r="D69" i="75"/>
  <c r="D68" i="75"/>
  <c r="D67" i="75"/>
  <c r="D57" i="75" l="1"/>
  <c r="D56" i="75"/>
  <c r="D55" i="75"/>
  <c r="D54" i="75"/>
  <c r="D49" i="75"/>
  <c r="D48" i="75"/>
  <c r="D47" i="75"/>
  <c r="D46" i="75"/>
  <c r="D45" i="75"/>
  <c r="D44" i="75"/>
  <c r="D43" i="75"/>
  <c r="D42" i="75"/>
  <c r="D41" i="75"/>
  <c r="D40" i="75"/>
  <c r="D39" i="75"/>
  <c r="D38" i="75"/>
  <c r="D37" i="75"/>
  <c r="D36" i="75"/>
  <c r="D35" i="75"/>
  <c r="D34" i="75"/>
  <c r="D33" i="75"/>
  <c r="D32" i="75"/>
  <c r="D31" i="75"/>
  <c r="D30" i="75"/>
  <c r="D29" i="75"/>
  <c r="D28" i="75"/>
  <c r="D27" i="75"/>
  <c r="D26" i="75"/>
  <c r="D16" i="75"/>
  <c r="D15" i="75"/>
  <c r="D13" i="75"/>
  <c r="D12" i="75"/>
  <c r="D10" i="75"/>
  <c r="B7" i="75"/>
  <c r="B6" i="75"/>
  <c r="L30" i="73"/>
  <c r="L11" i="80"/>
  <c r="B7" i="73"/>
  <c r="C7" i="73" s="1"/>
  <c r="B84" i="6" l="1"/>
  <c r="B84" i="5"/>
  <c r="B82" i="6"/>
  <c r="B82" i="5"/>
  <c r="K3" i="68"/>
  <c r="K31" i="5"/>
  <c r="E133" i="6"/>
  <c r="Q29" i="68" l="1"/>
  <c r="Q28" i="68"/>
  <c r="Q27" i="68"/>
  <c r="Q26" i="68"/>
  <c r="O29" i="68"/>
  <c r="O28" i="68"/>
  <c r="O27" i="68"/>
  <c r="O26" i="68"/>
  <c r="M29" i="68"/>
  <c r="M28" i="68"/>
  <c r="M27" i="68"/>
  <c r="M26" i="68"/>
  <c r="K29" i="68"/>
  <c r="K28" i="68"/>
  <c r="K27" i="68"/>
  <c r="K26" i="68"/>
  <c r="G29" i="68"/>
  <c r="G28" i="68"/>
  <c r="G27" i="68"/>
  <c r="G26" i="68"/>
  <c r="E29" i="68"/>
  <c r="E28" i="68"/>
  <c r="E27" i="68"/>
  <c r="E26" i="68"/>
  <c r="C29" i="68"/>
  <c r="C28" i="68"/>
  <c r="C27" i="68"/>
  <c r="C26" i="68"/>
  <c r="G248" i="122"/>
  <c r="F248" i="122"/>
  <c r="E248" i="122"/>
  <c r="I247" i="122"/>
  <c r="H247" i="122"/>
  <c r="G247" i="122"/>
  <c r="F247" i="122"/>
  <c r="E247" i="122"/>
  <c r="I246" i="122"/>
  <c r="H246" i="122"/>
  <c r="G246" i="122"/>
  <c r="F246" i="122"/>
  <c r="E246" i="122"/>
  <c r="I245" i="122"/>
  <c r="H245" i="122"/>
  <c r="G245" i="122"/>
  <c r="F245" i="122"/>
  <c r="E245" i="122"/>
  <c r="I244" i="122"/>
  <c r="H244" i="122"/>
  <c r="G244" i="122"/>
  <c r="F244" i="122"/>
  <c r="E244" i="122"/>
  <c r="G243" i="122"/>
  <c r="F243" i="122"/>
  <c r="E243" i="122"/>
  <c r="H242" i="122"/>
  <c r="G242" i="122"/>
  <c r="F242" i="122"/>
  <c r="E242" i="122"/>
  <c r="I238" i="122"/>
  <c r="H238" i="122"/>
  <c r="G238" i="122"/>
  <c r="F238" i="122"/>
  <c r="E238" i="122"/>
  <c r="M237" i="122"/>
  <c r="I237" i="122"/>
  <c r="H237" i="122"/>
  <c r="G237" i="122"/>
  <c r="F237" i="122"/>
  <c r="E237" i="122"/>
  <c r="C237" i="122"/>
  <c r="M236" i="122"/>
  <c r="I236" i="122"/>
  <c r="H236" i="122"/>
  <c r="G236" i="122"/>
  <c r="F236" i="122"/>
  <c r="E236" i="122"/>
  <c r="D236" i="122"/>
  <c r="C236" i="122"/>
  <c r="M235" i="122"/>
  <c r="H235" i="122"/>
  <c r="G235" i="122"/>
  <c r="E235" i="122"/>
  <c r="C235" i="122"/>
  <c r="M234" i="122"/>
  <c r="I234" i="122"/>
  <c r="H234" i="122"/>
  <c r="G234" i="122"/>
  <c r="F234" i="122"/>
  <c r="E234" i="122"/>
  <c r="C234" i="122"/>
  <c r="M233" i="122"/>
  <c r="I233" i="122"/>
  <c r="H233" i="122"/>
  <c r="G233" i="122"/>
  <c r="F233" i="122"/>
  <c r="E233" i="122"/>
  <c r="C233" i="122"/>
  <c r="M232" i="122"/>
  <c r="E232" i="122"/>
  <c r="M231" i="122"/>
  <c r="G231" i="122"/>
  <c r="G232" i="122" s="1"/>
  <c r="F231" i="122"/>
  <c r="F232" i="122" s="1"/>
  <c r="E231" i="122"/>
  <c r="C231" i="122"/>
  <c r="M230" i="122"/>
  <c r="H230" i="122"/>
  <c r="G230" i="122"/>
  <c r="E230" i="122"/>
  <c r="C230" i="122"/>
  <c r="M229" i="122"/>
  <c r="I229" i="122"/>
  <c r="H229" i="122"/>
  <c r="G229" i="122"/>
  <c r="F229" i="122"/>
  <c r="E229" i="122"/>
  <c r="C229" i="122"/>
  <c r="M228" i="122"/>
  <c r="I228" i="122"/>
  <c r="H228" i="122"/>
  <c r="G228" i="122"/>
  <c r="F228" i="122"/>
  <c r="E228" i="122"/>
  <c r="C228" i="122"/>
  <c r="M227" i="122"/>
  <c r="I227" i="122"/>
  <c r="H227" i="122"/>
  <c r="G227" i="122"/>
  <c r="F227" i="122"/>
  <c r="E227" i="122"/>
  <c r="C227" i="122"/>
  <c r="M226" i="122"/>
  <c r="I226" i="122"/>
  <c r="H226" i="122"/>
  <c r="G226" i="122"/>
  <c r="F226" i="122"/>
  <c r="E226" i="122"/>
  <c r="C226" i="122"/>
  <c r="M225" i="122"/>
  <c r="I225" i="122"/>
  <c r="H225" i="122"/>
  <c r="G225" i="122"/>
  <c r="F225" i="122"/>
  <c r="E225" i="122"/>
  <c r="C225" i="122"/>
  <c r="M224" i="122"/>
  <c r="I224" i="122"/>
  <c r="H224" i="122"/>
  <c r="G224" i="122"/>
  <c r="F224" i="122"/>
  <c r="E224" i="122"/>
  <c r="C224" i="122"/>
  <c r="M223" i="122"/>
  <c r="I223" i="122"/>
  <c r="H223" i="122"/>
  <c r="G223" i="122"/>
  <c r="F223" i="122"/>
  <c r="E223" i="122"/>
  <c r="C223" i="122"/>
  <c r="M222" i="122"/>
  <c r="I222" i="122"/>
  <c r="H222" i="122"/>
  <c r="G222" i="122"/>
  <c r="F222" i="122"/>
  <c r="E222" i="122"/>
  <c r="C222" i="122"/>
  <c r="M221" i="122"/>
  <c r="I221" i="122"/>
  <c r="H221" i="122"/>
  <c r="G221" i="122"/>
  <c r="F221" i="122"/>
  <c r="E221" i="122"/>
  <c r="C221" i="122"/>
  <c r="M220" i="122"/>
  <c r="I220" i="122"/>
  <c r="H220" i="122"/>
  <c r="G220" i="122"/>
  <c r="F220" i="122"/>
  <c r="E220" i="122"/>
  <c r="C220" i="122"/>
  <c r="H219" i="122"/>
  <c r="G219" i="122"/>
  <c r="F219" i="122"/>
  <c r="E219" i="122"/>
  <c r="G34" i="122"/>
  <c r="F34" i="122"/>
  <c r="E34" i="122"/>
  <c r="I33" i="122"/>
  <c r="H33" i="122"/>
  <c r="G33" i="122"/>
  <c r="F33" i="122"/>
  <c r="E33" i="122"/>
  <c r="I32" i="122"/>
  <c r="H32" i="122"/>
  <c r="G32" i="122"/>
  <c r="F32" i="122"/>
  <c r="E32" i="122"/>
  <c r="I31" i="122"/>
  <c r="H31" i="122"/>
  <c r="G31" i="122"/>
  <c r="F31" i="122"/>
  <c r="E31" i="122"/>
  <c r="I30" i="122"/>
  <c r="H30" i="122"/>
  <c r="G30" i="122"/>
  <c r="F30" i="122"/>
  <c r="E30" i="122"/>
  <c r="G29" i="122"/>
  <c r="F29" i="122"/>
  <c r="E29" i="122"/>
  <c r="H28" i="122"/>
  <c r="G28" i="122"/>
  <c r="F28" i="122"/>
  <c r="E28" i="122"/>
  <c r="I24" i="122"/>
  <c r="H24" i="122"/>
  <c r="G24" i="122"/>
  <c r="F24" i="122"/>
  <c r="E24" i="122"/>
  <c r="M23" i="122"/>
  <c r="I23" i="122"/>
  <c r="H23" i="122"/>
  <c r="G23" i="122"/>
  <c r="F23" i="122"/>
  <c r="E23" i="122"/>
  <c r="C23" i="122"/>
  <c r="M22" i="122"/>
  <c r="I22" i="122"/>
  <c r="H22" i="122"/>
  <c r="G22" i="122"/>
  <c r="F22" i="122"/>
  <c r="E22" i="122"/>
  <c r="D22" i="122"/>
  <c r="C22" i="122"/>
  <c r="M21" i="122"/>
  <c r="H21" i="122"/>
  <c r="G21" i="122"/>
  <c r="E21" i="122"/>
  <c r="C21" i="122"/>
  <c r="I20" i="122"/>
  <c r="H20" i="122"/>
  <c r="G20" i="122"/>
  <c r="F20" i="122"/>
  <c r="E20" i="122"/>
  <c r="C20" i="122"/>
  <c r="M19" i="122"/>
  <c r="I19" i="122"/>
  <c r="H19" i="122"/>
  <c r="G19" i="122"/>
  <c r="F19" i="122"/>
  <c r="E19" i="122"/>
  <c r="C19" i="122"/>
  <c r="M18" i="122"/>
  <c r="I18" i="122"/>
  <c r="H18" i="122"/>
  <c r="G18" i="122"/>
  <c r="F18" i="122"/>
  <c r="E18" i="122"/>
  <c r="M17" i="122"/>
  <c r="G17" i="122"/>
  <c r="F17" i="122"/>
  <c r="E17" i="122"/>
  <c r="C17" i="122"/>
  <c r="M16" i="122"/>
  <c r="H16" i="122"/>
  <c r="G16" i="122"/>
  <c r="E16" i="122"/>
  <c r="C16" i="122"/>
  <c r="M15" i="122"/>
  <c r="I15" i="122"/>
  <c r="H15" i="122"/>
  <c r="G15" i="122"/>
  <c r="F15" i="122"/>
  <c r="E15" i="122"/>
  <c r="C15" i="122"/>
  <c r="M14" i="122"/>
  <c r="I14" i="122"/>
  <c r="H14" i="122"/>
  <c r="G14" i="122"/>
  <c r="F14" i="122"/>
  <c r="E14" i="122"/>
  <c r="C14" i="122"/>
  <c r="M13" i="122"/>
  <c r="I13" i="122"/>
  <c r="H13" i="122"/>
  <c r="G13" i="122"/>
  <c r="F13" i="122"/>
  <c r="E13" i="122"/>
  <c r="C13" i="122"/>
  <c r="M12" i="122"/>
  <c r="I12" i="122"/>
  <c r="H12" i="122"/>
  <c r="G12" i="122"/>
  <c r="F12" i="122"/>
  <c r="E12" i="122"/>
  <c r="C12" i="122"/>
  <c r="M11" i="122"/>
  <c r="I11" i="122"/>
  <c r="H11" i="122"/>
  <c r="G11" i="122"/>
  <c r="F11" i="122"/>
  <c r="E11" i="122"/>
  <c r="C11" i="122"/>
  <c r="M10" i="122"/>
  <c r="I10" i="122"/>
  <c r="H10" i="122"/>
  <c r="G10" i="122"/>
  <c r="F10" i="122"/>
  <c r="E10" i="122"/>
  <c r="C10" i="122"/>
  <c r="M9" i="122"/>
  <c r="I9" i="122"/>
  <c r="H9" i="122"/>
  <c r="G9" i="122"/>
  <c r="F9" i="122"/>
  <c r="E9" i="122"/>
  <c r="C9" i="122"/>
  <c r="M8" i="122"/>
  <c r="I8" i="122"/>
  <c r="H8" i="122"/>
  <c r="G8" i="122"/>
  <c r="F8" i="122"/>
  <c r="E8" i="122"/>
  <c r="C8" i="122"/>
  <c r="I7" i="122"/>
  <c r="H7" i="122"/>
  <c r="G7" i="122"/>
  <c r="F7" i="122"/>
  <c r="E7" i="122"/>
  <c r="C7" i="122"/>
  <c r="M6" i="122"/>
  <c r="I6" i="122"/>
  <c r="H6" i="122"/>
  <c r="G6" i="122"/>
  <c r="F6" i="122"/>
  <c r="E6" i="122"/>
  <c r="C6" i="122"/>
  <c r="H5" i="122"/>
  <c r="G5" i="122"/>
  <c r="F5" i="122"/>
  <c r="E5" i="122"/>
  <c r="M59" i="8"/>
  <c r="M58" i="8"/>
  <c r="M57" i="8"/>
  <c r="M56" i="8"/>
  <c r="M55" i="8"/>
  <c r="M54" i="8"/>
  <c r="M53" i="8"/>
  <c r="M52" i="8"/>
  <c r="M51" i="8"/>
  <c r="M50" i="8"/>
  <c r="M49" i="8"/>
  <c r="M48" i="8"/>
  <c r="M47" i="8"/>
  <c r="M46" i="8"/>
  <c r="M45" i="8"/>
  <c r="M44" i="8"/>
  <c r="M43" i="8"/>
  <c r="M42" i="8"/>
  <c r="M16" i="8"/>
  <c r="M8" i="8"/>
  <c r="M9" i="8"/>
  <c r="M10" i="8"/>
  <c r="M11" i="8"/>
  <c r="M12" i="8"/>
  <c r="M13" i="8"/>
  <c r="M14" i="8"/>
  <c r="M15" i="8"/>
  <c r="M17" i="8"/>
  <c r="M18" i="8"/>
  <c r="M19" i="8"/>
  <c r="M21" i="8"/>
  <c r="M22" i="8"/>
  <c r="M23" i="8"/>
  <c r="M6" i="8"/>
  <c r="G17" i="8"/>
  <c r="F17" i="8"/>
  <c r="G53" i="8"/>
  <c r="F53" i="8"/>
  <c r="E61" i="8"/>
  <c r="I60" i="8"/>
  <c r="H60" i="8"/>
  <c r="G60" i="8"/>
  <c r="F60" i="8"/>
  <c r="E60" i="8"/>
  <c r="E54" i="8"/>
  <c r="E18" i="8"/>
  <c r="I24" i="8"/>
  <c r="H24" i="8"/>
  <c r="G24" i="8"/>
  <c r="F24" i="8"/>
  <c r="E24" i="8"/>
  <c r="I18" i="8"/>
  <c r="H18" i="8"/>
  <c r="G18" i="8"/>
  <c r="F18" i="8"/>
  <c r="E30" i="68" l="1"/>
  <c r="E25" i="122"/>
  <c r="E26" i="122" s="1"/>
  <c r="E239" i="122"/>
  <c r="E240" i="122" s="1"/>
  <c r="G25" i="122"/>
  <c r="G26" i="122" s="1"/>
  <c r="G239" i="122"/>
  <c r="G240" i="122" s="1"/>
  <c r="G281" i="71"/>
  <c r="G282" i="71"/>
  <c r="G283" i="71"/>
  <c r="G284" i="71"/>
  <c r="G285" i="71"/>
  <c r="G286" i="71"/>
  <c r="G287" i="71"/>
  <c r="G288" i="71"/>
  <c r="G289" i="71"/>
  <c r="G290" i="71"/>
  <c r="G291" i="71"/>
  <c r="G280" i="71"/>
  <c r="D281" i="71"/>
  <c r="D282" i="71"/>
  <c r="D283" i="71"/>
  <c r="D284" i="71"/>
  <c r="D285" i="71"/>
  <c r="D286" i="71"/>
  <c r="D287" i="71"/>
  <c r="D288" i="71"/>
  <c r="D289" i="71"/>
  <c r="D290" i="71"/>
  <c r="D291" i="71"/>
  <c r="D280" i="71"/>
  <c r="G132" i="5"/>
  <c r="I100" i="6"/>
  <c r="U2" i="26" a="1"/>
  <c r="U2" i="26" s="1"/>
  <c r="U2" i="29" a="1"/>
  <c r="U2" i="29" s="1"/>
  <c r="U2" i="32" a="1"/>
  <c r="U2" i="32" s="1"/>
  <c r="U2" i="35" a="1"/>
  <c r="U2" i="35" s="1"/>
  <c r="U2" i="23" a="1"/>
  <c r="U2" i="23" s="1"/>
  <c r="K13" i="38"/>
  <c r="AB19" i="13"/>
  <c r="T11" i="13"/>
  <c r="V11" i="13"/>
  <c r="X11" i="13"/>
  <c r="Z11" i="13"/>
  <c r="Y12" i="13"/>
  <c r="T14" i="13"/>
  <c r="V14" i="13"/>
  <c r="X14" i="13"/>
  <c r="Z14" i="13"/>
  <c r="T17" i="13"/>
  <c r="V17" i="13"/>
  <c r="X17" i="13"/>
  <c r="Z17" i="13"/>
  <c r="T18" i="13"/>
  <c r="U9" i="13" s="1"/>
  <c r="V18" i="13"/>
  <c r="W27" i="13" s="1"/>
  <c r="X18" i="13"/>
  <c r="Y50" i="13" s="1"/>
  <c r="Z18" i="13"/>
  <c r="AA10" i="13" s="1"/>
  <c r="T19" i="13"/>
  <c r="V19" i="13"/>
  <c r="X19" i="13"/>
  <c r="Z19" i="13"/>
  <c r="T22" i="13"/>
  <c r="V22" i="13"/>
  <c r="X22" i="13"/>
  <c r="Z22" i="13"/>
  <c r="Y26" i="13"/>
  <c r="Y30" i="13"/>
  <c r="U36" i="13"/>
  <c r="Y36" i="13"/>
  <c r="Y38" i="13"/>
  <c r="Y40" i="13"/>
  <c r="Y46" i="13"/>
  <c r="Y48" i="13"/>
  <c r="T50" i="13"/>
  <c r="V50" i="13"/>
  <c r="V23" i="13" s="1"/>
  <c r="X50" i="13"/>
  <c r="X23" i="13" s="1"/>
  <c r="Z50" i="13"/>
  <c r="W52" i="13"/>
  <c r="Y54" i="13"/>
  <c r="Y55" i="13"/>
  <c r="Y56" i="13"/>
  <c r="Y57" i="13"/>
  <c r="T58" i="13"/>
  <c r="V58" i="13"/>
  <c r="X58" i="13"/>
  <c r="Y58" i="13"/>
  <c r="Z58" i="13"/>
  <c r="Y60" i="13"/>
  <c r="F167" i="11"/>
  <c r="F167" i="10"/>
  <c r="F161" i="11"/>
  <c r="F162" i="11"/>
  <c r="F163" i="11"/>
  <c r="F164" i="11"/>
  <c r="F165" i="11"/>
  <c r="F166" i="11"/>
  <c r="F161" i="10"/>
  <c r="F162" i="10"/>
  <c r="F163" i="10"/>
  <c r="F164" i="10"/>
  <c r="F165" i="10"/>
  <c r="F166" i="10"/>
  <c r="F160" i="11"/>
  <c r="F160" i="10"/>
  <c r="U55" i="13" l="1"/>
  <c r="U35" i="13"/>
  <c r="U30" i="13"/>
  <c r="U41" i="13"/>
  <c r="Z23" i="13"/>
  <c r="U13" i="13"/>
  <c r="U46" i="13"/>
  <c r="U16" i="13"/>
  <c r="AA52" i="13"/>
  <c r="Y15" i="13"/>
  <c r="Y44" i="13"/>
  <c r="Y34" i="13"/>
  <c r="Y42" i="13"/>
  <c r="Y32" i="13"/>
  <c r="Y20" i="13"/>
  <c r="AA60" i="13"/>
  <c r="U18" i="13"/>
  <c r="Y28" i="13"/>
  <c r="U58" i="13"/>
  <c r="U50" i="13"/>
  <c r="U45" i="13"/>
  <c r="U40" i="13"/>
  <c r="U29" i="13"/>
  <c r="U54" i="13"/>
  <c r="U39" i="13"/>
  <c r="U34" i="13"/>
  <c r="U19" i="13"/>
  <c r="U49" i="13"/>
  <c r="U28" i="13"/>
  <c r="U57" i="13"/>
  <c r="U43" i="13"/>
  <c r="U38" i="13"/>
  <c r="U27" i="13"/>
  <c r="U17" i="13"/>
  <c r="U14" i="13"/>
  <c r="U11" i="13"/>
  <c r="U44" i="13"/>
  <c r="U33" i="13"/>
  <c r="U52" i="13"/>
  <c r="U48" i="13"/>
  <c r="U37" i="13"/>
  <c r="U32" i="13"/>
  <c r="U20" i="13"/>
  <c r="U60" i="13"/>
  <c r="U56" i="13"/>
  <c r="U47" i="13"/>
  <c r="U42" i="13"/>
  <c r="U31" i="13"/>
  <c r="U26" i="13"/>
  <c r="T20" i="13"/>
  <c r="T60" i="13" s="1"/>
  <c r="T63" i="13" s="1"/>
  <c r="Y16" i="13"/>
  <c r="Y13" i="13"/>
  <c r="Y10" i="13"/>
  <c r="U10" i="13"/>
  <c r="T23" i="13"/>
  <c r="W56" i="13"/>
  <c r="W54" i="13"/>
  <c r="W50" i="13"/>
  <c r="AA48" i="13"/>
  <c r="AA46" i="13"/>
  <c r="AA44" i="13"/>
  <c r="AA42" i="13"/>
  <c r="AA40" i="13"/>
  <c r="AA38" i="13"/>
  <c r="AA36" i="13"/>
  <c r="AA34" i="13"/>
  <c r="AA32" i="13"/>
  <c r="AA30" i="13"/>
  <c r="AA28" i="13"/>
  <c r="AA26" i="13"/>
  <c r="X20" i="13"/>
  <c r="Y19" i="13"/>
  <c r="Y18" i="13"/>
  <c r="Y17" i="13"/>
  <c r="W16" i="13"/>
  <c r="Y14" i="13"/>
  <c r="W13" i="13"/>
  <c r="Y11" i="13"/>
  <c r="W10" i="13"/>
  <c r="W20" i="13"/>
  <c r="AA58" i="13"/>
  <c r="AA57" i="13"/>
  <c r="AA55" i="13"/>
  <c r="W48" i="13"/>
  <c r="W46" i="13"/>
  <c r="W44" i="13"/>
  <c r="W42" i="13"/>
  <c r="W40" i="13"/>
  <c r="W38" i="13"/>
  <c r="W36" i="13"/>
  <c r="W34" i="13"/>
  <c r="W32" i="13"/>
  <c r="W30" i="13"/>
  <c r="W28" i="13"/>
  <c r="W26" i="13"/>
  <c r="V20" i="13"/>
  <c r="W19" i="13"/>
  <c r="W18" i="13"/>
  <c r="W17" i="13"/>
  <c r="AA15" i="13"/>
  <c r="W14" i="13"/>
  <c r="AA12" i="13"/>
  <c r="W11" i="13"/>
  <c r="AA9" i="13"/>
  <c r="Y9" i="13"/>
  <c r="AA45" i="13"/>
  <c r="W9" i="13"/>
  <c r="W55" i="13"/>
  <c r="AA50" i="13"/>
  <c r="AA49" i="13"/>
  <c r="AA43" i="13"/>
  <c r="AA39" i="13"/>
  <c r="AA35" i="13"/>
  <c r="AA31" i="13"/>
  <c r="AA27" i="13"/>
  <c r="W15" i="13"/>
  <c r="Y61" i="13"/>
  <c r="Y49" i="13"/>
  <c r="Y45" i="13"/>
  <c r="Y43" i="13"/>
  <c r="Y41" i="13"/>
  <c r="Y39" i="13"/>
  <c r="Y37" i="13"/>
  <c r="Y35" i="13"/>
  <c r="Y31" i="13"/>
  <c r="Y29" i="13"/>
  <c r="Y27" i="13"/>
  <c r="AA20" i="13"/>
  <c r="U15" i="13"/>
  <c r="U12" i="13"/>
  <c r="AA63" i="13"/>
  <c r="W57" i="13"/>
  <c r="AA47" i="13"/>
  <c r="AA41" i="13"/>
  <c r="AA37" i="13"/>
  <c r="AA33" i="13"/>
  <c r="AA29" i="13"/>
  <c r="W12" i="13"/>
  <c r="W60" i="13"/>
  <c r="Y52" i="13"/>
  <c r="Y47" i="13"/>
  <c r="Y33" i="13"/>
  <c r="Y63" i="13"/>
  <c r="W58" i="13"/>
  <c r="AA56" i="13"/>
  <c r="AA54" i="13"/>
  <c r="W49" i="13"/>
  <c r="W47" i="13"/>
  <c r="W45" i="13"/>
  <c r="W43" i="13"/>
  <c r="W41" i="13"/>
  <c r="W39" i="13"/>
  <c r="W37" i="13"/>
  <c r="W35" i="13"/>
  <c r="W33" i="13"/>
  <c r="W31" i="13"/>
  <c r="W29" i="13"/>
  <c r="Z20" i="13"/>
  <c r="AA19" i="13"/>
  <c r="AA18" i="13"/>
  <c r="AA17" i="13"/>
  <c r="AA16" i="13"/>
  <c r="AA14" i="13"/>
  <c r="AA13" i="13"/>
  <c r="AA11" i="13"/>
  <c r="I107" i="11"/>
  <c r="K107" i="11" s="1"/>
  <c r="E107" i="11"/>
  <c r="J106" i="11"/>
  <c r="H106" i="11"/>
  <c r="G106" i="11"/>
  <c r="E106" i="11" s="1"/>
  <c r="B106" i="11"/>
  <c r="J105" i="11"/>
  <c r="H105" i="11"/>
  <c r="G105" i="11"/>
  <c r="E105" i="11"/>
  <c r="B105" i="11"/>
  <c r="J104" i="11"/>
  <c r="H104" i="11"/>
  <c r="I104" i="11" s="1"/>
  <c r="K104" i="11" s="1"/>
  <c r="G104" i="11"/>
  <c r="E104" i="11" s="1"/>
  <c r="B104" i="11"/>
  <c r="J103" i="11"/>
  <c r="H103" i="11"/>
  <c r="G103" i="11"/>
  <c r="E103" i="11"/>
  <c r="B103" i="11"/>
  <c r="J102" i="11"/>
  <c r="G102" i="11"/>
  <c r="I102" i="11" s="1"/>
  <c r="E102" i="11"/>
  <c r="D102" i="11"/>
  <c r="C102" i="11"/>
  <c r="J101" i="11"/>
  <c r="G101" i="11"/>
  <c r="I101" i="11" s="1"/>
  <c r="K101" i="11" s="1"/>
  <c r="E101" i="11"/>
  <c r="D101" i="11"/>
  <c r="C101" i="11"/>
  <c r="J100" i="11"/>
  <c r="G100" i="11"/>
  <c r="I100" i="11" s="1"/>
  <c r="K100" i="11" s="1"/>
  <c r="E100" i="11"/>
  <c r="D100" i="11"/>
  <c r="C100" i="11"/>
  <c r="I107" i="10"/>
  <c r="K107" i="10" s="1"/>
  <c r="E107" i="10"/>
  <c r="J106" i="10"/>
  <c r="H106" i="10"/>
  <c r="G106" i="10"/>
  <c r="B106" i="10"/>
  <c r="J105" i="10"/>
  <c r="H105" i="10"/>
  <c r="G105" i="10"/>
  <c r="I105" i="10" s="1"/>
  <c r="K105" i="10" s="1"/>
  <c r="B105" i="10"/>
  <c r="J104" i="10"/>
  <c r="H104" i="10"/>
  <c r="G104" i="10"/>
  <c r="I104" i="10" s="1"/>
  <c r="K104" i="10" s="1"/>
  <c r="E104" i="10"/>
  <c r="B104" i="10"/>
  <c r="J103" i="10"/>
  <c r="H103" i="10"/>
  <c r="G103" i="10"/>
  <c r="E103" i="10" s="1"/>
  <c r="B103" i="10"/>
  <c r="J102" i="10"/>
  <c r="G102" i="10"/>
  <c r="I102" i="10" s="1"/>
  <c r="K102" i="10" s="1"/>
  <c r="E102" i="10"/>
  <c r="D102" i="10"/>
  <c r="C102" i="10"/>
  <c r="J101" i="10"/>
  <c r="G101" i="10"/>
  <c r="I101" i="10" s="1"/>
  <c r="E101" i="10"/>
  <c r="D101" i="10"/>
  <c r="C101" i="10"/>
  <c r="J100" i="10"/>
  <c r="G100" i="10"/>
  <c r="I100" i="10" s="1"/>
  <c r="E100" i="10"/>
  <c r="D100" i="10"/>
  <c r="C100" i="10"/>
  <c r="J80" i="11"/>
  <c r="J80" i="10"/>
  <c r="J79" i="11"/>
  <c r="J79" i="10"/>
  <c r="J78" i="11"/>
  <c r="J78" i="10"/>
  <c r="J77" i="11"/>
  <c r="J77" i="10"/>
  <c r="J76" i="11"/>
  <c r="J76" i="10"/>
  <c r="J75" i="11"/>
  <c r="J75" i="10"/>
  <c r="J74" i="11"/>
  <c r="J74" i="10"/>
  <c r="E76" i="11"/>
  <c r="E76" i="10"/>
  <c r="E75" i="11"/>
  <c r="E75" i="10"/>
  <c r="E74" i="11"/>
  <c r="E74" i="10"/>
  <c r="D76" i="11"/>
  <c r="D76" i="10"/>
  <c r="D75" i="11"/>
  <c r="D75" i="10"/>
  <c r="D74" i="11"/>
  <c r="D74" i="10"/>
  <c r="C76" i="11"/>
  <c r="C76" i="10"/>
  <c r="C75" i="11"/>
  <c r="C75" i="10"/>
  <c r="C74" i="11"/>
  <c r="C74" i="10"/>
  <c r="H80" i="11"/>
  <c r="H80" i="10"/>
  <c r="H79" i="11"/>
  <c r="H79" i="10"/>
  <c r="H78" i="11"/>
  <c r="H78" i="10"/>
  <c r="H77" i="11"/>
  <c r="H77" i="10"/>
  <c r="G80" i="11"/>
  <c r="G80" i="10"/>
  <c r="G79" i="11"/>
  <c r="G79" i="10"/>
  <c r="G78" i="11"/>
  <c r="G78" i="10"/>
  <c r="G77" i="11"/>
  <c r="G77" i="10"/>
  <c r="B80" i="11"/>
  <c r="B80" i="10"/>
  <c r="B79" i="11"/>
  <c r="B79" i="10"/>
  <c r="B77" i="11"/>
  <c r="B77" i="10"/>
  <c r="B78" i="11"/>
  <c r="B78" i="10"/>
  <c r="C114" i="11"/>
  <c r="I108" i="11"/>
  <c r="K108" i="11" s="1"/>
  <c r="E108" i="11"/>
  <c r="C114" i="10"/>
  <c r="I108" i="10"/>
  <c r="K108" i="10" s="1"/>
  <c r="E108" i="10"/>
  <c r="I69" i="71"/>
  <c r="I24" i="71"/>
  <c r="E64" i="8"/>
  <c r="H28" i="8"/>
  <c r="E28" i="8"/>
  <c r="H63" i="6"/>
  <c r="H63" i="5"/>
  <c r="G63" i="6"/>
  <c r="H64" i="8" s="1"/>
  <c r="G63" i="5"/>
  <c r="F63" i="6"/>
  <c r="G64" i="8" s="1"/>
  <c r="F63" i="5"/>
  <c r="G28" i="8" s="1"/>
  <c r="E63" i="6"/>
  <c r="F64" i="8" s="1"/>
  <c r="E63" i="5"/>
  <c r="F28" i="8" s="1"/>
  <c r="D2" i="48"/>
  <c r="D2" i="45"/>
  <c r="D2" i="42"/>
  <c r="D2" i="39"/>
  <c r="H41" i="8"/>
  <c r="G41" i="8"/>
  <c r="F41" i="8"/>
  <c r="E41" i="8"/>
  <c r="H5" i="8"/>
  <c r="G5" i="8"/>
  <c r="F5" i="8"/>
  <c r="E5" i="8"/>
  <c r="J11" i="13"/>
  <c r="U63" i="13" l="1"/>
  <c r="T52" i="13"/>
  <c r="U61" i="13"/>
  <c r="V60" i="13"/>
  <c r="V63" i="13" s="1"/>
  <c r="W61" i="13"/>
  <c r="V52" i="13"/>
  <c r="W63" i="13"/>
  <c r="Z52" i="13"/>
  <c r="AA61" i="13"/>
  <c r="Z60" i="13"/>
  <c r="Z63" i="13" s="1"/>
  <c r="X52" i="13"/>
  <c r="X60" i="13"/>
  <c r="X63" i="13" s="1"/>
  <c r="I103" i="11"/>
  <c r="K103" i="11" s="1"/>
  <c r="K101" i="10"/>
  <c r="I106" i="10"/>
  <c r="K106" i="10" s="1"/>
  <c r="I103" i="10"/>
  <c r="K103" i="10" s="1"/>
  <c r="I105" i="11"/>
  <c r="K105" i="11" s="1"/>
  <c r="K100" i="10"/>
  <c r="E105" i="10"/>
  <c r="K102" i="11"/>
  <c r="I106" i="11"/>
  <c r="K106" i="11" s="1"/>
  <c r="E106" i="10"/>
  <c r="G114" i="11"/>
  <c r="G109" i="11"/>
  <c r="G109" i="10"/>
  <c r="C58" i="8"/>
  <c r="G114" i="10" l="1"/>
  <c r="I109" i="11"/>
  <c r="I109" i="10"/>
  <c r="J86" i="75" l="1"/>
  <c r="J9" i="75"/>
  <c r="H69" i="8"/>
  <c r="H68" i="8"/>
  <c r="H67" i="8"/>
  <c r="H66" i="8"/>
  <c r="G69" i="8"/>
  <c r="F69" i="8"/>
  <c r="G68" i="8"/>
  <c r="F68" i="8"/>
  <c r="G67" i="8"/>
  <c r="F67" i="8"/>
  <c r="G66" i="8"/>
  <c r="F66" i="8"/>
  <c r="G65" i="8"/>
  <c r="F65" i="8"/>
  <c r="E69" i="8"/>
  <c r="E68" i="8"/>
  <c r="E67" i="8"/>
  <c r="E66" i="8"/>
  <c r="E65" i="8"/>
  <c r="I98" i="6"/>
  <c r="H33" i="8"/>
  <c r="G33" i="8"/>
  <c r="F33" i="8"/>
  <c r="H32" i="8"/>
  <c r="G32" i="8"/>
  <c r="F32" i="8"/>
  <c r="H31" i="8"/>
  <c r="G31" i="8"/>
  <c r="F31" i="8"/>
  <c r="H30" i="8"/>
  <c r="G30" i="8"/>
  <c r="F30" i="8"/>
  <c r="G29" i="8"/>
  <c r="F29" i="8"/>
  <c r="E33" i="8"/>
  <c r="E32" i="8"/>
  <c r="E31" i="8"/>
  <c r="E30" i="8"/>
  <c r="E29" i="8"/>
  <c r="H102" i="6"/>
  <c r="I101" i="6"/>
  <c r="I99" i="6"/>
  <c r="I102" i="6" l="1"/>
  <c r="M27" i="18"/>
  <c r="N27" i="18" s="1"/>
  <c r="O27" i="18"/>
  <c r="H141" i="11"/>
  <c r="H141" i="10"/>
  <c r="H123" i="11"/>
  <c r="E82" i="11"/>
  <c r="E81" i="11"/>
  <c r="E80" i="11"/>
  <c r="E79" i="11"/>
  <c r="E78" i="11"/>
  <c r="E77" i="11"/>
  <c r="E101" i="5" l="1"/>
  <c r="E102" i="5"/>
  <c r="E103" i="5"/>
  <c r="G116" i="6"/>
  <c r="G116" i="5"/>
  <c r="P12" i="6"/>
  <c r="I27" i="83" l="1"/>
  <c r="G27" i="83"/>
  <c r="E27" i="83"/>
  <c r="C27" i="83"/>
  <c r="O30" i="82"/>
  <c r="N30" i="82"/>
  <c r="I11" i="83"/>
  <c r="I7" i="83"/>
  <c r="I8" i="83"/>
  <c r="I9" i="83"/>
  <c r="G11" i="83"/>
  <c r="G7" i="83"/>
  <c r="G8" i="83"/>
  <c r="G9" i="83"/>
  <c r="E11" i="83"/>
  <c r="E7" i="83"/>
  <c r="E8" i="83"/>
  <c r="E9" i="83"/>
  <c r="C11" i="83"/>
  <c r="C9" i="83"/>
  <c r="C8" i="83"/>
  <c r="F292" i="71"/>
  <c r="C7" i="22"/>
  <c r="F4" i="13"/>
  <c r="H4" i="13" s="1"/>
  <c r="C3" i="119"/>
  <c r="C3" i="116"/>
  <c r="C3" i="113"/>
  <c r="C3" i="110"/>
  <c r="C3" i="107"/>
  <c r="C3" i="104"/>
  <c r="C3" i="101"/>
  <c r="C3" i="98"/>
  <c r="C3" i="94"/>
  <c r="C3" i="91"/>
  <c r="C3" i="88"/>
  <c r="C3" i="85"/>
  <c r="C3" i="83"/>
  <c r="C26" i="98"/>
  <c r="Q59" i="68"/>
  <c r="O59" i="68"/>
  <c r="M59" i="68"/>
  <c r="K59" i="68"/>
  <c r="I59" i="68"/>
  <c r="G59" i="68"/>
  <c r="E59" i="68"/>
  <c r="C59" i="68"/>
  <c r="Q54" i="68"/>
  <c r="O54" i="68"/>
  <c r="M54" i="68"/>
  <c r="K54" i="68"/>
  <c r="I54" i="68"/>
  <c r="G54" i="68"/>
  <c r="E54" i="68"/>
  <c r="C54" i="68"/>
  <c r="Q49" i="68"/>
  <c r="O49" i="68"/>
  <c r="M49" i="68"/>
  <c r="K49" i="68"/>
  <c r="I49" i="68"/>
  <c r="G49" i="68"/>
  <c r="E49" i="68"/>
  <c r="C49" i="68"/>
  <c r="Q44" i="68"/>
  <c r="O44" i="68"/>
  <c r="M44" i="68"/>
  <c r="K44" i="68"/>
  <c r="I44" i="68"/>
  <c r="G44" i="68"/>
  <c r="E44" i="68"/>
  <c r="C44" i="68"/>
  <c r="C55" i="16" l="1"/>
  <c r="C54" i="16"/>
  <c r="C53" i="16"/>
  <c r="C52" i="16"/>
  <c r="C48" i="16"/>
  <c r="C47" i="16"/>
  <c r="C44" i="16"/>
  <c r="C43" i="16"/>
  <c r="C42" i="16"/>
  <c r="C41" i="16"/>
  <c r="C38" i="16"/>
  <c r="C37" i="16"/>
  <c r="C36" i="16"/>
  <c r="C35" i="16"/>
  <c r="C34" i="16"/>
  <c r="C33" i="16"/>
  <c r="C28" i="16"/>
  <c r="C27" i="16"/>
  <c r="C26" i="16"/>
  <c r="C23" i="16"/>
  <c r="C22" i="16"/>
  <c r="C21" i="16"/>
  <c r="C20" i="16"/>
  <c r="C19" i="16"/>
  <c r="C18" i="16"/>
  <c r="C17" i="16"/>
  <c r="C16" i="16"/>
  <c r="C15" i="16"/>
  <c r="C12" i="16"/>
  <c r="C11" i="16"/>
  <c r="C10" i="16"/>
  <c r="C9" i="16"/>
  <c r="C8" i="16"/>
  <c r="C7" i="16"/>
  <c r="K7" i="85"/>
  <c r="Q33" i="25"/>
  <c r="Q32" i="25"/>
  <c r="Q31" i="25"/>
  <c r="Q30" i="25"/>
  <c r="Q29" i="25"/>
  <c r="Q28" i="25"/>
  <c r="Q27" i="25"/>
  <c r="Q33" i="28"/>
  <c r="Q32" i="28"/>
  <c r="Q31" i="28"/>
  <c r="Q30" i="28"/>
  <c r="Q29" i="28"/>
  <c r="Q28" i="28"/>
  <c r="Q27" i="28"/>
  <c r="Q33" i="31"/>
  <c r="Q32" i="31"/>
  <c r="Q31" i="31"/>
  <c r="Q30" i="31"/>
  <c r="Q29" i="31"/>
  <c r="Q28" i="31"/>
  <c r="Q27" i="31"/>
  <c r="Q33" i="34"/>
  <c r="Q32" i="34"/>
  <c r="Q31" i="34"/>
  <c r="Q30" i="34"/>
  <c r="Q29" i="34"/>
  <c r="Q28" i="34"/>
  <c r="Q27" i="34"/>
  <c r="Q33" i="83"/>
  <c r="Q32" i="83"/>
  <c r="Q31" i="83"/>
  <c r="Q30" i="83"/>
  <c r="Q29" i="83"/>
  <c r="Q28" i="83"/>
  <c r="Q27" i="83"/>
  <c r="Q33" i="85"/>
  <c r="Q32" i="85"/>
  <c r="Q31" i="85"/>
  <c r="Q30" i="85"/>
  <c r="Q29" i="85"/>
  <c r="Q28" i="85"/>
  <c r="Q27" i="85"/>
  <c r="Q33" i="88"/>
  <c r="Q32" i="88"/>
  <c r="Q31" i="88"/>
  <c r="Q30" i="88"/>
  <c r="Q29" i="88"/>
  <c r="Q28" i="88"/>
  <c r="Q27" i="88"/>
  <c r="Q33" i="91"/>
  <c r="Q32" i="91"/>
  <c r="Q31" i="91"/>
  <c r="Q30" i="91"/>
  <c r="Q29" i="91"/>
  <c r="Q28" i="91"/>
  <c r="Q27" i="91"/>
  <c r="Q33" i="94"/>
  <c r="Q32" i="94"/>
  <c r="Q31" i="94"/>
  <c r="Q30" i="94"/>
  <c r="Q29" i="94"/>
  <c r="Q28" i="94"/>
  <c r="Q27" i="94"/>
  <c r="Q33" i="98"/>
  <c r="Q32" i="98"/>
  <c r="Q31" i="98"/>
  <c r="Q30" i="98"/>
  <c r="Q29" i="98"/>
  <c r="Q28" i="98"/>
  <c r="Q27" i="98"/>
  <c r="Q33" i="101"/>
  <c r="Q32" i="101"/>
  <c r="Q31" i="101"/>
  <c r="Q30" i="101"/>
  <c r="Q29" i="101"/>
  <c r="Q28" i="101"/>
  <c r="Q27" i="101"/>
  <c r="Q33" i="104"/>
  <c r="Q32" i="104"/>
  <c r="Q31" i="104"/>
  <c r="Q30" i="104"/>
  <c r="Q29" i="104"/>
  <c r="Q28" i="104"/>
  <c r="Q27" i="104"/>
  <c r="Q33" i="107"/>
  <c r="Q32" i="107"/>
  <c r="Q31" i="107"/>
  <c r="Q30" i="107"/>
  <c r="Q29" i="107"/>
  <c r="Q28" i="107"/>
  <c r="Q27" i="107"/>
  <c r="Q33" i="110"/>
  <c r="Q32" i="110"/>
  <c r="Q31" i="110"/>
  <c r="Q30" i="110"/>
  <c r="Q29" i="110"/>
  <c r="Q28" i="110"/>
  <c r="Q27" i="110"/>
  <c r="Q33" i="113"/>
  <c r="Q32" i="113"/>
  <c r="Q31" i="113"/>
  <c r="Q30" i="113"/>
  <c r="Q29" i="113"/>
  <c r="Q28" i="113"/>
  <c r="Q27" i="113"/>
  <c r="Q33" i="116"/>
  <c r="Q32" i="116"/>
  <c r="Q31" i="116"/>
  <c r="Q30" i="116"/>
  <c r="Q29" i="116"/>
  <c r="Q28" i="116"/>
  <c r="Q27" i="116"/>
  <c r="Q33" i="119"/>
  <c r="Q32" i="119"/>
  <c r="Q31" i="119"/>
  <c r="Q30" i="119"/>
  <c r="Q29" i="119"/>
  <c r="Q28" i="119"/>
  <c r="Q27" i="119"/>
  <c r="Q33" i="22"/>
  <c r="Q32" i="22"/>
  <c r="Q31" i="22"/>
  <c r="Q30" i="22"/>
  <c r="Q29" i="22"/>
  <c r="Q28" i="22"/>
  <c r="Q27" i="22"/>
  <c r="O33" i="25"/>
  <c r="O32" i="25"/>
  <c r="O31" i="25"/>
  <c r="O30" i="25"/>
  <c r="O29" i="25"/>
  <c r="O28" i="25"/>
  <c r="O27" i="25"/>
  <c r="O33" i="28"/>
  <c r="O32" i="28"/>
  <c r="O31" i="28"/>
  <c r="O30" i="28"/>
  <c r="O29" i="28"/>
  <c r="O28" i="28"/>
  <c r="O27" i="28"/>
  <c r="O33" i="31"/>
  <c r="O32" i="31"/>
  <c r="O31" i="31"/>
  <c r="O30" i="31"/>
  <c r="O29" i="31"/>
  <c r="O28" i="31"/>
  <c r="O27" i="31"/>
  <c r="O33" i="34"/>
  <c r="O32" i="34"/>
  <c r="O31" i="34"/>
  <c r="O30" i="34"/>
  <c r="O29" i="34"/>
  <c r="O28" i="34"/>
  <c r="O27" i="34"/>
  <c r="O33" i="83"/>
  <c r="O32" i="83"/>
  <c r="O31" i="83"/>
  <c r="O30" i="83"/>
  <c r="O29" i="83"/>
  <c r="O28" i="83"/>
  <c r="O27" i="83"/>
  <c r="O33" i="85"/>
  <c r="O32" i="85"/>
  <c r="O31" i="85"/>
  <c r="O30" i="85"/>
  <c r="O29" i="85"/>
  <c r="O28" i="85"/>
  <c r="O27" i="85"/>
  <c r="O33" i="88"/>
  <c r="O32" i="88"/>
  <c r="O31" i="88"/>
  <c r="O30" i="88"/>
  <c r="O29" i="88"/>
  <c r="O28" i="88"/>
  <c r="O27" i="88"/>
  <c r="O33" i="91"/>
  <c r="O32" i="91"/>
  <c r="O31" i="91"/>
  <c r="O30" i="91"/>
  <c r="O29" i="91"/>
  <c r="O28" i="91"/>
  <c r="O27" i="91"/>
  <c r="O33" i="94"/>
  <c r="O32" i="94"/>
  <c r="O31" i="94"/>
  <c r="O30" i="94"/>
  <c r="O29" i="94"/>
  <c r="O28" i="94"/>
  <c r="O27" i="94"/>
  <c r="O33" i="98"/>
  <c r="O32" i="98"/>
  <c r="O31" i="98"/>
  <c r="O30" i="98"/>
  <c r="O29" i="98"/>
  <c r="O28" i="98"/>
  <c r="O27" i="98"/>
  <c r="O33" i="101"/>
  <c r="O32" i="101"/>
  <c r="O31" i="101"/>
  <c r="O30" i="101"/>
  <c r="O29" i="101"/>
  <c r="O28" i="101"/>
  <c r="O27" i="101"/>
  <c r="O33" i="104"/>
  <c r="O32" i="104"/>
  <c r="O31" i="104"/>
  <c r="O30" i="104"/>
  <c r="O29" i="104"/>
  <c r="O28" i="104"/>
  <c r="O27" i="104"/>
  <c r="O33" i="107"/>
  <c r="O32" i="107"/>
  <c r="O31" i="107"/>
  <c r="O30" i="107"/>
  <c r="O29" i="107"/>
  <c r="O28" i="107"/>
  <c r="O27" i="107"/>
  <c r="O33" i="110"/>
  <c r="O32" i="110"/>
  <c r="O31" i="110"/>
  <c r="O30" i="110"/>
  <c r="O29" i="110"/>
  <c r="O28" i="110"/>
  <c r="O27" i="110"/>
  <c r="O33" i="113"/>
  <c r="O32" i="113"/>
  <c r="O31" i="113"/>
  <c r="O30" i="113"/>
  <c r="O29" i="113"/>
  <c r="O28" i="113"/>
  <c r="O27" i="113"/>
  <c r="O33" i="116"/>
  <c r="O32" i="116"/>
  <c r="O31" i="116"/>
  <c r="O30" i="116"/>
  <c r="O29" i="116"/>
  <c r="O28" i="116"/>
  <c r="O27" i="116"/>
  <c r="O33" i="119"/>
  <c r="O32" i="119"/>
  <c r="O31" i="119"/>
  <c r="O30" i="119"/>
  <c r="O29" i="119"/>
  <c r="O28" i="119"/>
  <c r="O27" i="119"/>
  <c r="O33" i="22"/>
  <c r="O32" i="22"/>
  <c r="O31" i="22"/>
  <c r="O30" i="22"/>
  <c r="O29" i="22"/>
  <c r="O28" i="22"/>
  <c r="O27" i="22"/>
  <c r="M33" i="25"/>
  <c r="M32" i="25"/>
  <c r="M31" i="25"/>
  <c r="M30" i="25"/>
  <c r="M29" i="25"/>
  <c r="M28" i="25"/>
  <c r="M27" i="25"/>
  <c r="M33" i="28"/>
  <c r="M32" i="28"/>
  <c r="M31" i="28"/>
  <c r="M30" i="28"/>
  <c r="M29" i="28"/>
  <c r="M28" i="28"/>
  <c r="M27" i="28"/>
  <c r="M33" i="31"/>
  <c r="M32" i="31"/>
  <c r="M31" i="31"/>
  <c r="M30" i="31"/>
  <c r="M29" i="31"/>
  <c r="M28" i="31"/>
  <c r="M27" i="31"/>
  <c r="M33" i="34"/>
  <c r="M32" i="34"/>
  <c r="M31" i="34"/>
  <c r="M30" i="34"/>
  <c r="M29" i="34"/>
  <c r="M28" i="34"/>
  <c r="M27" i="34"/>
  <c r="M33" i="83"/>
  <c r="M32" i="83"/>
  <c r="M31" i="83"/>
  <c r="M30" i="83"/>
  <c r="M29" i="83"/>
  <c r="M28" i="83"/>
  <c r="M27" i="83"/>
  <c r="M33" i="85"/>
  <c r="M32" i="85"/>
  <c r="M31" i="85"/>
  <c r="M30" i="85"/>
  <c r="M29" i="85"/>
  <c r="M28" i="85"/>
  <c r="M27" i="85"/>
  <c r="M33" i="88"/>
  <c r="M32" i="88"/>
  <c r="M31" i="88"/>
  <c r="M30" i="88"/>
  <c r="M29" i="88"/>
  <c r="M28" i="88"/>
  <c r="M27" i="88"/>
  <c r="M33" i="91"/>
  <c r="M32" i="91"/>
  <c r="M31" i="91"/>
  <c r="M30" i="91"/>
  <c r="M29" i="91"/>
  <c r="M28" i="91"/>
  <c r="M27" i="91"/>
  <c r="M33" i="94"/>
  <c r="M32" i="94"/>
  <c r="M31" i="94"/>
  <c r="M30" i="94"/>
  <c r="M29" i="94"/>
  <c r="M28" i="94"/>
  <c r="M27" i="94"/>
  <c r="M33" i="98"/>
  <c r="M32" i="98"/>
  <c r="M31" i="98"/>
  <c r="M30" i="98"/>
  <c r="M29" i="98"/>
  <c r="M28" i="98"/>
  <c r="M27" i="98"/>
  <c r="M33" i="101"/>
  <c r="M32" i="101"/>
  <c r="M31" i="101"/>
  <c r="M30" i="101"/>
  <c r="M29" i="101"/>
  <c r="M28" i="101"/>
  <c r="M27" i="101"/>
  <c r="M33" i="104"/>
  <c r="M32" i="104"/>
  <c r="M31" i="104"/>
  <c r="M30" i="104"/>
  <c r="M29" i="104"/>
  <c r="M28" i="104"/>
  <c r="M27" i="104"/>
  <c r="M33" i="107"/>
  <c r="M32" i="107"/>
  <c r="M31" i="107"/>
  <c r="M30" i="107"/>
  <c r="M29" i="107"/>
  <c r="M28" i="107"/>
  <c r="M27" i="107"/>
  <c r="M33" i="110"/>
  <c r="M32" i="110"/>
  <c r="M31" i="110"/>
  <c r="M30" i="110"/>
  <c r="M29" i="110"/>
  <c r="M28" i="110"/>
  <c r="M27" i="110"/>
  <c r="M33" i="113"/>
  <c r="M32" i="113"/>
  <c r="M31" i="113"/>
  <c r="M30" i="113"/>
  <c r="M29" i="113"/>
  <c r="M28" i="113"/>
  <c r="M27" i="113"/>
  <c r="M33" i="116"/>
  <c r="M32" i="116"/>
  <c r="M31" i="116"/>
  <c r="M30" i="116"/>
  <c r="M29" i="116"/>
  <c r="M28" i="116"/>
  <c r="M27" i="116"/>
  <c r="M33" i="119"/>
  <c r="M32" i="119"/>
  <c r="M31" i="119"/>
  <c r="M30" i="119"/>
  <c r="M29" i="119"/>
  <c r="M28" i="119"/>
  <c r="M27" i="119"/>
  <c r="M33" i="22"/>
  <c r="M32" i="22"/>
  <c r="M31" i="22"/>
  <c r="M30" i="22"/>
  <c r="M29" i="22"/>
  <c r="M28" i="22"/>
  <c r="M27" i="22"/>
  <c r="Q25" i="25"/>
  <c r="Q24" i="25"/>
  <c r="Q23" i="25"/>
  <c r="Q22" i="25"/>
  <c r="Q21" i="25"/>
  <c r="Q20" i="25"/>
  <c r="Q19" i="25"/>
  <c r="Q18" i="25"/>
  <c r="Q25" i="28"/>
  <c r="Q24" i="28"/>
  <c r="Q23" i="28"/>
  <c r="Q22" i="28"/>
  <c r="Q21" i="28"/>
  <c r="Q20" i="28"/>
  <c r="Q19" i="28"/>
  <c r="Q18" i="28"/>
  <c r="Q25" i="31"/>
  <c r="Q24" i="31"/>
  <c r="Q23" i="31"/>
  <c r="Q22" i="31"/>
  <c r="Q21" i="31"/>
  <c r="Q20" i="31"/>
  <c r="Q19" i="31"/>
  <c r="Q18" i="31"/>
  <c r="Q25" i="34"/>
  <c r="Q24" i="34"/>
  <c r="Q23" i="34"/>
  <c r="Q22" i="34"/>
  <c r="Q21" i="34"/>
  <c r="Q20" i="34"/>
  <c r="Q19" i="34"/>
  <c r="Q18" i="34"/>
  <c r="Q25" i="83"/>
  <c r="Q24" i="83"/>
  <c r="Q23" i="83"/>
  <c r="Q22" i="83"/>
  <c r="Q21" i="83"/>
  <c r="Q20" i="83"/>
  <c r="Q19" i="83"/>
  <c r="Q18" i="83"/>
  <c r="Q25" i="85"/>
  <c r="Q24" i="85"/>
  <c r="Q23" i="85"/>
  <c r="Q22" i="85"/>
  <c r="Q21" i="85"/>
  <c r="Q20" i="85"/>
  <c r="Q19" i="85"/>
  <c r="Q18" i="85"/>
  <c r="Q25" i="88"/>
  <c r="Q24" i="88"/>
  <c r="Q23" i="88"/>
  <c r="Q22" i="88"/>
  <c r="Q21" i="88"/>
  <c r="Q20" i="88"/>
  <c r="Q19" i="88"/>
  <c r="Q18" i="88"/>
  <c r="Q25" i="91"/>
  <c r="Q24" i="91"/>
  <c r="Q23" i="91"/>
  <c r="Q22" i="91"/>
  <c r="Q21" i="91"/>
  <c r="Q20" i="91"/>
  <c r="Q19" i="91"/>
  <c r="Q18" i="91"/>
  <c r="Q25" i="94"/>
  <c r="Q24" i="94"/>
  <c r="Q23" i="94"/>
  <c r="Q22" i="94"/>
  <c r="Q21" i="94"/>
  <c r="Q20" i="94"/>
  <c r="Q19" i="94"/>
  <c r="Q18" i="94"/>
  <c r="Q25" i="98"/>
  <c r="Q24" i="98"/>
  <c r="Q23" i="98"/>
  <c r="Q22" i="98"/>
  <c r="Q21" i="98"/>
  <c r="Q20" i="98"/>
  <c r="Q19" i="98"/>
  <c r="Q18" i="98"/>
  <c r="Q25" i="101"/>
  <c r="Q24" i="101"/>
  <c r="Q23" i="101"/>
  <c r="Q22" i="101"/>
  <c r="Q21" i="101"/>
  <c r="Q20" i="101"/>
  <c r="Q19" i="101"/>
  <c r="Q18" i="101"/>
  <c r="Q25" i="104"/>
  <c r="Q24" i="104"/>
  <c r="Q23" i="104"/>
  <c r="Q22" i="104"/>
  <c r="Q21" i="104"/>
  <c r="Q20" i="104"/>
  <c r="Q19" i="104"/>
  <c r="Q18" i="104"/>
  <c r="Q25" i="107"/>
  <c r="Q24" i="107"/>
  <c r="Q23" i="107"/>
  <c r="Q22" i="107"/>
  <c r="Q21" i="107"/>
  <c r="Q20" i="107"/>
  <c r="Q19" i="107"/>
  <c r="Q18" i="107"/>
  <c r="Q25" i="110"/>
  <c r="Q24" i="110"/>
  <c r="Q23" i="110"/>
  <c r="Q22" i="110"/>
  <c r="Q21" i="110"/>
  <c r="Q20" i="110"/>
  <c r="Q19" i="110"/>
  <c r="Q18" i="110"/>
  <c r="Q25" i="113"/>
  <c r="Q24" i="113"/>
  <c r="Q23" i="113"/>
  <c r="Q22" i="113"/>
  <c r="Q21" i="113"/>
  <c r="Q20" i="113"/>
  <c r="Q19" i="113"/>
  <c r="Q18" i="113"/>
  <c r="Q25" i="116"/>
  <c r="Q24" i="116"/>
  <c r="Q23" i="116"/>
  <c r="Q22" i="116"/>
  <c r="Q21" i="116"/>
  <c r="Q20" i="116"/>
  <c r="Q19" i="116"/>
  <c r="Q18" i="116"/>
  <c r="Q25" i="119"/>
  <c r="Q24" i="119"/>
  <c r="Q23" i="119"/>
  <c r="Q22" i="119"/>
  <c r="Q21" i="119"/>
  <c r="Q20" i="119"/>
  <c r="Q19" i="119"/>
  <c r="Q18" i="119"/>
  <c r="Q25" i="22"/>
  <c r="Q24" i="22"/>
  <c r="Q23" i="22"/>
  <c r="Q22" i="22"/>
  <c r="Q21" i="22"/>
  <c r="Q20" i="22"/>
  <c r="Q19" i="22"/>
  <c r="Q18" i="22"/>
  <c r="O25" i="25"/>
  <c r="O24" i="25"/>
  <c r="O23" i="25"/>
  <c r="O22" i="25"/>
  <c r="O21" i="25"/>
  <c r="O20" i="25"/>
  <c r="O19" i="25"/>
  <c r="O18" i="25"/>
  <c r="O25" i="28"/>
  <c r="O24" i="28"/>
  <c r="O23" i="28"/>
  <c r="O22" i="28"/>
  <c r="O21" i="28"/>
  <c r="O20" i="28"/>
  <c r="O19" i="28"/>
  <c r="O18" i="28"/>
  <c r="O25" i="31"/>
  <c r="O24" i="31"/>
  <c r="O23" i="31"/>
  <c r="O22" i="31"/>
  <c r="O21" i="31"/>
  <c r="O20" i="31"/>
  <c r="O19" i="31"/>
  <c r="O18" i="31"/>
  <c r="O25" i="34"/>
  <c r="O24" i="34"/>
  <c r="O23" i="34"/>
  <c r="O22" i="34"/>
  <c r="O21" i="34"/>
  <c r="O20" i="34"/>
  <c r="O19" i="34"/>
  <c r="O18" i="34"/>
  <c r="O25" i="83"/>
  <c r="O24" i="83"/>
  <c r="O23" i="83"/>
  <c r="O22" i="83"/>
  <c r="O21" i="83"/>
  <c r="O20" i="83"/>
  <c r="O19" i="83"/>
  <c r="O18" i="83"/>
  <c r="O25" i="85"/>
  <c r="O24" i="85"/>
  <c r="O23" i="85"/>
  <c r="O22" i="85"/>
  <c r="O21" i="85"/>
  <c r="O20" i="85"/>
  <c r="O19" i="85"/>
  <c r="O18" i="85"/>
  <c r="O25" i="88"/>
  <c r="O24" i="88"/>
  <c r="O23" i="88"/>
  <c r="O22" i="88"/>
  <c r="O21" i="88"/>
  <c r="O20" i="88"/>
  <c r="O19" i="88"/>
  <c r="O18" i="88"/>
  <c r="O25" i="91"/>
  <c r="O24" i="91"/>
  <c r="O23" i="91"/>
  <c r="O22" i="91"/>
  <c r="O21" i="91"/>
  <c r="O20" i="91"/>
  <c r="O19" i="91"/>
  <c r="O18" i="91"/>
  <c r="O25" i="94"/>
  <c r="O24" i="94"/>
  <c r="O23" i="94"/>
  <c r="O22" i="94"/>
  <c r="O21" i="94"/>
  <c r="O20" i="94"/>
  <c r="O19" i="94"/>
  <c r="O18" i="94"/>
  <c r="O25" i="98"/>
  <c r="O24" i="98"/>
  <c r="O23" i="98"/>
  <c r="O22" i="98"/>
  <c r="O21" i="98"/>
  <c r="O20" i="98"/>
  <c r="O19" i="98"/>
  <c r="O18" i="98"/>
  <c r="O25" i="101"/>
  <c r="O24" i="101"/>
  <c r="O23" i="101"/>
  <c r="O22" i="101"/>
  <c r="O21" i="101"/>
  <c r="O20" i="101"/>
  <c r="O19" i="101"/>
  <c r="O18" i="101"/>
  <c r="O25" i="104"/>
  <c r="O24" i="104"/>
  <c r="O23" i="104"/>
  <c r="O22" i="104"/>
  <c r="O21" i="104"/>
  <c r="O20" i="104"/>
  <c r="O19" i="104"/>
  <c r="O18" i="104"/>
  <c r="O25" i="107"/>
  <c r="O24" i="107"/>
  <c r="O23" i="107"/>
  <c r="O22" i="107"/>
  <c r="O21" i="107"/>
  <c r="O20" i="107"/>
  <c r="O19" i="107"/>
  <c r="O18" i="107"/>
  <c r="O25" i="110"/>
  <c r="O24" i="110"/>
  <c r="O23" i="110"/>
  <c r="O22" i="110"/>
  <c r="O21" i="110"/>
  <c r="O20" i="110"/>
  <c r="O19" i="110"/>
  <c r="O18" i="110"/>
  <c r="O25" i="113"/>
  <c r="O24" i="113"/>
  <c r="O23" i="113"/>
  <c r="O22" i="113"/>
  <c r="O21" i="113"/>
  <c r="O20" i="113"/>
  <c r="O19" i="113"/>
  <c r="O18" i="113"/>
  <c r="O25" i="116"/>
  <c r="O24" i="116"/>
  <c r="O23" i="116"/>
  <c r="O22" i="116"/>
  <c r="O21" i="116"/>
  <c r="O20" i="116"/>
  <c r="O19" i="116"/>
  <c r="O18" i="116"/>
  <c r="O25" i="119"/>
  <c r="O24" i="119"/>
  <c r="O23" i="119"/>
  <c r="O22" i="119"/>
  <c r="O21" i="119"/>
  <c r="O20" i="119"/>
  <c r="O19" i="119"/>
  <c r="O18" i="119"/>
  <c r="O25" i="22"/>
  <c r="O24" i="22"/>
  <c r="O23" i="22"/>
  <c r="O22" i="22"/>
  <c r="O21" i="22"/>
  <c r="O20" i="22"/>
  <c r="O19" i="22"/>
  <c r="O18" i="22"/>
  <c r="M25" i="25"/>
  <c r="M24" i="25"/>
  <c r="M23" i="25"/>
  <c r="M22" i="25"/>
  <c r="M21" i="25"/>
  <c r="M20" i="25"/>
  <c r="M19" i="25"/>
  <c r="M18" i="25"/>
  <c r="M25" i="28"/>
  <c r="M24" i="28"/>
  <c r="M23" i="28"/>
  <c r="M22" i="28"/>
  <c r="M21" i="28"/>
  <c r="M20" i="28"/>
  <c r="M19" i="28"/>
  <c r="M18" i="28"/>
  <c r="M25" i="31"/>
  <c r="M24" i="31"/>
  <c r="M23" i="31"/>
  <c r="M22" i="31"/>
  <c r="M21" i="31"/>
  <c r="M20" i="31"/>
  <c r="M19" i="31"/>
  <c r="M18" i="31"/>
  <c r="M25" i="34"/>
  <c r="M24" i="34"/>
  <c r="M23" i="34"/>
  <c r="M22" i="34"/>
  <c r="M21" i="34"/>
  <c r="M20" i="34"/>
  <c r="M19" i="34"/>
  <c r="M18" i="34"/>
  <c r="M25" i="83"/>
  <c r="M24" i="83"/>
  <c r="M23" i="83"/>
  <c r="M22" i="83"/>
  <c r="M21" i="83"/>
  <c r="M20" i="83"/>
  <c r="M19" i="83"/>
  <c r="M18" i="83"/>
  <c r="M25" i="85"/>
  <c r="M24" i="85"/>
  <c r="M23" i="85"/>
  <c r="M22" i="85"/>
  <c r="M21" i="85"/>
  <c r="M20" i="85"/>
  <c r="M19" i="85"/>
  <c r="M18" i="85"/>
  <c r="M25" i="88"/>
  <c r="M24" i="88"/>
  <c r="M23" i="88"/>
  <c r="M22" i="88"/>
  <c r="M21" i="88"/>
  <c r="M20" i="88"/>
  <c r="M19" i="88"/>
  <c r="M18" i="88"/>
  <c r="M25" i="91"/>
  <c r="M24" i="91"/>
  <c r="M23" i="91"/>
  <c r="M22" i="91"/>
  <c r="M21" i="91"/>
  <c r="M20" i="91"/>
  <c r="M19" i="91"/>
  <c r="M18" i="91"/>
  <c r="M25" i="94"/>
  <c r="M24" i="94"/>
  <c r="M23" i="94"/>
  <c r="M22" i="94"/>
  <c r="M21" i="94"/>
  <c r="M20" i="94"/>
  <c r="M19" i="94"/>
  <c r="M18" i="94"/>
  <c r="M25" i="98"/>
  <c r="M24" i="98"/>
  <c r="M23" i="98"/>
  <c r="M22" i="98"/>
  <c r="M21" i="98"/>
  <c r="M20" i="98"/>
  <c r="M19" i="98"/>
  <c r="M18" i="98"/>
  <c r="M25" i="101"/>
  <c r="M24" i="101"/>
  <c r="M23" i="101"/>
  <c r="M22" i="101"/>
  <c r="M21" i="101"/>
  <c r="M20" i="101"/>
  <c r="M19" i="101"/>
  <c r="M18" i="101"/>
  <c r="M25" i="104"/>
  <c r="M24" i="104"/>
  <c r="M23" i="104"/>
  <c r="M22" i="104"/>
  <c r="M21" i="104"/>
  <c r="M20" i="104"/>
  <c r="M19" i="104"/>
  <c r="M18" i="104"/>
  <c r="M25" i="107"/>
  <c r="M24" i="107"/>
  <c r="M23" i="107"/>
  <c r="M22" i="107"/>
  <c r="M21" i="107"/>
  <c r="M20" i="107"/>
  <c r="M19" i="107"/>
  <c r="M18" i="107"/>
  <c r="M25" i="110"/>
  <c r="M24" i="110"/>
  <c r="M23" i="110"/>
  <c r="M22" i="110"/>
  <c r="M21" i="110"/>
  <c r="M20" i="110"/>
  <c r="M19" i="110"/>
  <c r="M18" i="110"/>
  <c r="M25" i="113"/>
  <c r="M24" i="113"/>
  <c r="M23" i="113"/>
  <c r="M22" i="113"/>
  <c r="M21" i="113"/>
  <c r="M20" i="113"/>
  <c r="M19" i="113"/>
  <c r="M18" i="113"/>
  <c r="M25" i="116"/>
  <c r="M24" i="116"/>
  <c r="M23" i="116"/>
  <c r="M22" i="116"/>
  <c r="M21" i="116"/>
  <c r="M20" i="116"/>
  <c r="M19" i="116"/>
  <c r="M18" i="116"/>
  <c r="M25" i="119"/>
  <c r="M24" i="119"/>
  <c r="M23" i="119"/>
  <c r="M22" i="119"/>
  <c r="M21" i="119"/>
  <c r="M20" i="119"/>
  <c r="M19" i="119"/>
  <c r="M18" i="119"/>
  <c r="M25" i="22"/>
  <c r="M24" i="22"/>
  <c r="M23" i="22"/>
  <c r="M22" i="22"/>
  <c r="M21" i="22"/>
  <c r="M20" i="22"/>
  <c r="M19" i="22"/>
  <c r="M18" i="22"/>
  <c r="Q16" i="25"/>
  <c r="Q15" i="25"/>
  <c r="Q14" i="25"/>
  <c r="Q13" i="25"/>
  <c r="Q12" i="25"/>
  <c r="Q11" i="25"/>
  <c r="Q10" i="25"/>
  <c r="Q9" i="25"/>
  <c r="Q8" i="25"/>
  <c r="Q7" i="25"/>
  <c r="Q16" i="28"/>
  <c r="Q15" i="28"/>
  <c r="Q14" i="28"/>
  <c r="Q13" i="28"/>
  <c r="Q12" i="28"/>
  <c r="Q11" i="28"/>
  <c r="Q10" i="28"/>
  <c r="Q9" i="28"/>
  <c r="Q8" i="28"/>
  <c r="Q7" i="28"/>
  <c r="Q16" i="31"/>
  <c r="Q15" i="31"/>
  <c r="Q14" i="31"/>
  <c r="Q13" i="31"/>
  <c r="Q12" i="31"/>
  <c r="Q11" i="31"/>
  <c r="Q10" i="31"/>
  <c r="Q9" i="31"/>
  <c r="Q8" i="31"/>
  <c r="Q7" i="31"/>
  <c r="Q16" i="34"/>
  <c r="Q15" i="34"/>
  <c r="Q14" i="34"/>
  <c r="Q13" i="34"/>
  <c r="Q12" i="34"/>
  <c r="Q11" i="34"/>
  <c r="Q10" i="34"/>
  <c r="Q9" i="34"/>
  <c r="Q8" i="34"/>
  <c r="Q7" i="34"/>
  <c r="Q16" i="83"/>
  <c r="Q15" i="83"/>
  <c r="Q14" i="83"/>
  <c r="Q13" i="83"/>
  <c r="Q12" i="83"/>
  <c r="Q11" i="83"/>
  <c r="Q10" i="83"/>
  <c r="Q9" i="83"/>
  <c r="Q8" i="83"/>
  <c r="Q7" i="83"/>
  <c r="Q16" i="85"/>
  <c r="Q15" i="85"/>
  <c r="Q14" i="85"/>
  <c r="Q13" i="85"/>
  <c r="Q12" i="85"/>
  <c r="Q11" i="85"/>
  <c r="Q10" i="85"/>
  <c r="Q9" i="85"/>
  <c r="Q8" i="85"/>
  <c r="Q7" i="85"/>
  <c r="Q16" i="88"/>
  <c r="Q15" i="88"/>
  <c r="Q14" i="88"/>
  <c r="Q13" i="88"/>
  <c r="Q12" i="88"/>
  <c r="Q11" i="88"/>
  <c r="Q10" i="88"/>
  <c r="Q9" i="88"/>
  <c r="Q8" i="88"/>
  <c r="Q7" i="88"/>
  <c r="Q16" i="91"/>
  <c r="Q15" i="91"/>
  <c r="Q14" i="91"/>
  <c r="Q13" i="91"/>
  <c r="Q12" i="91"/>
  <c r="Q11" i="91"/>
  <c r="Q10" i="91"/>
  <c r="Q9" i="91"/>
  <c r="Q8" i="91"/>
  <c r="Q7" i="91"/>
  <c r="Q16" i="94"/>
  <c r="Q15" i="94"/>
  <c r="Q14" i="94"/>
  <c r="Q13" i="94"/>
  <c r="Q12" i="94"/>
  <c r="Q11" i="94"/>
  <c r="Q10" i="94"/>
  <c r="Q9" i="94"/>
  <c r="Q8" i="94"/>
  <c r="Q7" i="94"/>
  <c r="Q16" i="98"/>
  <c r="Q15" i="98"/>
  <c r="Q14" i="98"/>
  <c r="Q13" i="98"/>
  <c r="Q12" i="98"/>
  <c r="Q11" i="98"/>
  <c r="Q10" i="98"/>
  <c r="Q9" i="98"/>
  <c r="Q8" i="98"/>
  <c r="Q7" i="98"/>
  <c r="Q16" i="101"/>
  <c r="Q15" i="101"/>
  <c r="Q14" i="101"/>
  <c r="Q13" i="101"/>
  <c r="Q12" i="101"/>
  <c r="Q11" i="101"/>
  <c r="Q10" i="101"/>
  <c r="Q9" i="101"/>
  <c r="Q8" i="101"/>
  <c r="Q7" i="101"/>
  <c r="Q16" i="104"/>
  <c r="Q15" i="104"/>
  <c r="Q14" i="104"/>
  <c r="Q13" i="104"/>
  <c r="Q12" i="104"/>
  <c r="Q11" i="104"/>
  <c r="Q10" i="104"/>
  <c r="Q9" i="104"/>
  <c r="Q8" i="104"/>
  <c r="Q7" i="104"/>
  <c r="Q16" i="107"/>
  <c r="Q15" i="107"/>
  <c r="Q14" i="107"/>
  <c r="Q13" i="107"/>
  <c r="Q12" i="107"/>
  <c r="Q11" i="107"/>
  <c r="Q10" i="107"/>
  <c r="Q9" i="107"/>
  <c r="Q8" i="107"/>
  <c r="Q7" i="107"/>
  <c r="Q16" i="110"/>
  <c r="Q15" i="110"/>
  <c r="Q14" i="110"/>
  <c r="Q13" i="110"/>
  <c r="Q12" i="110"/>
  <c r="Q11" i="110"/>
  <c r="Q10" i="110"/>
  <c r="Q9" i="110"/>
  <c r="Q8" i="110"/>
  <c r="Q7" i="110"/>
  <c r="Q16" i="113"/>
  <c r="Q15" i="113"/>
  <c r="Q14" i="113"/>
  <c r="Q13" i="113"/>
  <c r="Q12" i="113"/>
  <c r="Q11" i="113"/>
  <c r="Q10" i="113"/>
  <c r="Q9" i="113"/>
  <c r="Q8" i="113"/>
  <c r="Q7" i="113"/>
  <c r="Q16" i="116"/>
  <c r="Q15" i="116"/>
  <c r="Q14" i="116"/>
  <c r="Q13" i="116"/>
  <c r="Q12" i="116"/>
  <c r="Q11" i="116"/>
  <c r="Q10" i="116"/>
  <c r="Q9" i="116"/>
  <c r="Q8" i="116"/>
  <c r="Q7" i="116"/>
  <c r="Q16" i="119"/>
  <c r="Q15" i="119"/>
  <c r="Q14" i="119"/>
  <c r="Q13" i="119"/>
  <c r="Q12" i="119"/>
  <c r="Q11" i="119"/>
  <c r="Q10" i="119"/>
  <c r="Q9" i="119"/>
  <c r="Q8" i="119"/>
  <c r="Q7" i="119"/>
  <c r="Q16" i="22"/>
  <c r="Q15" i="22"/>
  <c r="Q14" i="22"/>
  <c r="Q13" i="22"/>
  <c r="Q12" i="22"/>
  <c r="Q11" i="22"/>
  <c r="Q10" i="22"/>
  <c r="Q9" i="22"/>
  <c r="Q8" i="22"/>
  <c r="Q7" i="22"/>
  <c r="O16" i="25"/>
  <c r="O15" i="25"/>
  <c r="O14" i="25"/>
  <c r="O13" i="25"/>
  <c r="O12" i="25"/>
  <c r="O11" i="25"/>
  <c r="O10" i="25"/>
  <c r="O9" i="25"/>
  <c r="O8" i="25"/>
  <c r="O7" i="25"/>
  <c r="O16" i="28"/>
  <c r="O15" i="28"/>
  <c r="O14" i="28"/>
  <c r="O13" i="28"/>
  <c r="O12" i="28"/>
  <c r="O11" i="28"/>
  <c r="O10" i="28"/>
  <c r="O9" i="28"/>
  <c r="O8" i="28"/>
  <c r="O7" i="28"/>
  <c r="O16" i="31"/>
  <c r="O15" i="31"/>
  <c r="O14" i="31"/>
  <c r="O13" i="31"/>
  <c r="O12" i="31"/>
  <c r="O11" i="31"/>
  <c r="O10" i="31"/>
  <c r="O9" i="31"/>
  <c r="O8" i="31"/>
  <c r="O7" i="31"/>
  <c r="O16" i="34"/>
  <c r="O15" i="34"/>
  <c r="O14" i="34"/>
  <c r="O13" i="34"/>
  <c r="O12" i="34"/>
  <c r="O11" i="34"/>
  <c r="O10" i="34"/>
  <c r="O9" i="34"/>
  <c r="O8" i="34"/>
  <c r="O7" i="34"/>
  <c r="O16" i="83"/>
  <c r="O15" i="83"/>
  <c r="O14" i="83"/>
  <c r="O13" i="83"/>
  <c r="O12" i="83"/>
  <c r="O11" i="83"/>
  <c r="O10" i="83"/>
  <c r="O9" i="83"/>
  <c r="O8" i="83"/>
  <c r="O7" i="83"/>
  <c r="O16" i="85"/>
  <c r="O15" i="85"/>
  <c r="O14" i="85"/>
  <c r="O13" i="85"/>
  <c r="O12" i="85"/>
  <c r="O11" i="85"/>
  <c r="O10" i="85"/>
  <c r="O9" i="85"/>
  <c r="O8" i="85"/>
  <c r="O7" i="85"/>
  <c r="O16" i="88"/>
  <c r="O15" i="88"/>
  <c r="O14" i="88"/>
  <c r="O13" i="88"/>
  <c r="O12" i="88"/>
  <c r="O11" i="88"/>
  <c r="O10" i="88"/>
  <c r="O9" i="88"/>
  <c r="O8" i="88"/>
  <c r="O7" i="88"/>
  <c r="O16" i="91"/>
  <c r="O15" i="91"/>
  <c r="O14" i="91"/>
  <c r="O13" i="91"/>
  <c r="O12" i="91"/>
  <c r="O11" i="91"/>
  <c r="O10" i="91"/>
  <c r="O9" i="91"/>
  <c r="O8" i="91"/>
  <c r="O7" i="91"/>
  <c r="O16" i="94"/>
  <c r="O15" i="94"/>
  <c r="O14" i="94"/>
  <c r="O13" i="94"/>
  <c r="O12" i="94"/>
  <c r="O11" i="94"/>
  <c r="O10" i="94"/>
  <c r="O9" i="94"/>
  <c r="O8" i="94"/>
  <c r="O7" i="94"/>
  <c r="O16" i="98"/>
  <c r="O15" i="98"/>
  <c r="O14" i="98"/>
  <c r="O13" i="98"/>
  <c r="O12" i="98"/>
  <c r="O11" i="98"/>
  <c r="O10" i="98"/>
  <c r="O9" i="98"/>
  <c r="O8" i="98"/>
  <c r="O7" i="98"/>
  <c r="O16" i="101"/>
  <c r="O15" i="101"/>
  <c r="O14" i="101"/>
  <c r="O13" i="101"/>
  <c r="O12" i="101"/>
  <c r="O11" i="101"/>
  <c r="O10" i="101"/>
  <c r="O9" i="101"/>
  <c r="O8" i="101"/>
  <c r="O7" i="101"/>
  <c r="O16" i="104"/>
  <c r="O15" i="104"/>
  <c r="O14" i="104"/>
  <c r="O13" i="104"/>
  <c r="O12" i="104"/>
  <c r="O11" i="104"/>
  <c r="O10" i="104"/>
  <c r="O9" i="104"/>
  <c r="O8" i="104"/>
  <c r="O7" i="104"/>
  <c r="O16" i="107"/>
  <c r="O15" i="107"/>
  <c r="O14" i="107"/>
  <c r="O13" i="107"/>
  <c r="O12" i="107"/>
  <c r="O11" i="107"/>
  <c r="O10" i="107"/>
  <c r="O9" i="107"/>
  <c r="O8" i="107"/>
  <c r="O7" i="107"/>
  <c r="O16" i="110"/>
  <c r="O15" i="110"/>
  <c r="O14" i="110"/>
  <c r="O13" i="110"/>
  <c r="O12" i="110"/>
  <c r="O11" i="110"/>
  <c r="O10" i="110"/>
  <c r="O9" i="110"/>
  <c r="O8" i="110"/>
  <c r="O7" i="110"/>
  <c r="O16" i="113"/>
  <c r="O15" i="113"/>
  <c r="O14" i="113"/>
  <c r="O13" i="113"/>
  <c r="O12" i="113"/>
  <c r="O11" i="113"/>
  <c r="O10" i="113"/>
  <c r="O9" i="113"/>
  <c r="O8" i="113"/>
  <c r="O7" i="113"/>
  <c r="O16" i="116"/>
  <c r="O15" i="116"/>
  <c r="O14" i="116"/>
  <c r="O13" i="116"/>
  <c r="O12" i="116"/>
  <c r="O11" i="116"/>
  <c r="O10" i="116"/>
  <c r="O9" i="116"/>
  <c r="O8" i="116"/>
  <c r="O7" i="116"/>
  <c r="O16" i="119"/>
  <c r="O15" i="119"/>
  <c r="O14" i="119"/>
  <c r="O13" i="119"/>
  <c r="O12" i="119"/>
  <c r="O11" i="119"/>
  <c r="O10" i="119"/>
  <c r="O9" i="119"/>
  <c r="O8" i="119"/>
  <c r="O7" i="119"/>
  <c r="O16" i="22"/>
  <c r="O15" i="22"/>
  <c r="O14" i="22"/>
  <c r="O13" i="22"/>
  <c r="O12" i="22"/>
  <c r="O11" i="22"/>
  <c r="O10" i="22"/>
  <c r="O9" i="22"/>
  <c r="O8" i="22"/>
  <c r="O7" i="22"/>
  <c r="K33" i="25"/>
  <c r="K32" i="25"/>
  <c r="K31" i="25"/>
  <c r="K30" i="25"/>
  <c r="K29" i="25"/>
  <c r="K28" i="25"/>
  <c r="K27" i="25"/>
  <c r="K33" i="28"/>
  <c r="K32" i="28"/>
  <c r="K31" i="28"/>
  <c r="K30" i="28"/>
  <c r="K29" i="28"/>
  <c r="K28" i="28"/>
  <c r="K27" i="28"/>
  <c r="K33" i="31"/>
  <c r="K32" i="31"/>
  <c r="K31" i="31"/>
  <c r="K30" i="31"/>
  <c r="K29" i="31"/>
  <c r="K28" i="31"/>
  <c r="K27" i="31"/>
  <c r="K33" i="34"/>
  <c r="K32" i="34"/>
  <c r="K31" i="34"/>
  <c r="K30" i="34"/>
  <c r="K29" i="34"/>
  <c r="K28" i="34"/>
  <c r="K27" i="34"/>
  <c r="K33" i="83"/>
  <c r="K32" i="83"/>
  <c r="K31" i="83"/>
  <c r="K30" i="83"/>
  <c r="K29" i="83"/>
  <c r="K28" i="83"/>
  <c r="K27" i="83"/>
  <c r="K33" i="85"/>
  <c r="K32" i="85"/>
  <c r="K31" i="85"/>
  <c r="K30" i="85"/>
  <c r="K29" i="85"/>
  <c r="K28" i="85"/>
  <c r="K27" i="85"/>
  <c r="K33" i="88"/>
  <c r="K32" i="88"/>
  <c r="K31" i="88"/>
  <c r="K30" i="88"/>
  <c r="K29" i="88"/>
  <c r="K28" i="88"/>
  <c r="K27" i="88"/>
  <c r="K33" i="91"/>
  <c r="K32" i="91"/>
  <c r="K31" i="91"/>
  <c r="K30" i="91"/>
  <c r="K29" i="91"/>
  <c r="K28" i="91"/>
  <c r="K27" i="91"/>
  <c r="K33" i="94"/>
  <c r="K32" i="94"/>
  <c r="K31" i="94"/>
  <c r="K30" i="94"/>
  <c r="K29" i="94"/>
  <c r="K28" i="94"/>
  <c r="K27" i="94"/>
  <c r="K33" i="98"/>
  <c r="K32" i="98"/>
  <c r="K31" i="98"/>
  <c r="K30" i="98"/>
  <c r="K29" i="98"/>
  <c r="K28" i="98"/>
  <c r="K27" i="98"/>
  <c r="K33" i="101"/>
  <c r="K32" i="101"/>
  <c r="K31" i="101"/>
  <c r="K30" i="101"/>
  <c r="K29" i="101"/>
  <c r="K28" i="101"/>
  <c r="K27" i="101"/>
  <c r="K33" i="104"/>
  <c r="K32" i="104"/>
  <c r="K31" i="104"/>
  <c r="K30" i="104"/>
  <c r="K29" i="104"/>
  <c r="K28" i="104"/>
  <c r="K27" i="104"/>
  <c r="K33" i="107"/>
  <c r="K32" i="107"/>
  <c r="K31" i="107"/>
  <c r="K30" i="107"/>
  <c r="K29" i="107"/>
  <c r="K28" i="107"/>
  <c r="K27" i="107"/>
  <c r="K33" i="110"/>
  <c r="K32" i="110"/>
  <c r="K31" i="110"/>
  <c r="K30" i="110"/>
  <c r="K29" i="110"/>
  <c r="K28" i="110"/>
  <c r="K27" i="110"/>
  <c r="K33" i="113"/>
  <c r="K32" i="113"/>
  <c r="K31" i="113"/>
  <c r="K30" i="113"/>
  <c r="K29" i="113"/>
  <c r="K28" i="113"/>
  <c r="K27" i="113"/>
  <c r="K33" i="116"/>
  <c r="K32" i="116"/>
  <c r="K31" i="116"/>
  <c r="K30" i="116"/>
  <c r="K29" i="116"/>
  <c r="K28" i="116"/>
  <c r="K27" i="116"/>
  <c r="K33" i="119"/>
  <c r="K32" i="119"/>
  <c r="K31" i="119"/>
  <c r="K30" i="119"/>
  <c r="K29" i="119"/>
  <c r="K28" i="119"/>
  <c r="K27" i="119"/>
  <c r="K33" i="22"/>
  <c r="K32" i="22"/>
  <c r="K31" i="22"/>
  <c r="K30" i="22"/>
  <c r="K29" i="22"/>
  <c r="K28" i="22"/>
  <c r="K27" i="22"/>
  <c r="K25" i="25"/>
  <c r="K24" i="25"/>
  <c r="K23" i="25"/>
  <c r="K22" i="25"/>
  <c r="K21" i="25"/>
  <c r="K20" i="25"/>
  <c r="K19" i="25"/>
  <c r="K18" i="25"/>
  <c r="K25" i="28"/>
  <c r="K24" i="28"/>
  <c r="K23" i="28"/>
  <c r="K22" i="28"/>
  <c r="K21" i="28"/>
  <c r="K20" i="28"/>
  <c r="K19" i="28"/>
  <c r="K18" i="28"/>
  <c r="K25" i="31"/>
  <c r="K24" i="31"/>
  <c r="K23" i="31"/>
  <c r="K22" i="31"/>
  <c r="K21" i="31"/>
  <c r="K20" i="31"/>
  <c r="K19" i="31"/>
  <c r="K18" i="31"/>
  <c r="K25" i="34"/>
  <c r="K24" i="34"/>
  <c r="K23" i="34"/>
  <c r="K22" i="34"/>
  <c r="K21" i="34"/>
  <c r="K20" i="34"/>
  <c r="K19" i="34"/>
  <c r="K18" i="34"/>
  <c r="K25" i="83"/>
  <c r="K24" i="83"/>
  <c r="K23" i="83"/>
  <c r="K22" i="83"/>
  <c r="K21" i="83"/>
  <c r="K20" i="83"/>
  <c r="K19" i="83"/>
  <c r="K18" i="83"/>
  <c r="K25" i="85"/>
  <c r="K24" i="85"/>
  <c r="K23" i="85"/>
  <c r="K22" i="85"/>
  <c r="K21" i="85"/>
  <c r="K20" i="85"/>
  <c r="K19" i="85"/>
  <c r="K18" i="85"/>
  <c r="K25" i="88"/>
  <c r="K24" i="88"/>
  <c r="K23" i="88"/>
  <c r="K22" i="88"/>
  <c r="K21" i="88"/>
  <c r="K20" i="88"/>
  <c r="K19" i="88"/>
  <c r="K18" i="88"/>
  <c r="K25" i="91"/>
  <c r="K24" i="91"/>
  <c r="K23" i="91"/>
  <c r="K22" i="91"/>
  <c r="K21" i="91"/>
  <c r="K20" i="91"/>
  <c r="K19" i="91"/>
  <c r="K18" i="91"/>
  <c r="K25" i="94"/>
  <c r="K24" i="94"/>
  <c r="K23" i="94"/>
  <c r="K22" i="94"/>
  <c r="K21" i="94"/>
  <c r="K20" i="94"/>
  <c r="K19" i="94"/>
  <c r="K18" i="94"/>
  <c r="K25" i="98"/>
  <c r="K24" i="98"/>
  <c r="K23" i="98"/>
  <c r="K22" i="98"/>
  <c r="K21" i="98"/>
  <c r="K20" i="98"/>
  <c r="K19" i="98"/>
  <c r="K18" i="98"/>
  <c r="K25" i="101"/>
  <c r="K24" i="101"/>
  <c r="K23" i="101"/>
  <c r="K22" i="101"/>
  <c r="K21" i="101"/>
  <c r="K20" i="101"/>
  <c r="K19" i="101"/>
  <c r="K18" i="101"/>
  <c r="K25" i="104"/>
  <c r="K24" i="104"/>
  <c r="K23" i="104"/>
  <c r="K22" i="104"/>
  <c r="K21" i="104"/>
  <c r="K20" i="104"/>
  <c r="K19" i="104"/>
  <c r="K18" i="104"/>
  <c r="K25" i="107"/>
  <c r="K24" i="107"/>
  <c r="K23" i="107"/>
  <c r="K22" i="107"/>
  <c r="K21" i="107"/>
  <c r="K20" i="107"/>
  <c r="K19" i="107"/>
  <c r="K18" i="107"/>
  <c r="K25" i="110"/>
  <c r="K24" i="110"/>
  <c r="K23" i="110"/>
  <c r="K22" i="110"/>
  <c r="K21" i="110"/>
  <c r="K20" i="110"/>
  <c r="K19" i="110"/>
  <c r="K18" i="110"/>
  <c r="K25" i="113"/>
  <c r="K24" i="113"/>
  <c r="K23" i="113"/>
  <c r="K22" i="113"/>
  <c r="K21" i="113"/>
  <c r="K20" i="113"/>
  <c r="K19" i="113"/>
  <c r="K18" i="113"/>
  <c r="K25" i="116"/>
  <c r="K24" i="116"/>
  <c r="K23" i="116"/>
  <c r="K22" i="116"/>
  <c r="K21" i="116"/>
  <c r="K20" i="116"/>
  <c r="K19" i="116"/>
  <c r="K18" i="116"/>
  <c r="K25" i="119"/>
  <c r="K24" i="119"/>
  <c r="K23" i="119"/>
  <c r="K22" i="119"/>
  <c r="K21" i="119"/>
  <c r="K20" i="119"/>
  <c r="K19" i="119"/>
  <c r="K18" i="119"/>
  <c r="K25" i="22"/>
  <c r="K24" i="22"/>
  <c r="K23" i="22"/>
  <c r="K22" i="22"/>
  <c r="K21" i="22"/>
  <c r="K20" i="22"/>
  <c r="K19" i="22"/>
  <c r="K18" i="22"/>
  <c r="M16" i="25"/>
  <c r="M15" i="25"/>
  <c r="M14" i="25"/>
  <c r="M13" i="25"/>
  <c r="M12" i="25"/>
  <c r="M11" i="25"/>
  <c r="M10" i="25"/>
  <c r="M9" i="25"/>
  <c r="M8" i="25"/>
  <c r="M7" i="25"/>
  <c r="M16" i="28"/>
  <c r="M15" i="28"/>
  <c r="M14" i="28"/>
  <c r="M13" i="28"/>
  <c r="M12" i="28"/>
  <c r="M11" i="28"/>
  <c r="M10" i="28"/>
  <c r="M9" i="28"/>
  <c r="M8" i="28"/>
  <c r="M7" i="28"/>
  <c r="M16" i="31"/>
  <c r="M15" i="31"/>
  <c r="M14" i="31"/>
  <c r="M13" i="31"/>
  <c r="M12" i="31"/>
  <c r="M11" i="31"/>
  <c r="M10" i="31"/>
  <c r="M9" i="31"/>
  <c r="M8" i="31"/>
  <c r="M7" i="31"/>
  <c r="M16" i="34"/>
  <c r="M15" i="34"/>
  <c r="M14" i="34"/>
  <c r="M13" i="34"/>
  <c r="M12" i="34"/>
  <c r="M11" i="34"/>
  <c r="M10" i="34"/>
  <c r="M9" i="34"/>
  <c r="M8" i="34"/>
  <c r="M7" i="34"/>
  <c r="M16" i="83"/>
  <c r="M15" i="83"/>
  <c r="M14" i="83"/>
  <c r="M13" i="83"/>
  <c r="M12" i="83"/>
  <c r="M11" i="83"/>
  <c r="M10" i="83"/>
  <c r="M9" i="83"/>
  <c r="M8" i="83"/>
  <c r="M7" i="83"/>
  <c r="M16" i="85"/>
  <c r="M15" i="85"/>
  <c r="M14" i="85"/>
  <c r="M13" i="85"/>
  <c r="M12" i="85"/>
  <c r="M11" i="85"/>
  <c r="M10" i="85"/>
  <c r="M9" i="85"/>
  <c r="M8" i="85"/>
  <c r="M7" i="85"/>
  <c r="M16" i="88"/>
  <c r="M15" i="88"/>
  <c r="M14" i="88"/>
  <c r="M13" i="88"/>
  <c r="M12" i="88"/>
  <c r="M11" i="88"/>
  <c r="M10" i="88"/>
  <c r="M9" i="88"/>
  <c r="M8" i="88"/>
  <c r="M7" i="88"/>
  <c r="M16" i="91"/>
  <c r="M15" i="91"/>
  <c r="M14" i="91"/>
  <c r="M13" i="91"/>
  <c r="M12" i="91"/>
  <c r="M11" i="91"/>
  <c r="M10" i="91"/>
  <c r="M9" i="91"/>
  <c r="M8" i="91"/>
  <c r="M7" i="91"/>
  <c r="M16" i="94"/>
  <c r="M15" i="94"/>
  <c r="M14" i="94"/>
  <c r="M13" i="94"/>
  <c r="M12" i="94"/>
  <c r="M11" i="94"/>
  <c r="M10" i="94"/>
  <c r="M9" i="94"/>
  <c r="M8" i="94"/>
  <c r="M7" i="94"/>
  <c r="M16" i="98"/>
  <c r="M15" i="98"/>
  <c r="M14" i="98"/>
  <c r="M13" i="98"/>
  <c r="M12" i="98"/>
  <c r="M11" i="98"/>
  <c r="M10" i="98"/>
  <c r="M9" i="98"/>
  <c r="M8" i="98"/>
  <c r="M7" i="98"/>
  <c r="M16" i="101"/>
  <c r="M15" i="101"/>
  <c r="M14" i="101"/>
  <c r="M13" i="101"/>
  <c r="M12" i="101"/>
  <c r="M11" i="101"/>
  <c r="M10" i="101"/>
  <c r="M9" i="101"/>
  <c r="M8" i="101"/>
  <c r="M7" i="101"/>
  <c r="M16" i="104"/>
  <c r="M15" i="104"/>
  <c r="M14" i="104"/>
  <c r="M13" i="104"/>
  <c r="M12" i="104"/>
  <c r="M11" i="104"/>
  <c r="M10" i="104"/>
  <c r="M9" i="104"/>
  <c r="M8" i="104"/>
  <c r="M7" i="104"/>
  <c r="M16" i="107"/>
  <c r="M15" i="107"/>
  <c r="M14" i="107"/>
  <c r="M13" i="107"/>
  <c r="M12" i="107"/>
  <c r="M11" i="107"/>
  <c r="M10" i="107"/>
  <c r="M9" i="107"/>
  <c r="M8" i="107"/>
  <c r="M7" i="107"/>
  <c r="M16" i="110"/>
  <c r="M15" i="110"/>
  <c r="M14" i="110"/>
  <c r="M13" i="110"/>
  <c r="M12" i="110"/>
  <c r="M11" i="110"/>
  <c r="M10" i="110"/>
  <c r="M9" i="110"/>
  <c r="M8" i="110"/>
  <c r="M7" i="110"/>
  <c r="M16" i="113"/>
  <c r="M15" i="113"/>
  <c r="M14" i="113"/>
  <c r="M13" i="113"/>
  <c r="M12" i="113"/>
  <c r="M11" i="113"/>
  <c r="M10" i="113"/>
  <c r="M9" i="113"/>
  <c r="M8" i="113"/>
  <c r="M7" i="113"/>
  <c r="M16" i="116"/>
  <c r="M15" i="116"/>
  <c r="M14" i="116"/>
  <c r="M13" i="116"/>
  <c r="M12" i="116"/>
  <c r="M11" i="116"/>
  <c r="M10" i="116"/>
  <c r="M9" i="116"/>
  <c r="M8" i="116"/>
  <c r="M7" i="116"/>
  <c r="M16" i="119"/>
  <c r="M15" i="119"/>
  <c r="M14" i="119"/>
  <c r="M13" i="119"/>
  <c r="M12" i="119"/>
  <c r="M11" i="119"/>
  <c r="M10" i="119"/>
  <c r="M9" i="119"/>
  <c r="M8" i="119"/>
  <c r="M7" i="119"/>
  <c r="M16" i="22"/>
  <c r="M15" i="22"/>
  <c r="M14" i="22"/>
  <c r="M13" i="22"/>
  <c r="M12" i="22"/>
  <c r="M11" i="22"/>
  <c r="M10" i="22"/>
  <c r="M9" i="22"/>
  <c r="M8" i="22"/>
  <c r="M7" i="22"/>
  <c r="K16" i="25"/>
  <c r="K15" i="25"/>
  <c r="K14" i="25"/>
  <c r="K13" i="25"/>
  <c r="K12" i="25"/>
  <c r="K11" i="25"/>
  <c r="K10" i="25"/>
  <c r="K9" i="25"/>
  <c r="K8" i="25"/>
  <c r="K16" i="28"/>
  <c r="K15" i="28"/>
  <c r="K14" i="28"/>
  <c r="K13" i="28"/>
  <c r="K12" i="28"/>
  <c r="K11" i="28"/>
  <c r="K10" i="28"/>
  <c r="K9" i="28"/>
  <c r="K8" i="28"/>
  <c r="K16" i="31"/>
  <c r="K15" i="31"/>
  <c r="K14" i="31"/>
  <c r="K13" i="31"/>
  <c r="K12" i="31"/>
  <c r="K11" i="31"/>
  <c r="K10" i="31"/>
  <c r="K9" i="31"/>
  <c r="K8" i="31"/>
  <c r="K16" i="34"/>
  <c r="K15" i="34"/>
  <c r="K14" i="34"/>
  <c r="K13" i="34"/>
  <c r="K12" i="34"/>
  <c r="K11" i="34"/>
  <c r="K10" i="34"/>
  <c r="K9" i="34"/>
  <c r="K8" i="34"/>
  <c r="K16" i="83"/>
  <c r="K15" i="83"/>
  <c r="K14" i="83"/>
  <c r="K13" i="83"/>
  <c r="K12" i="83"/>
  <c r="K11" i="83"/>
  <c r="K10" i="83"/>
  <c r="K9" i="83"/>
  <c r="K8" i="83"/>
  <c r="K16" i="85"/>
  <c r="K15" i="85"/>
  <c r="K14" i="85"/>
  <c r="K13" i="85"/>
  <c r="K12" i="85"/>
  <c r="K11" i="85"/>
  <c r="K10" i="85"/>
  <c r="K9" i="85"/>
  <c r="K8" i="85"/>
  <c r="K16" i="88"/>
  <c r="K15" i="88"/>
  <c r="K14" i="88"/>
  <c r="K13" i="88"/>
  <c r="K12" i="88"/>
  <c r="K11" i="88"/>
  <c r="K10" i="88"/>
  <c r="K9" i="88"/>
  <c r="K8" i="88"/>
  <c r="K16" i="91"/>
  <c r="K15" i="91"/>
  <c r="K14" i="91"/>
  <c r="K13" i="91"/>
  <c r="K12" i="91"/>
  <c r="K11" i="91"/>
  <c r="K10" i="91"/>
  <c r="K9" i="91"/>
  <c r="K8" i="91"/>
  <c r="K16" i="94"/>
  <c r="K15" i="94"/>
  <c r="K14" i="94"/>
  <c r="K13" i="94"/>
  <c r="K12" i="94"/>
  <c r="K11" i="94"/>
  <c r="K10" i="94"/>
  <c r="K9" i="94"/>
  <c r="K8" i="94"/>
  <c r="K16" i="98"/>
  <c r="K15" i="98"/>
  <c r="K14" i="98"/>
  <c r="K13" i="98"/>
  <c r="K12" i="98"/>
  <c r="K11" i="98"/>
  <c r="K10" i="98"/>
  <c r="K9" i="98"/>
  <c r="K8" i="98"/>
  <c r="K16" i="101"/>
  <c r="K15" i="101"/>
  <c r="K14" i="101"/>
  <c r="K13" i="101"/>
  <c r="K12" i="101"/>
  <c r="K11" i="101"/>
  <c r="K10" i="101"/>
  <c r="K9" i="101"/>
  <c r="K8" i="101"/>
  <c r="K16" i="104"/>
  <c r="K15" i="104"/>
  <c r="K14" i="104"/>
  <c r="K13" i="104"/>
  <c r="K12" i="104"/>
  <c r="K11" i="104"/>
  <c r="K10" i="104"/>
  <c r="K9" i="104"/>
  <c r="K8" i="104"/>
  <c r="K16" i="107"/>
  <c r="K15" i="107"/>
  <c r="K14" i="107"/>
  <c r="K13" i="107"/>
  <c r="K12" i="107"/>
  <c r="K11" i="107"/>
  <c r="K10" i="107"/>
  <c r="K9" i="107"/>
  <c r="K8" i="107"/>
  <c r="K16" i="110"/>
  <c r="K15" i="110"/>
  <c r="K14" i="110"/>
  <c r="K13" i="110"/>
  <c r="K12" i="110"/>
  <c r="K11" i="110"/>
  <c r="K10" i="110"/>
  <c r="K9" i="110"/>
  <c r="K8" i="110"/>
  <c r="K16" i="113"/>
  <c r="K15" i="113"/>
  <c r="K14" i="113"/>
  <c r="K13" i="113"/>
  <c r="K12" i="113"/>
  <c r="K11" i="113"/>
  <c r="K10" i="113"/>
  <c r="K9" i="113"/>
  <c r="K8" i="113"/>
  <c r="K16" i="116"/>
  <c r="K15" i="116"/>
  <c r="K14" i="116"/>
  <c r="K13" i="116"/>
  <c r="K12" i="116"/>
  <c r="K11" i="116"/>
  <c r="K10" i="116"/>
  <c r="K9" i="116"/>
  <c r="K8" i="116"/>
  <c r="K16" i="119"/>
  <c r="K15" i="119"/>
  <c r="K14" i="119"/>
  <c r="K13" i="119"/>
  <c r="K12" i="119"/>
  <c r="K11" i="119"/>
  <c r="K10" i="119"/>
  <c r="K9" i="119"/>
  <c r="K8" i="119"/>
  <c r="K16" i="22"/>
  <c r="K15" i="22"/>
  <c r="K14" i="22"/>
  <c r="K13" i="22"/>
  <c r="K12" i="22"/>
  <c r="K11" i="22"/>
  <c r="K10" i="22"/>
  <c r="K9" i="22"/>
  <c r="K8" i="22"/>
  <c r="E7" i="22"/>
  <c r="K7" i="22"/>
  <c r="I27" i="98" l="1"/>
  <c r="G27" i="98"/>
  <c r="E27" i="98"/>
  <c r="C27" i="98"/>
  <c r="C27" i="101"/>
  <c r="E27" i="101"/>
  <c r="G27" i="101"/>
  <c r="I27" i="101"/>
  <c r="I27" i="104"/>
  <c r="G27" i="104"/>
  <c r="E27" i="104"/>
  <c r="C27" i="104"/>
  <c r="I27" i="119"/>
  <c r="G27" i="119"/>
  <c r="E27" i="119"/>
  <c r="C27" i="119"/>
  <c r="I27" i="116"/>
  <c r="G27" i="116"/>
  <c r="E27" i="116"/>
  <c r="C27" i="116"/>
  <c r="I27" i="113"/>
  <c r="G27" i="113"/>
  <c r="E27" i="113"/>
  <c r="C27" i="113"/>
  <c r="I27" i="110"/>
  <c r="G27" i="110"/>
  <c r="E27" i="110"/>
  <c r="C27" i="110"/>
  <c r="I27" i="107"/>
  <c r="G27" i="107"/>
  <c r="E27" i="107"/>
  <c r="C27" i="107"/>
  <c r="P30" i="118"/>
  <c r="O30" i="118"/>
  <c r="P30" i="115"/>
  <c r="O30" i="115"/>
  <c r="O30" i="112"/>
  <c r="N30" i="112"/>
  <c r="O30" i="109"/>
  <c r="N30" i="109"/>
  <c r="P30" i="106"/>
  <c r="O30" i="106"/>
  <c r="P30" i="103"/>
  <c r="O30" i="103"/>
  <c r="O30" i="100"/>
  <c r="N30" i="100"/>
  <c r="O30" i="97"/>
  <c r="N30" i="97"/>
  <c r="E34" i="119"/>
  <c r="Q34" i="119"/>
  <c r="O34" i="119"/>
  <c r="M34" i="119"/>
  <c r="M56" i="119" s="1"/>
  <c r="K34" i="119"/>
  <c r="E18" i="119"/>
  <c r="M17" i="119"/>
  <c r="M26" i="119" s="1"/>
  <c r="I11" i="119"/>
  <c r="I18" i="119" s="1"/>
  <c r="G11" i="119"/>
  <c r="G18" i="119" s="1"/>
  <c r="E11" i="119"/>
  <c r="C11" i="119"/>
  <c r="C18" i="119" s="1"/>
  <c r="O17" i="119"/>
  <c r="I9" i="119"/>
  <c r="G9" i="119"/>
  <c r="E9" i="119"/>
  <c r="C9" i="119"/>
  <c r="I8" i="119"/>
  <c r="G8" i="119"/>
  <c r="E8" i="119"/>
  <c r="C8" i="119"/>
  <c r="K7" i="119"/>
  <c r="K17" i="119" s="1"/>
  <c r="K26" i="119" s="1"/>
  <c r="AA6" i="119"/>
  <c r="Y6" i="119"/>
  <c r="W6" i="119"/>
  <c r="U6" i="119"/>
  <c r="I5" i="119"/>
  <c r="I34" i="119" s="1"/>
  <c r="G5" i="119"/>
  <c r="G34" i="119" s="1"/>
  <c r="E5" i="119"/>
  <c r="C5" i="119"/>
  <c r="AC6" i="119"/>
  <c r="U2" i="119" a="1"/>
  <c r="U2" i="119" s="1"/>
  <c r="A2" i="119"/>
  <c r="A58" i="119" s="1"/>
  <c r="I57" i="118"/>
  <c r="G57" i="118"/>
  <c r="E57" i="118"/>
  <c r="C57" i="118"/>
  <c r="G51" i="118"/>
  <c r="G59" i="118" s="1"/>
  <c r="I50" i="118"/>
  <c r="G50" i="118"/>
  <c r="E50" i="118"/>
  <c r="C50" i="118"/>
  <c r="F48" i="118"/>
  <c r="I46" i="118"/>
  <c r="G46" i="118"/>
  <c r="E46" i="118"/>
  <c r="C46" i="118"/>
  <c r="F44" i="118"/>
  <c r="F43" i="118"/>
  <c r="F42" i="118"/>
  <c r="I40" i="118"/>
  <c r="I51" i="118" s="1"/>
  <c r="I59" i="118" s="1"/>
  <c r="G40" i="118"/>
  <c r="E40" i="118"/>
  <c r="E51" i="118" s="1"/>
  <c r="E59" i="118" s="1"/>
  <c r="C40" i="118"/>
  <c r="C51" i="118" s="1"/>
  <c r="C59" i="118" s="1"/>
  <c r="F39" i="118"/>
  <c r="F38" i="118"/>
  <c r="G31" i="118"/>
  <c r="E31" i="118"/>
  <c r="F54" i="118" s="1"/>
  <c r="I30" i="118"/>
  <c r="G30" i="118"/>
  <c r="E30" i="118"/>
  <c r="C30" i="118"/>
  <c r="F28" i="118"/>
  <c r="F27" i="118"/>
  <c r="I25" i="118"/>
  <c r="G25" i="118"/>
  <c r="E25" i="118"/>
  <c r="C25" i="118"/>
  <c r="F24" i="118"/>
  <c r="F23" i="118"/>
  <c r="F22" i="118"/>
  <c r="H21" i="118"/>
  <c r="H19" i="118"/>
  <c r="F19" i="118"/>
  <c r="F16" i="118"/>
  <c r="I14" i="118"/>
  <c r="I31" i="118" s="1"/>
  <c r="G14" i="118"/>
  <c r="E14" i="118"/>
  <c r="C14" i="118"/>
  <c r="F13" i="118"/>
  <c r="F12" i="118"/>
  <c r="F11" i="118"/>
  <c r="F10" i="118"/>
  <c r="F9" i="118"/>
  <c r="F8" i="118"/>
  <c r="I6" i="118"/>
  <c r="G6" i="118"/>
  <c r="E6" i="118"/>
  <c r="C6" i="118"/>
  <c r="I5" i="118"/>
  <c r="G5" i="118"/>
  <c r="E5" i="118"/>
  <c r="C5" i="118"/>
  <c r="I4" i="118"/>
  <c r="G4" i="118"/>
  <c r="E4" i="118"/>
  <c r="C4" i="118"/>
  <c r="C3" i="118"/>
  <c r="A2" i="118"/>
  <c r="A61" i="118" s="1"/>
  <c r="B66" i="117"/>
  <c r="I63" i="117"/>
  <c r="E60" i="117"/>
  <c r="J58" i="117"/>
  <c r="H58" i="117"/>
  <c r="F58" i="117"/>
  <c r="D58" i="117"/>
  <c r="K56" i="117"/>
  <c r="I55" i="117"/>
  <c r="J50" i="117"/>
  <c r="H50" i="117"/>
  <c r="F50" i="117"/>
  <c r="D50" i="117"/>
  <c r="I49" i="117"/>
  <c r="I45" i="117"/>
  <c r="G44" i="117"/>
  <c r="I41" i="117"/>
  <c r="I37" i="117"/>
  <c r="I33" i="117"/>
  <c r="I29" i="117"/>
  <c r="I28" i="117"/>
  <c r="I27" i="117"/>
  <c r="I26" i="117"/>
  <c r="J20" i="117"/>
  <c r="I20" i="117"/>
  <c r="E20" i="117"/>
  <c r="M19" i="117"/>
  <c r="J19" i="117"/>
  <c r="H19" i="117"/>
  <c r="G19" i="117"/>
  <c r="F19" i="117"/>
  <c r="D19" i="117"/>
  <c r="J18" i="117"/>
  <c r="H18" i="117"/>
  <c r="I61" i="117" s="1"/>
  <c r="F18" i="117"/>
  <c r="D18" i="117"/>
  <c r="E63" i="117" s="1"/>
  <c r="J17" i="117"/>
  <c r="H17" i="117"/>
  <c r="G17" i="117"/>
  <c r="F17" i="117"/>
  <c r="D17" i="117"/>
  <c r="I16" i="117"/>
  <c r="E16" i="117"/>
  <c r="I15" i="117"/>
  <c r="E15" i="117"/>
  <c r="J14" i="117"/>
  <c r="H14" i="117"/>
  <c r="G14" i="117"/>
  <c r="F14" i="117"/>
  <c r="D14" i="117"/>
  <c r="I13" i="117"/>
  <c r="E13" i="117"/>
  <c r="I12" i="117"/>
  <c r="E12" i="117"/>
  <c r="J11" i="117"/>
  <c r="H11" i="117"/>
  <c r="G11" i="117"/>
  <c r="F11" i="117"/>
  <c r="D11" i="117"/>
  <c r="I10" i="117"/>
  <c r="E10" i="117"/>
  <c r="I9" i="117"/>
  <c r="E9" i="117"/>
  <c r="F4" i="117"/>
  <c r="Q34" i="116"/>
  <c r="O34" i="116"/>
  <c r="M34" i="116"/>
  <c r="K34" i="116"/>
  <c r="G18" i="116"/>
  <c r="O17" i="116"/>
  <c r="O26" i="116" s="1"/>
  <c r="I11" i="116"/>
  <c r="I18" i="116" s="1"/>
  <c r="G11" i="116"/>
  <c r="E11" i="116"/>
  <c r="E18" i="116" s="1"/>
  <c r="C11" i="116"/>
  <c r="C18" i="116" s="1"/>
  <c r="I9" i="116"/>
  <c r="G9" i="116"/>
  <c r="E9" i="116"/>
  <c r="C9" i="116"/>
  <c r="I8" i="116"/>
  <c r="G8" i="116"/>
  <c r="E8" i="116"/>
  <c r="C8" i="116"/>
  <c r="M17" i="116"/>
  <c r="M26" i="116" s="1"/>
  <c r="K7" i="116"/>
  <c r="AA6" i="116"/>
  <c r="Y6" i="116"/>
  <c r="W6" i="116"/>
  <c r="U6" i="116"/>
  <c r="I5" i="116"/>
  <c r="I34" i="116" s="1"/>
  <c r="G5" i="116"/>
  <c r="G34" i="116" s="1"/>
  <c r="E5" i="116"/>
  <c r="C5" i="116"/>
  <c r="C34" i="116" s="1"/>
  <c r="AC6" i="116"/>
  <c r="U2" i="116" a="1"/>
  <c r="U2" i="116" s="1"/>
  <c r="A2" i="116"/>
  <c r="A58" i="116" s="1"/>
  <c r="A61" i="115"/>
  <c r="D59" i="115"/>
  <c r="C59" i="115"/>
  <c r="I57" i="115"/>
  <c r="G57" i="115"/>
  <c r="E57" i="115"/>
  <c r="D57" i="115"/>
  <c r="C57" i="115"/>
  <c r="E51" i="115"/>
  <c r="E59" i="115" s="1"/>
  <c r="I50" i="115"/>
  <c r="I51" i="115" s="1"/>
  <c r="I59" i="115" s="1"/>
  <c r="G50" i="115"/>
  <c r="E50" i="115"/>
  <c r="D50" i="115"/>
  <c r="C50" i="115"/>
  <c r="I46" i="115"/>
  <c r="G46" i="115"/>
  <c r="E46" i="115"/>
  <c r="D46" i="115"/>
  <c r="C46" i="115"/>
  <c r="I40" i="115"/>
  <c r="G40" i="115"/>
  <c r="G51" i="115" s="1"/>
  <c r="G59" i="115" s="1"/>
  <c r="E40" i="115"/>
  <c r="D40" i="115"/>
  <c r="C40" i="115"/>
  <c r="C51" i="115" s="1"/>
  <c r="E31" i="115"/>
  <c r="I30" i="115"/>
  <c r="G30" i="115"/>
  <c r="E30" i="115"/>
  <c r="D30" i="115"/>
  <c r="C30" i="115"/>
  <c r="I25" i="115"/>
  <c r="G25" i="115"/>
  <c r="E25" i="115"/>
  <c r="D25" i="115"/>
  <c r="C25" i="115"/>
  <c r="H16" i="115"/>
  <c r="I14" i="115"/>
  <c r="I31" i="115" s="1"/>
  <c r="G14" i="115"/>
  <c r="G31" i="115" s="1"/>
  <c r="E14" i="115"/>
  <c r="D14" i="115"/>
  <c r="C14" i="115"/>
  <c r="C31" i="115" s="1"/>
  <c r="H13" i="115"/>
  <c r="H9" i="115"/>
  <c r="I6" i="115"/>
  <c r="G6" i="115"/>
  <c r="E6" i="115"/>
  <c r="C6" i="115"/>
  <c r="I5" i="115"/>
  <c r="G5" i="115"/>
  <c r="E5" i="115"/>
  <c r="C5" i="115"/>
  <c r="I4" i="115"/>
  <c r="G4" i="115"/>
  <c r="E4" i="115"/>
  <c r="C4" i="115"/>
  <c r="C3" i="115"/>
  <c r="A2" i="115"/>
  <c r="B66" i="114"/>
  <c r="K63" i="114"/>
  <c r="G63" i="114"/>
  <c r="K61" i="114"/>
  <c r="E61" i="114"/>
  <c r="K60" i="114"/>
  <c r="G60" i="114"/>
  <c r="K58" i="114"/>
  <c r="J58" i="114"/>
  <c r="H58" i="114"/>
  <c r="G58" i="114"/>
  <c r="F58" i="114"/>
  <c r="D58" i="114"/>
  <c r="K57" i="114"/>
  <c r="E57" i="114"/>
  <c r="K56" i="114"/>
  <c r="E56" i="114"/>
  <c r="K55" i="114"/>
  <c r="E55" i="114"/>
  <c r="K54" i="114"/>
  <c r="E54" i="114"/>
  <c r="K52" i="114"/>
  <c r="G52" i="114"/>
  <c r="D52" i="114"/>
  <c r="K50" i="114"/>
  <c r="J50" i="114"/>
  <c r="H50" i="114"/>
  <c r="G50" i="114"/>
  <c r="F50" i="114"/>
  <c r="D50" i="114"/>
  <c r="K49" i="114"/>
  <c r="E49" i="114"/>
  <c r="K48" i="114"/>
  <c r="E48" i="114"/>
  <c r="K47" i="114"/>
  <c r="E47" i="114"/>
  <c r="K46" i="114"/>
  <c r="E46" i="114"/>
  <c r="K45" i="114"/>
  <c r="E45" i="114"/>
  <c r="K44" i="114"/>
  <c r="E44" i="114"/>
  <c r="K43" i="114"/>
  <c r="E43" i="114"/>
  <c r="K42" i="114"/>
  <c r="E42" i="114"/>
  <c r="K41" i="114"/>
  <c r="E41" i="114"/>
  <c r="K40" i="114"/>
  <c r="E40" i="114"/>
  <c r="K39" i="114"/>
  <c r="E39" i="114"/>
  <c r="K38" i="114"/>
  <c r="E38" i="114"/>
  <c r="K37" i="114"/>
  <c r="E37" i="114"/>
  <c r="K36" i="114"/>
  <c r="E36" i="114"/>
  <c r="K35" i="114"/>
  <c r="E35" i="114"/>
  <c r="K34" i="114"/>
  <c r="E34" i="114"/>
  <c r="K33" i="114"/>
  <c r="E33" i="114"/>
  <c r="K32" i="114"/>
  <c r="E32" i="114"/>
  <c r="K31" i="114"/>
  <c r="E31" i="114"/>
  <c r="K30" i="114"/>
  <c r="E30" i="114"/>
  <c r="K29" i="114"/>
  <c r="E29" i="114"/>
  <c r="K28" i="114"/>
  <c r="E28" i="114"/>
  <c r="K27" i="114"/>
  <c r="E27" i="114"/>
  <c r="K26" i="114"/>
  <c r="E26" i="114"/>
  <c r="K20" i="114"/>
  <c r="H20" i="114"/>
  <c r="H52" i="114" s="1"/>
  <c r="G20" i="114"/>
  <c r="D20" i="114"/>
  <c r="M19" i="114"/>
  <c r="J19" i="114"/>
  <c r="H19" i="114"/>
  <c r="F19" i="114"/>
  <c r="E19" i="114"/>
  <c r="D19" i="114"/>
  <c r="J18" i="114"/>
  <c r="J20" i="114" s="1"/>
  <c r="H18" i="114"/>
  <c r="F18" i="114"/>
  <c r="F20" i="114" s="1"/>
  <c r="E18" i="114"/>
  <c r="D18" i="114"/>
  <c r="J17" i="114"/>
  <c r="H17" i="114"/>
  <c r="F17" i="114"/>
  <c r="E17" i="114"/>
  <c r="D17" i="114"/>
  <c r="G16" i="114"/>
  <c r="E16" i="114"/>
  <c r="G15" i="114"/>
  <c r="E15" i="114"/>
  <c r="J14" i="114"/>
  <c r="H14" i="114"/>
  <c r="F14" i="114"/>
  <c r="E14" i="114"/>
  <c r="D14" i="114"/>
  <c r="G13" i="114"/>
  <c r="E13" i="114"/>
  <c r="G12" i="114"/>
  <c r="E12" i="114"/>
  <c r="J11" i="114"/>
  <c r="H11" i="114"/>
  <c r="F11" i="114"/>
  <c r="E11" i="114"/>
  <c r="D11" i="114"/>
  <c r="G10" i="114"/>
  <c r="E10" i="114"/>
  <c r="G9" i="114"/>
  <c r="E9" i="114"/>
  <c r="F4" i="114"/>
  <c r="O34" i="113"/>
  <c r="G34" i="113"/>
  <c r="C34" i="113"/>
  <c r="G18" i="113"/>
  <c r="I11" i="113"/>
  <c r="I18" i="113" s="1"/>
  <c r="G11" i="113"/>
  <c r="E11" i="113"/>
  <c r="E18" i="113" s="1"/>
  <c r="C11" i="113"/>
  <c r="C18" i="113" s="1"/>
  <c r="I9" i="113"/>
  <c r="G9" i="113"/>
  <c r="E9" i="113"/>
  <c r="C9" i="113"/>
  <c r="I8" i="113"/>
  <c r="G8" i="113"/>
  <c r="E8" i="113"/>
  <c r="C8" i="113"/>
  <c r="K7" i="113"/>
  <c r="AA6" i="113"/>
  <c r="Y6" i="113"/>
  <c r="W6" i="113"/>
  <c r="U6" i="113"/>
  <c r="I5" i="113"/>
  <c r="I34" i="113" s="1"/>
  <c r="G5" i="113"/>
  <c r="E5" i="113"/>
  <c r="E34" i="113" s="1"/>
  <c r="C5" i="113"/>
  <c r="AC7" i="113"/>
  <c r="AC6" i="113"/>
  <c r="U2" i="113" a="1"/>
  <c r="U2" i="113" s="1"/>
  <c r="A2" i="113"/>
  <c r="A58" i="113" s="1"/>
  <c r="C59" i="112"/>
  <c r="I57" i="112"/>
  <c r="G57" i="112"/>
  <c r="E57" i="112"/>
  <c r="C57" i="112"/>
  <c r="H51" i="112"/>
  <c r="I50" i="112"/>
  <c r="G50" i="112"/>
  <c r="E50" i="112"/>
  <c r="C50" i="112"/>
  <c r="I46" i="112"/>
  <c r="G46" i="112"/>
  <c r="E46" i="112"/>
  <c r="C46" i="112"/>
  <c r="I40" i="112"/>
  <c r="I51" i="112" s="1"/>
  <c r="I59" i="112" s="1"/>
  <c r="G40" i="112"/>
  <c r="G51" i="112" s="1"/>
  <c r="G59" i="112" s="1"/>
  <c r="E40" i="112"/>
  <c r="E51" i="112" s="1"/>
  <c r="E59" i="112" s="1"/>
  <c r="C40" i="112"/>
  <c r="C51" i="112" s="1"/>
  <c r="H31" i="112"/>
  <c r="I30" i="112"/>
  <c r="G30" i="112"/>
  <c r="E30" i="112"/>
  <c r="C30" i="112"/>
  <c r="I25" i="112"/>
  <c r="G25" i="112"/>
  <c r="E25" i="112"/>
  <c r="C25" i="112"/>
  <c r="I14" i="112"/>
  <c r="I31" i="112" s="1"/>
  <c r="G14" i="112"/>
  <c r="G31" i="112" s="1"/>
  <c r="H57" i="112" s="1"/>
  <c r="E14" i="112"/>
  <c r="E31" i="112" s="1"/>
  <c r="F37" i="112" s="1"/>
  <c r="C14" i="112"/>
  <c r="C31" i="112" s="1"/>
  <c r="D25" i="112" s="1"/>
  <c r="F10" i="112"/>
  <c r="I6" i="112"/>
  <c r="G6" i="112"/>
  <c r="E6" i="112"/>
  <c r="C6" i="112"/>
  <c r="I5" i="112"/>
  <c r="G5" i="112"/>
  <c r="E5" i="112"/>
  <c r="C5" i="112"/>
  <c r="I4" i="112"/>
  <c r="G4" i="112"/>
  <c r="E4" i="112"/>
  <c r="C4" i="112"/>
  <c r="E3" i="112"/>
  <c r="C3" i="112"/>
  <c r="A2" i="112"/>
  <c r="A61" i="112" s="1"/>
  <c r="B66" i="111"/>
  <c r="K63" i="111"/>
  <c r="E63" i="111"/>
  <c r="K61" i="111"/>
  <c r="K60" i="111"/>
  <c r="E60" i="111"/>
  <c r="J58" i="111"/>
  <c r="H58" i="111"/>
  <c r="F58" i="111"/>
  <c r="E58" i="111"/>
  <c r="D58" i="111"/>
  <c r="K56" i="111"/>
  <c r="K55" i="111"/>
  <c r="K54" i="111"/>
  <c r="E52" i="111"/>
  <c r="K50" i="111"/>
  <c r="J50" i="111"/>
  <c r="H50" i="111"/>
  <c r="F50" i="111"/>
  <c r="D50" i="111"/>
  <c r="K49" i="111"/>
  <c r="K48" i="111"/>
  <c r="K46" i="111"/>
  <c r="K45" i="111"/>
  <c r="K44" i="111"/>
  <c r="K42" i="111"/>
  <c r="K41" i="111"/>
  <c r="K40" i="111"/>
  <c r="G39" i="111"/>
  <c r="K38" i="111"/>
  <c r="K37" i="111"/>
  <c r="K36" i="111"/>
  <c r="G36" i="111"/>
  <c r="K34" i="111"/>
  <c r="G34" i="111"/>
  <c r="K33" i="111"/>
  <c r="K32" i="111"/>
  <c r="G32" i="111"/>
  <c r="K30" i="111"/>
  <c r="G30" i="111"/>
  <c r="K29" i="111"/>
  <c r="K28" i="111"/>
  <c r="G27" i="111"/>
  <c r="K26" i="111"/>
  <c r="K20" i="111"/>
  <c r="J20" i="111"/>
  <c r="J52" i="111" s="1"/>
  <c r="G20" i="111"/>
  <c r="E20" i="111"/>
  <c r="M19" i="111"/>
  <c r="K19" i="111"/>
  <c r="J19" i="111"/>
  <c r="H19" i="111"/>
  <c r="F19" i="111"/>
  <c r="D19" i="111"/>
  <c r="K18" i="111"/>
  <c r="J18" i="111"/>
  <c r="K58" i="111" s="1"/>
  <c r="H18" i="111"/>
  <c r="I58" i="111" s="1"/>
  <c r="G18" i="111"/>
  <c r="F18" i="111"/>
  <c r="D18" i="111"/>
  <c r="K17" i="111"/>
  <c r="J17" i="111"/>
  <c r="H17" i="111"/>
  <c r="F17" i="111"/>
  <c r="D17" i="111"/>
  <c r="K16" i="111"/>
  <c r="E16" i="111"/>
  <c r="K15" i="111"/>
  <c r="I15" i="111"/>
  <c r="E15" i="111"/>
  <c r="K14" i="111"/>
  <c r="J14" i="111"/>
  <c r="H14" i="111"/>
  <c r="F14" i="111"/>
  <c r="D14" i="111"/>
  <c r="K13" i="111"/>
  <c r="E13" i="111"/>
  <c r="K12" i="111"/>
  <c r="E12" i="111"/>
  <c r="K11" i="111"/>
  <c r="J11" i="111"/>
  <c r="H11" i="111"/>
  <c r="F11" i="111"/>
  <c r="D11" i="111"/>
  <c r="K10" i="111"/>
  <c r="E10" i="111"/>
  <c r="K9" i="111"/>
  <c r="I9" i="111"/>
  <c r="E9" i="111"/>
  <c r="H4" i="111"/>
  <c r="F4" i="111"/>
  <c r="E3" i="113" s="1"/>
  <c r="Q34" i="110"/>
  <c r="O34" i="110"/>
  <c r="M34" i="110"/>
  <c r="K34" i="110"/>
  <c r="I11" i="110"/>
  <c r="I18" i="110" s="1"/>
  <c r="G11" i="110"/>
  <c r="G18" i="110" s="1"/>
  <c r="E11" i="110"/>
  <c r="E18" i="110" s="1"/>
  <c r="C11" i="110"/>
  <c r="C18" i="110" s="1"/>
  <c r="I9" i="110"/>
  <c r="G9" i="110"/>
  <c r="E9" i="110"/>
  <c r="C9" i="110"/>
  <c r="I8" i="110"/>
  <c r="G8" i="110"/>
  <c r="E8" i="110"/>
  <c r="C8" i="110"/>
  <c r="Q17" i="110"/>
  <c r="Q26" i="110" s="1"/>
  <c r="O17" i="110"/>
  <c r="O26" i="110" s="1"/>
  <c r="M17" i="110"/>
  <c r="M26" i="110" s="1"/>
  <c r="K7" i="110"/>
  <c r="K17" i="110" s="1"/>
  <c r="K26" i="110" s="1"/>
  <c r="AA6" i="110"/>
  <c r="Y6" i="110"/>
  <c r="W6" i="110"/>
  <c r="U6" i="110"/>
  <c r="I5" i="110"/>
  <c r="I34" i="110" s="1"/>
  <c r="G5" i="110"/>
  <c r="G34" i="110" s="1"/>
  <c r="E5" i="110"/>
  <c r="E34" i="110" s="1"/>
  <c r="C5" i="110"/>
  <c r="C34" i="110" s="1"/>
  <c r="AC6" i="110"/>
  <c r="U2" i="110" a="1"/>
  <c r="U2" i="110" s="1"/>
  <c r="A2" i="110"/>
  <c r="A58" i="110" s="1"/>
  <c r="I57" i="109"/>
  <c r="G57" i="109"/>
  <c r="E57" i="109"/>
  <c r="C57" i="109"/>
  <c r="I50" i="109"/>
  <c r="G50" i="109"/>
  <c r="E50" i="109"/>
  <c r="C50" i="109"/>
  <c r="I46" i="109"/>
  <c r="G46" i="109"/>
  <c r="E46" i="109"/>
  <c r="C46" i="109"/>
  <c r="I40" i="109"/>
  <c r="I51" i="109" s="1"/>
  <c r="I59" i="109" s="1"/>
  <c r="G40" i="109"/>
  <c r="G51" i="109" s="1"/>
  <c r="G59" i="109" s="1"/>
  <c r="E40" i="109"/>
  <c r="E51" i="109" s="1"/>
  <c r="E59" i="109" s="1"/>
  <c r="C40" i="109"/>
  <c r="C51" i="109" s="1"/>
  <c r="C59" i="109" s="1"/>
  <c r="I30" i="109"/>
  <c r="G30" i="109"/>
  <c r="E30" i="109"/>
  <c r="C30" i="109"/>
  <c r="I25" i="109"/>
  <c r="G25" i="109"/>
  <c r="E25" i="109"/>
  <c r="C25" i="109"/>
  <c r="I14" i="109"/>
  <c r="I31" i="109" s="1"/>
  <c r="G14" i="109"/>
  <c r="G31" i="109" s="1"/>
  <c r="E14" i="109"/>
  <c r="E31" i="109" s="1"/>
  <c r="C14" i="109"/>
  <c r="C31" i="109" s="1"/>
  <c r="I6" i="109"/>
  <c r="G6" i="109"/>
  <c r="E6" i="109"/>
  <c r="C6" i="109"/>
  <c r="I5" i="109"/>
  <c r="G5" i="109"/>
  <c r="E5" i="109"/>
  <c r="C5" i="109"/>
  <c r="I4" i="109"/>
  <c r="G4" i="109"/>
  <c r="E4" i="109"/>
  <c r="C4" i="109"/>
  <c r="C3" i="109"/>
  <c r="A2" i="109"/>
  <c r="A61" i="109" s="1"/>
  <c r="B66" i="108"/>
  <c r="E61" i="108"/>
  <c r="J58" i="108"/>
  <c r="H58" i="108"/>
  <c r="F58" i="108"/>
  <c r="D58" i="108"/>
  <c r="E57" i="108"/>
  <c r="E56" i="108"/>
  <c r="E55" i="108"/>
  <c r="E54" i="108"/>
  <c r="J50" i="108"/>
  <c r="H50" i="108"/>
  <c r="F50" i="108"/>
  <c r="D50" i="108"/>
  <c r="I49" i="108"/>
  <c r="E49" i="108"/>
  <c r="I48" i="108"/>
  <c r="E48" i="108"/>
  <c r="I47" i="108"/>
  <c r="E47" i="108"/>
  <c r="I46" i="108"/>
  <c r="E46" i="108"/>
  <c r="I45" i="108"/>
  <c r="E45" i="108"/>
  <c r="I44" i="108"/>
  <c r="E44" i="108"/>
  <c r="I43" i="108"/>
  <c r="E43" i="108"/>
  <c r="I42" i="108"/>
  <c r="E42" i="108"/>
  <c r="K41" i="108"/>
  <c r="I41" i="108"/>
  <c r="E41" i="108"/>
  <c r="K40" i="108"/>
  <c r="I40" i="108"/>
  <c r="E40" i="108"/>
  <c r="K39" i="108"/>
  <c r="I39" i="108"/>
  <c r="E39" i="108"/>
  <c r="K38" i="108"/>
  <c r="I38" i="108"/>
  <c r="E38" i="108"/>
  <c r="K37" i="108"/>
  <c r="I37" i="108"/>
  <c r="E37" i="108"/>
  <c r="K36" i="108"/>
  <c r="I36" i="108"/>
  <c r="E36" i="108"/>
  <c r="K35" i="108"/>
  <c r="I35" i="108"/>
  <c r="E35" i="108"/>
  <c r="K34" i="108"/>
  <c r="I34" i="108"/>
  <c r="E34" i="108"/>
  <c r="K33" i="108"/>
  <c r="I33" i="108"/>
  <c r="E33" i="108"/>
  <c r="K32" i="108"/>
  <c r="I32" i="108"/>
  <c r="E32" i="108"/>
  <c r="K31" i="108"/>
  <c r="I31" i="108"/>
  <c r="E31" i="108"/>
  <c r="K30" i="108"/>
  <c r="I30" i="108"/>
  <c r="E30" i="108"/>
  <c r="K29" i="108"/>
  <c r="I29" i="108"/>
  <c r="E29" i="108"/>
  <c r="K28" i="108"/>
  <c r="I28" i="108"/>
  <c r="E28" i="108"/>
  <c r="K27" i="108"/>
  <c r="I27" i="108"/>
  <c r="E27" i="108"/>
  <c r="K26" i="108"/>
  <c r="I26" i="108"/>
  <c r="E26" i="108"/>
  <c r="K20" i="108"/>
  <c r="J20" i="108"/>
  <c r="J60" i="108" s="1"/>
  <c r="H20" i="108"/>
  <c r="H60" i="108" s="1"/>
  <c r="G20" i="108"/>
  <c r="F20" i="108"/>
  <c r="F60" i="108" s="1"/>
  <c r="D20" i="108"/>
  <c r="D60" i="108" s="1"/>
  <c r="M19" i="108"/>
  <c r="K19" i="108"/>
  <c r="J19" i="108"/>
  <c r="I19" i="108"/>
  <c r="H19" i="108"/>
  <c r="G19" i="108"/>
  <c r="F19" i="108"/>
  <c r="E19" i="108"/>
  <c r="D19" i="108"/>
  <c r="K18" i="108"/>
  <c r="J18" i="108"/>
  <c r="K63" i="108" s="1"/>
  <c r="I18" i="108"/>
  <c r="H18" i="108"/>
  <c r="I61" i="108" s="1"/>
  <c r="G18" i="108"/>
  <c r="F18" i="108"/>
  <c r="G63" i="108" s="1"/>
  <c r="E18" i="108"/>
  <c r="D18" i="108"/>
  <c r="E63" i="108" s="1"/>
  <c r="K17" i="108"/>
  <c r="J17" i="108"/>
  <c r="I17" i="108"/>
  <c r="H17" i="108"/>
  <c r="G17" i="108"/>
  <c r="F17" i="108"/>
  <c r="E17" i="108"/>
  <c r="D17" i="108"/>
  <c r="K16" i="108"/>
  <c r="G16" i="108"/>
  <c r="E16" i="108"/>
  <c r="K15" i="108"/>
  <c r="G15" i="108"/>
  <c r="E15" i="108"/>
  <c r="K14" i="108"/>
  <c r="J14" i="108"/>
  <c r="I14" i="108"/>
  <c r="H14" i="108"/>
  <c r="G14" i="108"/>
  <c r="F14" i="108"/>
  <c r="E14" i="108"/>
  <c r="D14" i="108"/>
  <c r="K13" i="108"/>
  <c r="G13" i="108"/>
  <c r="E13" i="108"/>
  <c r="K12" i="108"/>
  <c r="G12" i="108"/>
  <c r="E12" i="108"/>
  <c r="K11" i="108"/>
  <c r="J11" i="108"/>
  <c r="I11" i="108"/>
  <c r="H11" i="108"/>
  <c r="G11" i="108"/>
  <c r="F11" i="108"/>
  <c r="E11" i="108"/>
  <c r="D11" i="108"/>
  <c r="K10" i="108"/>
  <c r="G10" i="108"/>
  <c r="E10" i="108"/>
  <c r="K9" i="108"/>
  <c r="G9" i="108"/>
  <c r="E9" i="108"/>
  <c r="F4" i="108"/>
  <c r="Q34" i="107"/>
  <c r="O34" i="107"/>
  <c r="M34" i="107"/>
  <c r="K34" i="107"/>
  <c r="I11" i="107"/>
  <c r="I18" i="107" s="1"/>
  <c r="G11" i="107"/>
  <c r="G18" i="107" s="1"/>
  <c r="E11" i="107"/>
  <c r="E18" i="107" s="1"/>
  <c r="C11" i="107"/>
  <c r="C18" i="107" s="1"/>
  <c r="M17" i="107"/>
  <c r="M26" i="107" s="1"/>
  <c r="I9" i="107"/>
  <c r="G9" i="107"/>
  <c r="E9" i="107"/>
  <c r="C9" i="107"/>
  <c r="I8" i="107"/>
  <c r="G8" i="107"/>
  <c r="E8" i="107"/>
  <c r="C8" i="107"/>
  <c r="O17" i="107"/>
  <c r="O26" i="107" s="1"/>
  <c r="K7" i="107"/>
  <c r="K17" i="107" s="1"/>
  <c r="K26" i="107" s="1"/>
  <c r="AA6" i="107"/>
  <c r="Y6" i="107"/>
  <c r="W6" i="107"/>
  <c r="U6" i="107"/>
  <c r="I5" i="107"/>
  <c r="I34" i="107" s="1"/>
  <c r="G5" i="107"/>
  <c r="G34" i="107" s="1"/>
  <c r="E5" i="107"/>
  <c r="E34" i="107" s="1"/>
  <c r="C5" i="107"/>
  <c r="C34" i="107" s="1"/>
  <c r="AC6" i="107"/>
  <c r="U2" i="107" a="1"/>
  <c r="U2" i="107" s="1"/>
  <c r="A2" i="107"/>
  <c r="A58" i="107" s="1"/>
  <c r="I57" i="106"/>
  <c r="G57" i="106"/>
  <c r="E57" i="106"/>
  <c r="C57" i="106"/>
  <c r="H55" i="106"/>
  <c r="H53" i="106"/>
  <c r="E51" i="106"/>
  <c r="E59" i="106" s="1"/>
  <c r="I50" i="106"/>
  <c r="G50" i="106"/>
  <c r="E50" i="106"/>
  <c r="C50" i="106"/>
  <c r="H49" i="106"/>
  <c r="I46" i="106"/>
  <c r="G46" i="106"/>
  <c r="E46" i="106"/>
  <c r="C46" i="106"/>
  <c r="H44" i="106"/>
  <c r="H42" i="106"/>
  <c r="I40" i="106"/>
  <c r="G40" i="106"/>
  <c r="G51" i="106" s="1"/>
  <c r="G59" i="106" s="1"/>
  <c r="E40" i="106"/>
  <c r="C40" i="106"/>
  <c r="C51" i="106" s="1"/>
  <c r="C59" i="106" s="1"/>
  <c r="H39" i="106"/>
  <c r="H37" i="106"/>
  <c r="H35" i="106"/>
  <c r="I30" i="106"/>
  <c r="I31" i="106" s="1"/>
  <c r="G30" i="106"/>
  <c r="E30" i="106"/>
  <c r="C30" i="106"/>
  <c r="H27" i="106"/>
  <c r="I25" i="106"/>
  <c r="H25" i="106"/>
  <c r="G25" i="106"/>
  <c r="E25" i="106"/>
  <c r="C25" i="106"/>
  <c r="H23" i="106"/>
  <c r="F22" i="106"/>
  <c r="H19" i="106"/>
  <c r="I14" i="106"/>
  <c r="G14" i="106"/>
  <c r="G31" i="106" s="1"/>
  <c r="H51" i="106" s="1"/>
  <c r="E14" i="106"/>
  <c r="E31" i="106" s="1"/>
  <c r="C14" i="106"/>
  <c r="F12" i="106"/>
  <c r="F11" i="106"/>
  <c r="F9" i="106"/>
  <c r="F8" i="106"/>
  <c r="I6" i="106"/>
  <c r="G6" i="106"/>
  <c r="E6" i="106"/>
  <c r="C6" i="106"/>
  <c r="I5" i="106"/>
  <c r="G5" i="106"/>
  <c r="E5" i="106"/>
  <c r="C5" i="106"/>
  <c r="I4" i="106"/>
  <c r="G4" i="106"/>
  <c r="E4" i="106"/>
  <c r="C4" i="106"/>
  <c r="C3" i="106"/>
  <c r="A2" i="106"/>
  <c r="A61" i="106" s="1"/>
  <c r="B66" i="105"/>
  <c r="K63" i="105"/>
  <c r="K61" i="105"/>
  <c r="K60" i="105"/>
  <c r="G60" i="105"/>
  <c r="J58" i="105"/>
  <c r="H58" i="105"/>
  <c r="G58" i="105"/>
  <c r="F58" i="105"/>
  <c r="D58" i="105"/>
  <c r="K57" i="105"/>
  <c r="K56" i="105"/>
  <c r="K54" i="105"/>
  <c r="K52" i="105"/>
  <c r="G52" i="105"/>
  <c r="K50" i="105"/>
  <c r="J50" i="105"/>
  <c r="H50" i="105"/>
  <c r="G50" i="105"/>
  <c r="F50" i="105"/>
  <c r="D50" i="105"/>
  <c r="K49" i="105"/>
  <c r="K48" i="105"/>
  <c r="K47" i="105"/>
  <c r="K46" i="105"/>
  <c r="K45" i="105"/>
  <c r="K44" i="105"/>
  <c r="K43" i="105"/>
  <c r="K42" i="105"/>
  <c r="K41" i="105"/>
  <c r="K40" i="105"/>
  <c r="K39" i="105"/>
  <c r="K38" i="105"/>
  <c r="K37" i="105"/>
  <c r="K36" i="105"/>
  <c r="K35" i="105"/>
  <c r="K34" i="105"/>
  <c r="K33" i="105"/>
  <c r="K32" i="105"/>
  <c r="K31" i="105"/>
  <c r="K30" i="105"/>
  <c r="K29" i="105"/>
  <c r="K28" i="105"/>
  <c r="K27" i="105"/>
  <c r="K26" i="105"/>
  <c r="K20" i="105"/>
  <c r="G20" i="105"/>
  <c r="M19" i="105"/>
  <c r="J19" i="105"/>
  <c r="H19" i="105"/>
  <c r="F19" i="105"/>
  <c r="D19" i="105"/>
  <c r="J18" i="105"/>
  <c r="H18" i="105"/>
  <c r="I15" i="105" s="1"/>
  <c r="F18" i="105"/>
  <c r="D18" i="105"/>
  <c r="J17" i="105"/>
  <c r="H17" i="105"/>
  <c r="F17" i="105"/>
  <c r="D17" i="105"/>
  <c r="G15" i="105"/>
  <c r="J14" i="105"/>
  <c r="H14" i="105"/>
  <c r="F14" i="105"/>
  <c r="D14" i="105"/>
  <c r="I13" i="105"/>
  <c r="G12" i="105"/>
  <c r="J11" i="105"/>
  <c r="H11" i="105"/>
  <c r="F11" i="105"/>
  <c r="D11" i="105"/>
  <c r="I10" i="105"/>
  <c r="G9" i="105"/>
  <c r="H4" i="105"/>
  <c r="G3" i="107" s="1"/>
  <c r="AC8" i="107" s="1"/>
  <c r="F4" i="105"/>
  <c r="E3" i="107" s="1"/>
  <c r="AC7" i="107" s="1"/>
  <c r="A58" i="104"/>
  <c r="Q34" i="104"/>
  <c r="O34" i="104"/>
  <c r="M34" i="104"/>
  <c r="K34" i="104"/>
  <c r="C34" i="104"/>
  <c r="K17" i="104"/>
  <c r="K26" i="104" s="1"/>
  <c r="I11" i="104"/>
  <c r="I18" i="104" s="1"/>
  <c r="G11" i="104"/>
  <c r="G18" i="104" s="1"/>
  <c r="E11" i="104"/>
  <c r="E18" i="104" s="1"/>
  <c r="C11" i="104"/>
  <c r="C18" i="104" s="1"/>
  <c r="I9" i="104"/>
  <c r="G9" i="104"/>
  <c r="E9" i="104"/>
  <c r="C9" i="104"/>
  <c r="O17" i="104"/>
  <c r="O26" i="104" s="1"/>
  <c r="I8" i="104"/>
  <c r="G8" i="104"/>
  <c r="E8" i="104"/>
  <c r="C8" i="104"/>
  <c r="Q17" i="104"/>
  <c r="Q26" i="104" s="1"/>
  <c r="M17" i="104"/>
  <c r="M26" i="104" s="1"/>
  <c r="K7" i="104"/>
  <c r="AA6" i="104"/>
  <c r="Y6" i="104"/>
  <c r="W6" i="104"/>
  <c r="U6" i="104"/>
  <c r="I5" i="104"/>
  <c r="I34" i="104" s="1"/>
  <c r="G5" i="104"/>
  <c r="G34" i="104" s="1"/>
  <c r="E5" i="104"/>
  <c r="E34" i="104" s="1"/>
  <c r="C5" i="104"/>
  <c r="AC6" i="104"/>
  <c r="U2" i="104" a="1"/>
  <c r="U2" i="104" s="1"/>
  <c r="A2" i="104"/>
  <c r="I57" i="103"/>
  <c r="G57" i="103"/>
  <c r="E57" i="103"/>
  <c r="C57" i="103"/>
  <c r="C51" i="103"/>
  <c r="C59" i="103" s="1"/>
  <c r="I50" i="103"/>
  <c r="G50" i="103"/>
  <c r="E50" i="103"/>
  <c r="C50" i="103"/>
  <c r="I46" i="103"/>
  <c r="G46" i="103"/>
  <c r="E46" i="103"/>
  <c r="C46" i="103"/>
  <c r="I40" i="103"/>
  <c r="I51" i="103" s="1"/>
  <c r="I59" i="103" s="1"/>
  <c r="G40" i="103"/>
  <c r="G51" i="103" s="1"/>
  <c r="G59" i="103" s="1"/>
  <c r="E40" i="103"/>
  <c r="E51" i="103" s="1"/>
  <c r="E59" i="103" s="1"/>
  <c r="C40" i="103"/>
  <c r="I30" i="103"/>
  <c r="G30" i="103"/>
  <c r="E30" i="103"/>
  <c r="C30" i="103"/>
  <c r="I25" i="103"/>
  <c r="G25" i="103"/>
  <c r="E25" i="103"/>
  <c r="C25" i="103"/>
  <c r="I14" i="103"/>
  <c r="I31" i="103" s="1"/>
  <c r="G14" i="103"/>
  <c r="G31" i="103" s="1"/>
  <c r="E14" i="103"/>
  <c r="E31" i="103" s="1"/>
  <c r="C14" i="103"/>
  <c r="C31" i="103" s="1"/>
  <c r="I6" i="103"/>
  <c r="G6" i="103"/>
  <c r="E6" i="103"/>
  <c r="C6" i="103"/>
  <c r="I5" i="103"/>
  <c r="G5" i="103"/>
  <c r="E5" i="103"/>
  <c r="C5" i="103"/>
  <c r="I4" i="103"/>
  <c r="G4" i="103"/>
  <c r="E4" i="103"/>
  <c r="C4" i="103"/>
  <c r="C3" i="103"/>
  <c r="A2" i="103"/>
  <c r="A61" i="103" s="1"/>
  <c r="B66" i="102"/>
  <c r="I63" i="102"/>
  <c r="E63" i="102"/>
  <c r="I61" i="102"/>
  <c r="E61" i="102"/>
  <c r="I60" i="102"/>
  <c r="E60" i="102"/>
  <c r="J58" i="102"/>
  <c r="I58" i="102"/>
  <c r="H58" i="102"/>
  <c r="F58" i="102"/>
  <c r="E58" i="102"/>
  <c r="D58" i="102"/>
  <c r="I57" i="102"/>
  <c r="E57" i="102"/>
  <c r="I56" i="102"/>
  <c r="E56" i="102"/>
  <c r="I55" i="102"/>
  <c r="E55" i="102"/>
  <c r="I54" i="102"/>
  <c r="E54" i="102"/>
  <c r="I52" i="102"/>
  <c r="E52" i="102"/>
  <c r="J50" i="102"/>
  <c r="I50" i="102"/>
  <c r="H50" i="102"/>
  <c r="F50" i="102"/>
  <c r="E50" i="102"/>
  <c r="D50" i="102"/>
  <c r="I49" i="102"/>
  <c r="E49" i="102"/>
  <c r="I48" i="102"/>
  <c r="E48" i="102"/>
  <c r="I47" i="102"/>
  <c r="E47" i="102"/>
  <c r="I46" i="102"/>
  <c r="E46" i="102"/>
  <c r="I45" i="102"/>
  <c r="E45" i="102"/>
  <c r="I44" i="102"/>
  <c r="E44" i="102"/>
  <c r="I43" i="102"/>
  <c r="E43" i="102"/>
  <c r="I42" i="102"/>
  <c r="E42" i="102"/>
  <c r="I41" i="102"/>
  <c r="E41" i="102"/>
  <c r="I40" i="102"/>
  <c r="E40" i="102"/>
  <c r="I39" i="102"/>
  <c r="E39" i="102"/>
  <c r="I38" i="102"/>
  <c r="E38" i="102"/>
  <c r="I37" i="102"/>
  <c r="E37" i="102"/>
  <c r="I36" i="102"/>
  <c r="E36" i="102"/>
  <c r="I35" i="102"/>
  <c r="E35" i="102"/>
  <c r="I34" i="102"/>
  <c r="E34" i="102"/>
  <c r="I33" i="102"/>
  <c r="E33" i="102"/>
  <c r="I32" i="102"/>
  <c r="E32" i="102"/>
  <c r="I31" i="102"/>
  <c r="E31" i="102"/>
  <c r="I30" i="102"/>
  <c r="E30" i="102"/>
  <c r="I29" i="102"/>
  <c r="E29" i="102"/>
  <c r="I28" i="102"/>
  <c r="E28" i="102"/>
  <c r="I27" i="102"/>
  <c r="E27" i="102"/>
  <c r="I26" i="102"/>
  <c r="E26" i="102"/>
  <c r="I20" i="102"/>
  <c r="H20" i="102"/>
  <c r="H60" i="102" s="1"/>
  <c r="E20" i="102"/>
  <c r="D20" i="102"/>
  <c r="D60" i="102" s="1"/>
  <c r="M19" i="102"/>
  <c r="J19" i="102"/>
  <c r="I19" i="102"/>
  <c r="H19" i="102"/>
  <c r="F19" i="102"/>
  <c r="E19" i="102"/>
  <c r="D19" i="102"/>
  <c r="J18" i="102"/>
  <c r="K63" i="102" s="1"/>
  <c r="I18" i="102"/>
  <c r="H18" i="102"/>
  <c r="F18" i="102"/>
  <c r="G63" i="102" s="1"/>
  <c r="E18" i="102"/>
  <c r="D18" i="102"/>
  <c r="J17" i="102"/>
  <c r="I17" i="102"/>
  <c r="H17" i="102"/>
  <c r="F17" i="102"/>
  <c r="E17" i="102"/>
  <c r="D17" i="102"/>
  <c r="I16" i="102"/>
  <c r="G16" i="102"/>
  <c r="E16" i="102"/>
  <c r="I15" i="102"/>
  <c r="G15" i="102"/>
  <c r="E15" i="102"/>
  <c r="J14" i="102"/>
  <c r="I14" i="102"/>
  <c r="H14" i="102"/>
  <c r="F14" i="102"/>
  <c r="E14" i="102"/>
  <c r="D14" i="102"/>
  <c r="I13" i="102"/>
  <c r="G13" i="102"/>
  <c r="E13" i="102"/>
  <c r="I12" i="102"/>
  <c r="G12" i="102"/>
  <c r="E12" i="102"/>
  <c r="J11" i="102"/>
  <c r="I11" i="102"/>
  <c r="H11" i="102"/>
  <c r="F11" i="102"/>
  <c r="E11" i="102"/>
  <c r="D11" i="102"/>
  <c r="I10" i="102"/>
  <c r="G10" i="102"/>
  <c r="E10" i="102"/>
  <c r="I9" i="102"/>
  <c r="G9" i="102"/>
  <c r="E9" i="102"/>
  <c r="F4" i="102"/>
  <c r="Q34" i="101"/>
  <c r="O34" i="101"/>
  <c r="M34" i="101"/>
  <c r="K34" i="101"/>
  <c r="E18" i="101"/>
  <c r="I11" i="101"/>
  <c r="I18" i="101" s="1"/>
  <c r="G11" i="101"/>
  <c r="G18" i="101" s="1"/>
  <c r="E11" i="101"/>
  <c r="C11" i="101"/>
  <c r="C18" i="101" s="1"/>
  <c r="M17" i="101"/>
  <c r="M26" i="101" s="1"/>
  <c r="O17" i="101"/>
  <c r="O26" i="101" s="1"/>
  <c r="I9" i="101"/>
  <c r="G9" i="101"/>
  <c r="E9" i="101"/>
  <c r="C9" i="101"/>
  <c r="I8" i="101"/>
  <c r="G8" i="101"/>
  <c r="E8" i="101"/>
  <c r="C8" i="101"/>
  <c r="K7" i="101"/>
  <c r="K17" i="101" s="1"/>
  <c r="K26" i="101" s="1"/>
  <c r="AA6" i="101"/>
  <c r="Y6" i="101"/>
  <c r="W6" i="101"/>
  <c r="U6" i="101"/>
  <c r="I5" i="101"/>
  <c r="I34" i="101" s="1"/>
  <c r="G5" i="101"/>
  <c r="G34" i="101" s="1"/>
  <c r="E5" i="101"/>
  <c r="E34" i="101" s="1"/>
  <c r="C5" i="101"/>
  <c r="C34" i="101" s="1"/>
  <c r="AC6" i="101"/>
  <c r="U2" i="101" a="1"/>
  <c r="U2" i="101" s="1"/>
  <c r="A2" i="101"/>
  <c r="A58" i="101" s="1"/>
  <c r="G59" i="100"/>
  <c r="C59" i="100"/>
  <c r="I57" i="100"/>
  <c r="G57" i="100"/>
  <c r="E57" i="100"/>
  <c r="C57" i="100"/>
  <c r="I50" i="100"/>
  <c r="G50" i="100"/>
  <c r="E50" i="100"/>
  <c r="C50" i="100"/>
  <c r="I46" i="100"/>
  <c r="G46" i="100"/>
  <c r="E46" i="100"/>
  <c r="C46" i="100"/>
  <c r="I40" i="100"/>
  <c r="I51" i="100" s="1"/>
  <c r="I59" i="100" s="1"/>
  <c r="G40" i="100"/>
  <c r="G51" i="100" s="1"/>
  <c r="E40" i="100"/>
  <c r="E51" i="100" s="1"/>
  <c r="E59" i="100" s="1"/>
  <c r="C40" i="100"/>
  <c r="C51" i="100" s="1"/>
  <c r="E31" i="100"/>
  <c r="I30" i="100"/>
  <c r="G30" i="100"/>
  <c r="E30" i="100"/>
  <c r="C30" i="100"/>
  <c r="I25" i="100"/>
  <c r="G25" i="100"/>
  <c r="E25" i="100"/>
  <c r="C25" i="100"/>
  <c r="D22" i="100"/>
  <c r="F19" i="100"/>
  <c r="I14" i="100"/>
  <c r="I31" i="100" s="1"/>
  <c r="G14" i="100"/>
  <c r="E14" i="100"/>
  <c r="C14" i="100"/>
  <c r="C31" i="100" s="1"/>
  <c r="D51" i="100" s="1"/>
  <c r="D13" i="100"/>
  <c r="D12" i="100"/>
  <c r="D11" i="100"/>
  <c r="D10" i="100"/>
  <c r="D9" i="100"/>
  <c r="D8" i="100"/>
  <c r="I6" i="100"/>
  <c r="G6" i="100"/>
  <c r="E6" i="100"/>
  <c r="C6" i="100"/>
  <c r="I5" i="100"/>
  <c r="G5" i="100"/>
  <c r="E5" i="100"/>
  <c r="C5" i="100"/>
  <c r="I4" i="100"/>
  <c r="G4" i="100"/>
  <c r="E4" i="100"/>
  <c r="C4" i="100"/>
  <c r="C3" i="100"/>
  <c r="A2" i="100"/>
  <c r="A61" i="100" s="1"/>
  <c r="B66" i="99"/>
  <c r="I61" i="99"/>
  <c r="G60" i="99"/>
  <c r="E60" i="99"/>
  <c r="J58" i="99"/>
  <c r="H58" i="99"/>
  <c r="F58" i="99"/>
  <c r="D58" i="99"/>
  <c r="I57" i="99"/>
  <c r="K56" i="99"/>
  <c r="G56" i="99"/>
  <c r="I55" i="99"/>
  <c r="K54" i="99"/>
  <c r="G54" i="99"/>
  <c r="J52" i="99"/>
  <c r="G52" i="99"/>
  <c r="E52" i="99"/>
  <c r="J50" i="99"/>
  <c r="H50" i="99"/>
  <c r="F50" i="99"/>
  <c r="D50" i="99"/>
  <c r="I49" i="99"/>
  <c r="K48" i="99"/>
  <c r="G48" i="99"/>
  <c r="I47" i="99"/>
  <c r="K46" i="99"/>
  <c r="G46" i="99"/>
  <c r="I45" i="99"/>
  <c r="K44" i="99"/>
  <c r="G44" i="99"/>
  <c r="I43" i="99"/>
  <c r="K42" i="99"/>
  <c r="G42" i="99"/>
  <c r="I41" i="99"/>
  <c r="K40" i="99"/>
  <c r="G40" i="99"/>
  <c r="I39" i="99"/>
  <c r="K38" i="99"/>
  <c r="G38" i="99"/>
  <c r="I37" i="99"/>
  <c r="K36" i="99"/>
  <c r="G36" i="99"/>
  <c r="I35" i="99"/>
  <c r="K34" i="99"/>
  <c r="G34" i="99"/>
  <c r="I33" i="99"/>
  <c r="K32" i="99"/>
  <c r="G32" i="99"/>
  <c r="I31" i="99"/>
  <c r="K30" i="99"/>
  <c r="G30" i="99"/>
  <c r="I29" i="99"/>
  <c r="K28" i="99"/>
  <c r="G28" i="99"/>
  <c r="I27" i="99"/>
  <c r="K26" i="99"/>
  <c r="G26" i="99"/>
  <c r="J20" i="99"/>
  <c r="J60" i="99" s="1"/>
  <c r="H20" i="99"/>
  <c r="F20" i="99"/>
  <c r="F60" i="99" s="1"/>
  <c r="D20" i="99"/>
  <c r="M19" i="99"/>
  <c r="K19" i="99"/>
  <c r="J19" i="99"/>
  <c r="I19" i="99"/>
  <c r="H19" i="99"/>
  <c r="G19" i="99"/>
  <c r="F19" i="99"/>
  <c r="E19" i="99"/>
  <c r="D19" i="99"/>
  <c r="K18" i="99"/>
  <c r="J18" i="99"/>
  <c r="K60" i="99" s="1"/>
  <c r="I18" i="99"/>
  <c r="H18" i="99"/>
  <c r="I63" i="99" s="1"/>
  <c r="G18" i="99"/>
  <c r="F18" i="99"/>
  <c r="G61" i="99" s="1"/>
  <c r="E18" i="99"/>
  <c r="D18" i="99"/>
  <c r="E50" i="99" s="1"/>
  <c r="K17" i="99"/>
  <c r="J17" i="99"/>
  <c r="I17" i="99"/>
  <c r="H17" i="99"/>
  <c r="G17" i="99"/>
  <c r="F17" i="99"/>
  <c r="E17" i="99"/>
  <c r="D17" i="99"/>
  <c r="K16" i="99"/>
  <c r="I16" i="99"/>
  <c r="G16" i="99"/>
  <c r="E16" i="99"/>
  <c r="K15" i="99"/>
  <c r="I15" i="99"/>
  <c r="G15" i="99"/>
  <c r="E15" i="99"/>
  <c r="K14" i="99"/>
  <c r="J14" i="99"/>
  <c r="I14" i="99"/>
  <c r="H14" i="99"/>
  <c r="G14" i="99"/>
  <c r="F14" i="99"/>
  <c r="E14" i="99"/>
  <c r="D14" i="99"/>
  <c r="K13" i="99"/>
  <c r="I13" i="99"/>
  <c r="G13" i="99"/>
  <c r="E13" i="99"/>
  <c r="K12" i="99"/>
  <c r="I12" i="99"/>
  <c r="G12" i="99"/>
  <c r="E12" i="99"/>
  <c r="K11" i="99"/>
  <c r="J11" i="99"/>
  <c r="I11" i="99"/>
  <c r="H11" i="99"/>
  <c r="G11" i="99"/>
  <c r="F11" i="99"/>
  <c r="E11" i="99"/>
  <c r="D11" i="99"/>
  <c r="K10" i="99"/>
  <c r="I10" i="99"/>
  <c r="G10" i="99"/>
  <c r="E10" i="99"/>
  <c r="K9" i="99"/>
  <c r="I9" i="99"/>
  <c r="G9" i="99"/>
  <c r="E9" i="99"/>
  <c r="F4" i="99"/>
  <c r="Q34" i="98"/>
  <c r="O34" i="98"/>
  <c r="M34" i="98"/>
  <c r="K34" i="98"/>
  <c r="I11" i="98"/>
  <c r="I18" i="98" s="1"/>
  <c r="G11" i="98"/>
  <c r="G18" i="98" s="1"/>
  <c r="E11" i="98"/>
  <c r="E18" i="98" s="1"/>
  <c r="C11" i="98"/>
  <c r="C18" i="98" s="1"/>
  <c r="M17" i="98"/>
  <c r="M26" i="98" s="1"/>
  <c r="I9" i="98"/>
  <c r="G9" i="98"/>
  <c r="E9" i="98"/>
  <c r="C9" i="98"/>
  <c r="I8" i="98"/>
  <c r="G8" i="98"/>
  <c r="E8" i="98"/>
  <c r="C8" i="98"/>
  <c r="O17" i="98"/>
  <c r="O26" i="98" s="1"/>
  <c r="K7" i="98"/>
  <c r="K17" i="98" s="1"/>
  <c r="K26" i="98" s="1"/>
  <c r="AA6" i="98"/>
  <c r="Y6" i="98"/>
  <c r="W6" i="98"/>
  <c r="U6" i="98"/>
  <c r="I5" i="98"/>
  <c r="G5" i="98"/>
  <c r="G34" i="98" s="1"/>
  <c r="E5" i="98"/>
  <c r="E34" i="98" s="1"/>
  <c r="C5" i="98"/>
  <c r="C34" i="98" s="1"/>
  <c r="AC6" i="98"/>
  <c r="U2" i="98" a="1"/>
  <c r="U2" i="98" s="1"/>
  <c r="A2" i="98"/>
  <c r="A58" i="98" s="1"/>
  <c r="D59" i="97"/>
  <c r="I57" i="97"/>
  <c r="G57" i="97"/>
  <c r="E57" i="97"/>
  <c r="D57" i="97"/>
  <c r="C57" i="97"/>
  <c r="H55" i="97"/>
  <c r="H53" i="97"/>
  <c r="E51" i="97"/>
  <c r="E59" i="97" s="1"/>
  <c r="I50" i="97"/>
  <c r="G50" i="97"/>
  <c r="E50" i="97"/>
  <c r="C50" i="97"/>
  <c r="H49" i="97"/>
  <c r="I46" i="97"/>
  <c r="G46" i="97"/>
  <c r="E46" i="97"/>
  <c r="D46" i="97"/>
  <c r="C46" i="97"/>
  <c r="H44" i="97"/>
  <c r="H42" i="97"/>
  <c r="I40" i="97"/>
  <c r="I51" i="97" s="1"/>
  <c r="I59" i="97" s="1"/>
  <c r="G40" i="97"/>
  <c r="G51" i="97" s="1"/>
  <c r="G59" i="97" s="1"/>
  <c r="E40" i="97"/>
  <c r="D40" i="97"/>
  <c r="C40" i="97"/>
  <c r="C51" i="97" s="1"/>
  <c r="C59" i="97" s="1"/>
  <c r="H39" i="97"/>
  <c r="H37" i="97"/>
  <c r="H35" i="97"/>
  <c r="D31" i="97"/>
  <c r="I30" i="97"/>
  <c r="G30" i="97"/>
  <c r="E30" i="97"/>
  <c r="D30" i="97"/>
  <c r="C30" i="97"/>
  <c r="H28" i="97"/>
  <c r="I25" i="97"/>
  <c r="G25" i="97"/>
  <c r="E25" i="97"/>
  <c r="D25" i="97"/>
  <c r="C25" i="97"/>
  <c r="H23" i="97"/>
  <c r="H21" i="97"/>
  <c r="H19" i="97"/>
  <c r="H17" i="97"/>
  <c r="I14" i="97"/>
  <c r="I31" i="97" s="1"/>
  <c r="G14" i="97"/>
  <c r="G31" i="97" s="1"/>
  <c r="H51" i="97" s="1"/>
  <c r="E14" i="97"/>
  <c r="E31" i="97" s="1"/>
  <c r="D14" i="97"/>
  <c r="C14" i="97"/>
  <c r="C31" i="97" s="1"/>
  <c r="D50" i="97" s="1"/>
  <c r="H13" i="97"/>
  <c r="H12" i="97"/>
  <c r="H10" i="97"/>
  <c r="H9" i="97"/>
  <c r="H8" i="97"/>
  <c r="I6" i="97"/>
  <c r="G6" i="97"/>
  <c r="E6" i="97"/>
  <c r="C6" i="97"/>
  <c r="I5" i="97"/>
  <c r="G5" i="97"/>
  <c r="E5" i="97"/>
  <c r="C5" i="97"/>
  <c r="I4" i="97"/>
  <c r="G4" i="97"/>
  <c r="E4" i="97"/>
  <c r="C4" i="97"/>
  <c r="C3" i="97"/>
  <c r="A2" i="97"/>
  <c r="A61" i="97" s="1"/>
  <c r="B66" i="96"/>
  <c r="K61" i="96"/>
  <c r="I60" i="96"/>
  <c r="J58" i="96"/>
  <c r="H58" i="96"/>
  <c r="F58" i="96"/>
  <c r="D58" i="96"/>
  <c r="E57" i="96"/>
  <c r="E56" i="96"/>
  <c r="E55" i="96"/>
  <c r="E54" i="96"/>
  <c r="J50" i="96"/>
  <c r="H50" i="96"/>
  <c r="F50" i="96"/>
  <c r="D50" i="96"/>
  <c r="E49" i="96"/>
  <c r="E48" i="96"/>
  <c r="E47" i="96"/>
  <c r="E46" i="96"/>
  <c r="E45" i="96"/>
  <c r="E44" i="96"/>
  <c r="E43" i="96"/>
  <c r="E42" i="96"/>
  <c r="E41" i="96"/>
  <c r="E40" i="96"/>
  <c r="E39" i="96"/>
  <c r="E38" i="96"/>
  <c r="E37" i="96"/>
  <c r="E36" i="96"/>
  <c r="E35" i="96"/>
  <c r="E34" i="96"/>
  <c r="E33" i="96"/>
  <c r="E32" i="96"/>
  <c r="E31" i="96"/>
  <c r="E30" i="96"/>
  <c r="E29" i="96"/>
  <c r="I28" i="96"/>
  <c r="E28" i="96"/>
  <c r="I27" i="96"/>
  <c r="E27" i="96"/>
  <c r="I26" i="96"/>
  <c r="E26" i="96"/>
  <c r="I20" i="96"/>
  <c r="H20" i="96"/>
  <c r="H52" i="96" s="1"/>
  <c r="E20" i="96"/>
  <c r="D20" i="96"/>
  <c r="D60" i="96" s="1"/>
  <c r="M19" i="96"/>
  <c r="J19" i="96"/>
  <c r="I19" i="96"/>
  <c r="H19" i="96"/>
  <c r="F19" i="96"/>
  <c r="E19" i="96"/>
  <c r="D19" i="96"/>
  <c r="J18" i="96"/>
  <c r="K58" i="96" s="1"/>
  <c r="I18" i="96"/>
  <c r="H18" i="96"/>
  <c r="I61" i="96" s="1"/>
  <c r="F18" i="96"/>
  <c r="G63" i="96" s="1"/>
  <c r="E18" i="96"/>
  <c r="D18" i="96"/>
  <c r="E63" i="96" s="1"/>
  <c r="J17" i="96"/>
  <c r="I17" i="96"/>
  <c r="H17" i="96"/>
  <c r="F17" i="96"/>
  <c r="E17" i="96"/>
  <c r="D17" i="96"/>
  <c r="K16" i="96"/>
  <c r="I16" i="96"/>
  <c r="G16" i="96"/>
  <c r="E16" i="96"/>
  <c r="K15" i="96"/>
  <c r="I15" i="96"/>
  <c r="G15" i="96"/>
  <c r="E15" i="96"/>
  <c r="K14" i="96"/>
  <c r="J14" i="96"/>
  <c r="I14" i="96"/>
  <c r="H14" i="96"/>
  <c r="G14" i="96"/>
  <c r="F14" i="96"/>
  <c r="E14" i="96"/>
  <c r="D14" i="96"/>
  <c r="K13" i="96"/>
  <c r="I13" i="96"/>
  <c r="G13" i="96"/>
  <c r="E13" i="96"/>
  <c r="K12" i="96"/>
  <c r="I12" i="96"/>
  <c r="G12" i="96"/>
  <c r="E12" i="96"/>
  <c r="K11" i="96"/>
  <c r="J11" i="96"/>
  <c r="I11" i="96"/>
  <c r="H11" i="96"/>
  <c r="G11" i="96"/>
  <c r="F11" i="96"/>
  <c r="E11" i="96"/>
  <c r="D11" i="96"/>
  <c r="K10" i="96"/>
  <c r="I10" i="96"/>
  <c r="G10" i="96"/>
  <c r="E10" i="96"/>
  <c r="K9" i="96"/>
  <c r="I9" i="96"/>
  <c r="G9" i="96"/>
  <c r="E9" i="96"/>
  <c r="F4" i="96"/>
  <c r="Q17" i="94"/>
  <c r="Q26" i="94" s="1"/>
  <c r="O17" i="94"/>
  <c r="O26" i="94" s="1"/>
  <c r="M17" i="94"/>
  <c r="M26" i="94" s="1"/>
  <c r="K7" i="94"/>
  <c r="K17" i="94" s="1"/>
  <c r="K26" i="94" s="1"/>
  <c r="Q17" i="91"/>
  <c r="Q26" i="91" s="1"/>
  <c r="O17" i="91"/>
  <c r="O26" i="91" s="1"/>
  <c r="M17" i="91"/>
  <c r="M26" i="91" s="1"/>
  <c r="K7" i="91"/>
  <c r="K17" i="91" s="1"/>
  <c r="K26" i="91" s="1"/>
  <c r="Q17" i="88"/>
  <c r="Q26" i="88" s="1"/>
  <c r="O17" i="88"/>
  <c r="O26" i="88" s="1"/>
  <c r="M17" i="88"/>
  <c r="M26" i="88" s="1"/>
  <c r="K7" i="88"/>
  <c r="K17" i="88" s="1"/>
  <c r="K26" i="88" s="1"/>
  <c r="Q17" i="85"/>
  <c r="Q26" i="85" s="1"/>
  <c r="O17" i="85"/>
  <c r="O26" i="85" s="1"/>
  <c r="M17" i="85"/>
  <c r="M26" i="85" s="1"/>
  <c r="K17" i="85"/>
  <c r="K26" i="85" s="1"/>
  <c r="Q17" i="83"/>
  <c r="Q26" i="83" s="1"/>
  <c r="O17" i="83"/>
  <c r="O26" i="83" s="1"/>
  <c r="M17" i="83"/>
  <c r="M26" i="83" s="1"/>
  <c r="K7" i="83"/>
  <c r="I64" i="95"/>
  <c r="G64" i="95"/>
  <c r="E64" i="95"/>
  <c r="C64" i="95"/>
  <c r="I6" i="95"/>
  <c r="I5" i="95"/>
  <c r="I4" i="95"/>
  <c r="G6" i="95"/>
  <c r="G5" i="95"/>
  <c r="G4" i="95"/>
  <c r="E6" i="95"/>
  <c r="E5" i="95"/>
  <c r="E4" i="95"/>
  <c r="C6" i="95"/>
  <c r="C5" i="95"/>
  <c r="C4" i="95"/>
  <c r="C3" i="95"/>
  <c r="I64" i="92"/>
  <c r="G64" i="92"/>
  <c r="E64" i="92"/>
  <c r="C64" i="92"/>
  <c r="I6" i="92"/>
  <c r="I5" i="92"/>
  <c r="I4" i="92"/>
  <c r="G6" i="92"/>
  <c r="G5" i="92"/>
  <c r="G4" i="92"/>
  <c r="E6" i="92"/>
  <c r="E5" i="92"/>
  <c r="E4" i="92"/>
  <c r="C6" i="92"/>
  <c r="C5" i="92"/>
  <c r="C4" i="92"/>
  <c r="C3" i="92"/>
  <c r="I64" i="89"/>
  <c r="G64" i="89"/>
  <c r="E64" i="89"/>
  <c r="C64" i="89"/>
  <c r="I6" i="89"/>
  <c r="I5" i="89"/>
  <c r="I4" i="89"/>
  <c r="G6" i="89"/>
  <c r="G5" i="89"/>
  <c r="G4" i="89"/>
  <c r="E6" i="89"/>
  <c r="E5" i="89"/>
  <c r="E4" i="89"/>
  <c r="C6" i="89"/>
  <c r="C5" i="89"/>
  <c r="C4" i="89"/>
  <c r="C3" i="89"/>
  <c r="I64" i="86"/>
  <c r="G64" i="86"/>
  <c r="E64" i="86"/>
  <c r="C64" i="86"/>
  <c r="I6" i="86"/>
  <c r="I5" i="86"/>
  <c r="I4" i="86"/>
  <c r="G6" i="86"/>
  <c r="G5" i="86"/>
  <c r="G4" i="86"/>
  <c r="E6" i="86"/>
  <c r="E5" i="86"/>
  <c r="E4" i="86"/>
  <c r="C6" i="86"/>
  <c r="C5" i="86"/>
  <c r="C4" i="86"/>
  <c r="C3" i="86"/>
  <c r="I64" i="82"/>
  <c r="G64" i="82"/>
  <c r="E64" i="82"/>
  <c r="C64" i="82"/>
  <c r="I6" i="82"/>
  <c r="I5" i="82"/>
  <c r="I4" i="82"/>
  <c r="G6" i="82"/>
  <c r="G5" i="82"/>
  <c r="G4" i="82"/>
  <c r="E6" i="82"/>
  <c r="E5" i="82"/>
  <c r="E4" i="82"/>
  <c r="C3" i="82"/>
  <c r="C6" i="82"/>
  <c r="C5" i="82"/>
  <c r="C4" i="82"/>
  <c r="I64" i="21"/>
  <c r="G64" i="21"/>
  <c r="E64" i="21"/>
  <c r="C64" i="21"/>
  <c r="I5" i="94"/>
  <c r="G5" i="94"/>
  <c r="E5" i="94"/>
  <c r="C5" i="94"/>
  <c r="I5" i="91"/>
  <c r="G5" i="91"/>
  <c r="E5" i="91"/>
  <c r="C5" i="91"/>
  <c r="I5" i="88"/>
  <c r="G5" i="88"/>
  <c r="E5" i="88"/>
  <c r="C5" i="88"/>
  <c r="I5" i="85"/>
  <c r="G5" i="85"/>
  <c r="E5" i="85"/>
  <c r="C5" i="85"/>
  <c r="I5" i="83"/>
  <c r="G5" i="83"/>
  <c r="E5" i="83"/>
  <c r="C5" i="83"/>
  <c r="I5" i="34"/>
  <c r="G5" i="34"/>
  <c r="E5" i="34"/>
  <c r="C5" i="34"/>
  <c r="I5" i="31"/>
  <c r="G5" i="31"/>
  <c r="E5" i="31"/>
  <c r="C5" i="31"/>
  <c r="I5" i="28"/>
  <c r="G5" i="28"/>
  <c r="E5" i="28"/>
  <c r="C5" i="28"/>
  <c r="I5" i="25"/>
  <c r="G5" i="25"/>
  <c r="E5" i="25"/>
  <c r="C5" i="25"/>
  <c r="I5" i="22"/>
  <c r="G5" i="22"/>
  <c r="E5" i="22"/>
  <c r="C5" i="22"/>
  <c r="E3" i="109" l="1"/>
  <c r="E3" i="110"/>
  <c r="AC7" i="110" s="1"/>
  <c r="E3" i="118"/>
  <c r="E3" i="119"/>
  <c r="AC7" i="119" s="1"/>
  <c r="H4" i="117"/>
  <c r="E3" i="103"/>
  <c r="E3" i="104"/>
  <c r="AC7" i="104" s="1"/>
  <c r="E3" i="106"/>
  <c r="G3" i="112"/>
  <c r="G3" i="113"/>
  <c r="AC8" i="113" s="1"/>
  <c r="H4" i="114"/>
  <c r="E3" i="116"/>
  <c r="AC7" i="116" s="1"/>
  <c r="E3" i="100"/>
  <c r="E3" i="101"/>
  <c r="AC7" i="101" s="1"/>
  <c r="E3" i="97"/>
  <c r="E3" i="98"/>
  <c r="AC7" i="98" s="1"/>
  <c r="M17" i="113"/>
  <c r="M26" i="113" s="1"/>
  <c r="Q34" i="113"/>
  <c r="K17" i="113"/>
  <c r="K26" i="113" s="1"/>
  <c r="K34" i="113"/>
  <c r="K41" i="113" s="1"/>
  <c r="M34" i="113"/>
  <c r="M51" i="113" s="1"/>
  <c r="O17" i="113"/>
  <c r="O26" i="113" s="1"/>
  <c r="O35" i="113" s="1"/>
  <c r="Q17" i="113"/>
  <c r="Q26" i="113" s="1"/>
  <c r="Q48" i="113" s="1"/>
  <c r="C34" i="119"/>
  <c r="E34" i="116"/>
  <c r="E56" i="116" s="1"/>
  <c r="O41" i="116"/>
  <c r="O46" i="116"/>
  <c r="Q46" i="116"/>
  <c r="Q56" i="116"/>
  <c r="Q51" i="116"/>
  <c r="I34" i="98"/>
  <c r="I51" i="98" s="1"/>
  <c r="D63" i="108"/>
  <c r="C7" i="110" s="1"/>
  <c r="C17" i="110" s="1"/>
  <c r="C26" i="110" s="1"/>
  <c r="C64" i="109"/>
  <c r="C76" i="109" s="1"/>
  <c r="I64" i="109"/>
  <c r="J63" i="108"/>
  <c r="I7" i="110" s="1"/>
  <c r="I17" i="110" s="1"/>
  <c r="I26" i="110" s="1"/>
  <c r="H59" i="109"/>
  <c r="G58" i="109"/>
  <c r="H56" i="109"/>
  <c r="H55" i="109"/>
  <c r="H54" i="109"/>
  <c r="H53" i="109"/>
  <c r="H49" i="109"/>
  <c r="H48" i="109"/>
  <c r="H45" i="109"/>
  <c r="H44" i="109"/>
  <c r="H43" i="109"/>
  <c r="H42" i="109"/>
  <c r="H39" i="109"/>
  <c r="H38" i="109"/>
  <c r="H37" i="109"/>
  <c r="H36" i="109"/>
  <c r="H35" i="109"/>
  <c r="H34" i="109"/>
  <c r="H29" i="109"/>
  <c r="H28" i="109"/>
  <c r="H27" i="109"/>
  <c r="H24" i="109"/>
  <c r="H23" i="109"/>
  <c r="H22" i="109"/>
  <c r="H21" i="109"/>
  <c r="H20" i="109"/>
  <c r="H19" i="109"/>
  <c r="H18" i="109"/>
  <c r="H17" i="109"/>
  <c r="H16" i="109"/>
  <c r="H13" i="109"/>
  <c r="H12" i="109"/>
  <c r="H11" i="109"/>
  <c r="H10" i="109"/>
  <c r="H9" i="109"/>
  <c r="H8" i="109"/>
  <c r="H57" i="109"/>
  <c r="H51" i="109"/>
  <c r="H50" i="109"/>
  <c r="H46" i="109"/>
  <c r="H40" i="109"/>
  <c r="H31" i="109"/>
  <c r="H30" i="109"/>
  <c r="H25" i="109"/>
  <c r="H14" i="109"/>
  <c r="G60" i="109"/>
  <c r="C46" i="110"/>
  <c r="C56" i="110"/>
  <c r="C41" i="110"/>
  <c r="C36" i="110"/>
  <c r="C51" i="110"/>
  <c r="K53" i="110"/>
  <c r="K43" i="110"/>
  <c r="K48" i="110"/>
  <c r="K38" i="110"/>
  <c r="K35" i="110"/>
  <c r="K56" i="110"/>
  <c r="K51" i="110"/>
  <c r="K46" i="110"/>
  <c r="K41" i="110"/>
  <c r="K36" i="110"/>
  <c r="E64" i="109"/>
  <c r="F63" i="108"/>
  <c r="E7" i="110" s="1"/>
  <c r="E17" i="110" s="1"/>
  <c r="E26" i="110" s="1"/>
  <c r="I60" i="109"/>
  <c r="J59" i="109"/>
  <c r="J58" i="109"/>
  <c r="I58" i="109"/>
  <c r="J57" i="109"/>
  <c r="J56" i="109"/>
  <c r="J55" i="109"/>
  <c r="J54" i="109"/>
  <c r="J53" i="109"/>
  <c r="J51" i="109"/>
  <c r="J50" i="109"/>
  <c r="J49" i="109"/>
  <c r="J48" i="109"/>
  <c r="J46" i="109"/>
  <c r="J45" i="109"/>
  <c r="J44" i="109"/>
  <c r="J43" i="109"/>
  <c r="J42" i="109"/>
  <c r="J40" i="109"/>
  <c r="J39" i="109"/>
  <c r="J38" i="109"/>
  <c r="J37" i="109"/>
  <c r="J36" i="109"/>
  <c r="J35" i="109"/>
  <c r="J34" i="109"/>
  <c r="J31" i="109"/>
  <c r="J30" i="109"/>
  <c r="J29" i="109"/>
  <c r="J28" i="109"/>
  <c r="J27" i="109"/>
  <c r="J25" i="109"/>
  <c r="J24" i="109"/>
  <c r="J23" i="109"/>
  <c r="J22" i="109"/>
  <c r="J21" i="109"/>
  <c r="J20" i="109"/>
  <c r="J19" i="109"/>
  <c r="J18" i="109"/>
  <c r="J17" i="109"/>
  <c r="J16" i="109"/>
  <c r="J14" i="109"/>
  <c r="J13" i="109"/>
  <c r="J12" i="109"/>
  <c r="J11" i="109"/>
  <c r="J10" i="109"/>
  <c r="J9" i="109"/>
  <c r="J8" i="109"/>
  <c r="E56" i="110"/>
  <c r="E51" i="110"/>
  <c r="E46" i="110"/>
  <c r="E41" i="110"/>
  <c r="E36" i="110"/>
  <c r="M53" i="110"/>
  <c r="M48" i="110"/>
  <c r="M43" i="110"/>
  <c r="M38" i="110"/>
  <c r="M35" i="110"/>
  <c r="M56" i="110"/>
  <c r="M51" i="110"/>
  <c r="M46" i="110"/>
  <c r="M41" i="110"/>
  <c r="M36" i="110"/>
  <c r="D59" i="109"/>
  <c r="C60" i="109"/>
  <c r="D57" i="109"/>
  <c r="D51" i="109"/>
  <c r="D50" i="109"/>
  <c r="D46" i="109"/>
  <c r="D40" i="109"/>
  <c r="D31" i="109"/>
  <c r="D30" i="109"/>
  <c r="D25" i="109"/>
  <c r="D14" i="109"/>
  <c r="C58" i="109"/>
  <c r="D56" i="109"/>
  <c r="D55" i="109"/>
  <c r="D54" i="109"/>
  <c r="D53" i="109"/>
  <c r="D49" i="109"/>
  <c r="D48" i="109"/>
  <c r="D45" i="109"/>
  <c r="D44" i="109"/>
  <c r="D43" i="109"/>
  <c r="D42" i="109"/>
  <c r="D39" i="109"/>
  <c r="D38" i="109"/>
  <c r="D37" i="109"/>
  <c r="D36" i="109"/>
  <c r="D35" i="109"/>
  <c r="D34" i="109"/>
  <c r="D29" i="109"/>
  <c r="D28" i="109"/>
  <c r="D27" i="109"/>
  <c r="D24" i="109"/>
  <c r="D23" i="109"/>
  <c r="D22" i="109"/>
  <c r="D21" i="109"/>
  <c r="D20" i="109"/>
  <c r="D19" i="109"/>
  <c r="D18" i="109"/>
  <c r="D17" i="109"/>
  <c r="D16" i="109"/>
  <c r="D13" i="109"/>
  <c r="D12" i="109"/>
  <c r="D11" i="109"/>
  <c r="D10" i="109"/>
  <c r="D9" i="109"/>
  <c r="D8" i="109"/>
  <c r="G46" i="110"/>
  <c r="G41" i="110"/>
  <c r="G36" i="110"/>
  <c r="G56" i="110"/>
  <c r="G51" i="110"/>
  <c r="O53" i="110"/>
  <c r="O48" i="110"/>
  <c r="O38" i="110"/>
  <c r="O35" i="110"/>
  <c r="O43" i="110"/>
  <c r="O51" i="110"/>
  <c r="O36" i="110"/>
  <c r="O46" i="110"/>
  <c r="O41" i="110"/>
  <c r="O56" i="110"/>
  <c r="H63" i="108"/>
  <c r="G7" i="110" s="1"/>
  <c r="G17" i="110" s="1"/>
  <c r="G26" i="110" s="1"/>
  <c r="G64" i="109"/>
  <c r="E60" i="109"/>
  <c r="E58" i="109"/>
  <c r="F56" i="109"/>
  <c r="F55" i="109"/>
  <c r="F54" i="109"/>
  <c r="F53" i="109"/>
  <c r="F49" i="109"/>
  <c r="F48" i="109"/>
  <c r="F45" i="109"/>
  <c r="F44" i="109"/>
  <c r="F43" i="109"/>
  <c r="F42" i="109"/>
  <c r="F39" i="109"/>
  <c r="F38" i="109"/>
  <c r="F37" i="109"/>
  <c r="F36" i="109"/>
  <c r="F35" i="109"/>
  <c r="F34" i="109"/>
  <c r="F29" i="109"/>
  <c r="F28" i="109"/>
  <c r="F27" i="109"/>
  <c r="F24" i="109"/>
  <c r="F23" i="109"/>
  <c r="F22" i="109"/>
  <c r="F21" i="109"/>
  <c r="F20" i="109"/>
  <c r="F19" i="109"/>
  <c r="F18" i="109"/>
  <c r="F17" i="109"/>
  <c r="F16" i="109"/>
  <c r="F13" i="109"/>
  <c r="F12" i="109"/>
  <c r="F11" i="109"/>
  <c r="F10" i="109"/>
  <c r="F9" i="109"/>
  <c r="F8" i="109"/>
  <c r="F59" i="109"/>
  <c r="F57" i="109"/>
  <c r="F51" i="109"/>
  <c r="F50" i="109"/>
  <c r="F46" i="109"/>
  <c r="F40" i="109"/>
  <c r="F31" i="109"/>
  <c r="F30" i="109"/>
  <c r="F25" i="109"/>
  <c r="F14" i="109"/>
  <c r="I56" i="110"/>
  <c r="I51" i="110"/>
  <c r="I46" i="110"/>
  <c r="I41" i="110"/>
  <c r="I36" i="110"/>
  <c r="Q48" i="110"/>
  <c r="Q43" i="110"/>
  <c r="Q53" i="110"/>
  <c r="Q38" i="110"/>
  <c r="Q35" i="110"/>
  <c r="Q46" i="110"/>
  <c r="Q41" i="110"/>
  <c r="Q56" i="110"/>
  <c r="Q51" i="110"/>
  <c r="Q36" i="110"/>
  <c r="H4" i="108"/>
  <c r="G3" i="110" s="1"/>
  <c r="AC8" i="110" s="1"/>
  <c r="I9" i="108"/>
  <c r="I10" i="108"/>
  <c r="I12" i="108"/>
  <c r="I13" i="108"/>
  <c r="I15" i="108"/>
  <c r="I16" i="108"/>
  <c r="E20" i="108"/>
  <c r="I20" i="108"/>
  <c r="G26" i="108"/>
  <c r="G27" i="108"/>
  <c r="G28" i="108"/>
  <c r="G29" i="108"/>
  <c r="G30" i="108"/>
  <c r="G31" i="108"/>
  <c r="G32" i="108"/>
  <c r="G33" i="108"/>
  <c r="G34" i="108"/>
  <c r="G35" i="108"/>
  <c r="G36" i="108"/>
  <c r="G37" i="108"/>
  <c r="G38" i="108"/>
  <c r="G39" i="108"/>
  <c r="G40" i="108"/>
  <c r="G41" i="108"/>
  <c r="G42" i="108"/>
  <c r="G43" i="108"/>
  <c r="G44" i="108"/>
  <c r="G45" i="108"/>
  <c r="G46" i="108"/>
  <c r="G47" i="108"/>
  <c r="G48" i="108"/>
  <c r="G49" i="108"/>
  <c r="E50" i="108"/>
  <c r="I50" i="108"/>
  <c r="E52" i="108"/>
  <c r="I52" i="108"/>
  <c r="G54" i="108"/>
  <c r="G55" i="108"/>
  <c r="G56" i="108"/>
  <c r="G57" i="108"/>
  <c r="E58" i="108"/>
  <c r="I58" i="108"/>
  <c r="E60" i="108"/>
  <c r="I60" i="108"/>
  <c r="G61" i="108"/>
  <c r="I63" i="108"/>
  <c r="J4" i="111"/>
  <c r="I12" i="111"/>
  <c r="G16" i="111"/>
  <c r="G15" i="111"/>
  <c r="G13" i="111"/>
  <c r="G12" i="111"/>
  <c r="G10" i="111"/>
  <c r="G9" i="111"/>
  <c r="G63" i="111"/>
  <c r="G58" i="111"/>
  <c r="G55" i="111"/>
  <c r="G49" i="111"/>
  <c r="G45" i="111"/>
  <c r="G41" i="111"/>
  <c r="G37" i="111"/>
  <c r="G33" i="111"/>
  <c r="G29" i="111"/>
  <c r="G19" i="111"/>
  <c r="G17" i="111"/>
  <c r="G14" i="111"/>
  <c r="G11" i="111"/>
  <c r="F20" i="111"/>
  <c r="G26" i="111"/>
  <c r="G28" i="111"/>
  <c r="I31" i="111"/>
  <c r="I33" i="111"/>
  <c r="G35" i="111"/>
  <c r="I40" i="111"/>
  <c r="G42" i="111"/>
  <c r="G44" i="111"/>
  <c r="I47" i="111"/>
  <c r="I49" i="111"/>
  <c r="G50" i="111"/>
  <c r="G54" i="111"/>
  <c r="I57" i="111"/>
  <c r="G61" i="111"/>
  <c r="I63" i="111"/>
  <c r="F9" i="112"/>
  <c r="F17" i="112"/>
  <c r="F27" i="112"/>
  <c r="F52" i="108"/>
  <c r="J52" i="108"/>
  <c r="I54" i="108"/>
  <c r="I55" i="108"/>
  <c r="I56" i="108"/>
  <c r="I57" i="108"/>
  <c r="I28" i="111"/>
  <c r="I35" i="111"/>
  <c r="I37" i="111"/>
  <c r="I44" i="111"/>
  <c r="G46" i="111"/>
  <c r="G48" i="111"/>
  <c r="G52" i="111"/>
  <c r="I54" i="111"/>
  <c r="G56" i="111"/>
  <c r="G60" i="111"/>
  <c r="F59" i="112"/>
  <c r="F57" i="112"/>
  <c r="F51" i="112"/>
  <c r="F50" i="112"/>
  <c r="F46" i="112"/>
  <c r="E60" i="112"/>
  <c r="F56" i="112"/>
  <c r="E58" i="112"/>
  <c r="F55" i="112"/>
  <c r="F48" i="112"/>
  <c r="F44" i="112"/>
  <c r="F31" i="112"/>
  <c r="F25" i="112"/>
  <c r="F54" i="112"/>
  <c r="F43" i="112"/>
  <c r="F38" i="112"/>
  <c r="F36" i="112"/>
  <c r="F34" i="112"/>
  <c r="F28" i="112"/>
  <c r="F24" i="112"/>
  <c r="F22" i="112"/>
  <c r="F20" i="112"/>
  <c r="F18" i="112"/>
  <c r="F16" i="112"/>
  <c r="F12" i="112"/>
  <c r="F53" i="112"/>
  <c r="F42" i="112"/>
  <c r="F40" i="112"/>
  <c r="F30" i="112"/>
  <c r="F14" i="112"/>
  <c r="F19" i="112"/>
  <c r="F29" i="112"/>
  <c r="F39" i="112"/>
  <c r="M43" i="113"/>
  <c r="M38" i="113"/>
  <c r="M35" i="113"/>
  <c r="M53" i="113"/>
  <c r="M48" i="113"/>
  <c r="K42" i="108"/>
  <c r="K43" i="108"/>
  <c r="K44" i="108"/>
  <c r="K45" i="108"/>
  <c r="K46" i="108"/>
  <c r="K47" i="108"/>
  <c r="K48" i="108"/>
  <c r="K49" i="108"/>
  <c r="G50" i="108"/>
  <c r="K50" i="108"/>
  <c r="G52" i="108"/>
  <c r="K52" i="108"/>
  <c r="K54" i="108"/>
  <c r="K55" i="108"/>
  <c r="K56" i="108"/>
  <c r="K57" i="108"/>
  <c r="G58" i="108"/>
  <c r="K58" i="108"/>
  <c r="G60" i="108"/>
  <c r="K60" i="108"/>
  <c r="K61" i="108"/>
  <c r="H20" i="111"/>
  <c r="I19" i="111"/>
  <c r="I18" i="111"/>
  <c r="I17" i="111"/>
  <c r="I14" i="111"/>
  <c r="I11" i="111"/>
  <c r="I61" i="111"/>
  <c r="I60" i="111"/>
  <c r="I56" i="111"/>
  <c r="I50" i="111"/>
  <c r="I46" i="111"/>
  <c r="I42" i="111"/>
  <c r="I38" i="111"/>
  <c r="I34" i="111"/>
  <c r="I30" i="111"/>
  <c r="I26" i="111"/>
  <c r="I20" i="111"/>
  <c r="I16" i="111"/>
  <c r="I13" i="111"/>
  <c r="I10" i="111"/>
  <c r="I32" i="111"/>
  <c r="I39" i="111"/>
  <c r="I41" i="111"/>
  <c r="G43" i="111"/>
  <c r="I48" i="111"/>
  <c r="I52" i="111"/>
  <c r="J60" i="111"/>
  <c r="F11" i="112"/>
  <c r="F21" i="112"/>
  <c r="F45" i="112"/>
  <c r="O38" i="113"/>
  <c r="O43" i="113"/>
  <c r="D52" i="108"/>
  <c r="H52" i="108"/>
  <c r="I27" i="111"/>
  <c r="I29" i="111"/>
  <c r="G31" i="111"/>
  <c r="I36" i="111"/>
  <c r="G38" i="111"/>
  <c r="G40" i="111"/>
  <c r="I43" i="111"/>
  <c r="I45" i="111"/>
  <c r="G47" i="111"/>
  <c r="I55" i="111"/>
  <c r="G57" i="111"/>
  <c r="F8" i="112"/>
  <c r="F13" i="112"/>
  <c r="I60" i="112"/>
  <c r="J59" i="112"/>
  <c r="J58" i="112"/>
  <c r="I58" i="112"/>
  <c r="J57" i="112"/>
  <c r="J56" i="112"/>
  <c r="J55" i="112"/>
  <c r="J54" i="112"/>
  <c r="J53" i="112"/>
  <c r="J51" i="112"/>
  <c r="J50" i="112"/>
  <c r="J49" i="112"/>
  <c r="J48" i="112"/>
  <c r="J46" i="112"/>
  <c r="J45" i="112"/>
  <c r="J44" i="112"/>
  <c r="J43" i="112"/>
  <c r="J42" i="112"/>
  <c r="J40" i="112"/>
  <c r="J38" i="112"/>
  <c r="J36" i="112"/>
  <c r="J34" i="112"/>
  <c r="J28" i="112"/>
  <c r="J25" i="112"/>
  <c r="J24" i="112"/>
  <c r="J22" i="112"/>
  <c r="J20" i="112"/>
  <c r="J18" i="112"/>
  <c r="J16" i="112"/>
  <c r="J12" i="112"/>
  <c r="J10" i="112"/>
  <c r="J8" i="112"/>
  <c r="J39" i="112"/>
  <c r="J37" i="112"/>
  <c r="J35" i="112"/>
  <c r="J31" i="112"/>
  <c r="J30" i="112"/>
  <c r="J29" i="112"/>
  <c r="J27" i="112"/>
  <c r="J23" i="112"/>
  <c r="J21" i="112"/>
  <c r="J19" i="112"/>
  <c r="J17" i="112"/>
  <c r="J14" i="112"/>
  <c r="J13" i="112"/>
  <c r="J11" i="112"/>
  <c r="J9" i="112"/>
  <c r="F23" i="112"/>
  <c r="F35" i="112"/>
  <c r="F49" i="112"/>
  <c r="E61" i="111"/>
  <c r="E57" i="111"/>
  <c r="E56" i="111"/>
  <c r="E55" i="111"/>
  <c r="E54" i="111"/>
  <c r="E49" i="111"/>
  <c r="E48" i="111"/>
  <c r="E47" i="111"/>
  <c r="E46" i="111"/>
  <c r="E45" i="111"/>
  <c r="E44" i="111"/>
  <c r="E43" i="111"/>
  <c r="E42" i="111"/>
  <c r="E41" i="111"/>
  <c r="E40" i="111"/>
  <c r="E39" i="111"/>
  <c r="E38" i="111"/>
  <c r="E37" i="111"/>
  <c r="E36" i="111"/>
  <c r="E35" i="111"/>
  <c r="E34" i="111"/>
  <c r="E33" i="111"/>
  <c r="E32" i="111"/>
  <c r="E31" i="111"/>
  <c r="E30" i="111"/>
  <c r="E29" i="111"/>
  <c r="E28" i="111"/>
  <c r="E27" i="111"/>
  <c r="E26" i="111"/>
  <c r="D20" i="111"/>
  <c r="E19" i="111"/>
  <c r="E18" i="111"/>
  <c r="E17" i="111"/>
  <c r="E14" i="111"/>
  <c r="E11" i="111"/>
  <c r="K27" i="111"/>
  <c r="K31" i="111"/>
  <c r="K35" i="111"/>
  <c r="K39" i="111"/>
  <c r="K43" i="111"/>
  <c r="K47" i="111"/>
  <c r="E50" i="111"/>
  <c r="K52" i="111"/>
  <c r="K57" i="111"/>
  <c r="H25" i="112"/>
  <c r="H46" i="112"/>
  <c r="H50" i="112"/>
  <c r="G56" i="113"/>
  <c r="G51" i="113"/>
  <c r="G46" i="113"/>
  <c r="G41" i="113"/>
  <c r="G36" i="113"/>
  <c r="Q56" i="113"/>
  <c r="Q51" i="113"/>
  <c r="Q46" i="113"/>
  <c r="Q41" i="113"/>
  <c r="Q36" i="113"/>
  <c r="G60" i="115"/>
  <c r="H51" i="115"/>
  <c r="H50" i="115"/>
  <c r="H40" i="115"/>
  <c r="H55" i="115"/>
  <c r="H53" i="115"/>
  <c r="H49" i="115"/>
  <c r="H44" i="115"/>
  <c r="H42" i="115"/>
  <c r="H39" i="115"/>
  <c r="H37" i="115"/>
  <c r="H35" i="115"/>
  <c r="H28" i="115"/>
  <c r="H23" i="115"/>
  <c r="H21" i="115"/>
  <c r="H19" i="115"/>
  <c r="H17" i="115"/>
  <c r="H12" i="115"/>
  <c r="H10" i="115"/>
  <c r="H8" i="115"/>
  <c r="H57" i="115"/>
  <c r="H46" i="115"/>
  <c r="H31" i="115"/>
  <c r="H30" i="115"/>
  <c r="H25" i="115"/>
  <c r="H14" i="115"/>
  <c r="H20" i="115"/>
  <c r="H27" i="115"/>
  <c r="H34" i="115"/>
  <c r="H43" i="115"/>
  <c r="H56" i="115"/>
  <c r="E51" i="116"/>
  <c r="E36" i="116"/>
  <c r="E41" i="116"/>
  <c r="E46" i="116"/>
  <c r="M53" i="116"/>
  <c r="M48" i="116"/>
  <c r="M43" i="116"/>
  <c r="M38" i="116"/>
  <c r="M35" i="116"/>
  <c r="C58" i="112"/>
  <c r="D56" i="112"/>
  <c r="D55" i="112"/>
  <c r="D54" i="112"/>
  <c r="D53" i="112"/>
  <c r="D49" i="112"/>
  <c r="D48" i="112"/>
  <c r="D45" i="112"/>
  <c r="D44" i="112"/>
  <c r="D43" i="112"/>
  <c r="D42" i="112"/>
  <c r="D39" i="112"/>
  <c r="D38" i="112"/>
  <c r="D37" i="112"/>
  <c r="D36" i="112"/>
  <c r="D35" i="112"/>
  <c r="D34" i="112"/>
  <c r="D29" i="112"/>
  <c r="D28" i="112"/>
  <c r="D27" i="112"/>
  <c r="D24" i="112"/>
  <c r="D23" i="112"/>
  <c r="D22" i="112"/>
  <c r="D21" i="112"/>
  <c r="D20" i="112"/>
  <c r="D19" i="112"/>
  <c r="D18" i="112"/>
  <c r="D17" i="112"/>
  <c r="D16" i="112"/>
  <c r="D13" i="112"/>
  <c r="D12" i="112"/>
  <c r="D11" i="112"/>
  <c r="D10" i="112"/>
  <c r="D9" i="112"/>
  <c r="D8" i="112"/>
  <c r="D59" i="112"/>
  <c r="G60" i="112"/>
  <c r="H59" i="112"/>
  <c r="G58" i="112"/>
  <c r="H56" i="112"/>
  <c r="H55" i="112"/>
  <c r="H54" i="112"/>
  <c r="H53" i="112"/>
  <c r="H49" i="112"/>
  <c r="H48" i="112"/>
  <c r="H45" i="112"/>
  <c r="H44" i="112"/>
  <c r="H43" i="112"/>
  <c r="H42" i="112"/>
  <c r="H39" i="112"/>
  <c r="H38" i="112"/>
  <c r="H37" i="112"/>
  <c r="H36" i="112"/>
  <c r="H35" i="112"/>
  <c r="H34" i="112"/>
  <c r="H29" i="112"/>
  <c r="H28" i="112"/>
  <c r="H27" i="112"/>
  <c r="H24" i="112"/>
  <c r="H23" i="112"/>
  <c r="H22" i="112"/>
  <c r="H21" i="112"/>
  <c r="H20" i="112"/>
  <c r="H19" i="112"/>
  <c r="H18" i="112"/>
  <c r="H17" i="112"/>
  <c r="H16" i="112"/>
  <c r="H13" i="112"/>
  <c r="H12" i="112"/>
  <c r="H11" i="112"/>
  <c r="H10" i="112"/>
  <c r="H9" i="112"/>
  <c r="H8" i="112"/>
  <c r="D31" i="112"/>
  <c r="D46" i="112"/>
  <c r="D50" i="112"/>
  <c r="D57" i="112"/>
  <c r="C60" i="112"/>
  <c r="E56" i="113"/>
  <c r="E51" i="113"/>
  <c r="E46" i="113"/>
  <c r="E41" i="113"/>
  <c r="E36" i="113"/>
  <c r="K53" i="113"/>
  <c r="K48" i="113"/>
  <c r="K43" i="113"/>
  <c r="K38" i="113"/>
  <c r="I60" i="115"/>
  <c r="J59" i="115"/>
  <c r="J58" i="115"/>
  <c r="I58" i="115"/>
  <c r="J57" i="115"/>
  <c r="J56" i="115"/>
  <c r="J55" i="115"/>
  <c r="J54" i="115"/>
  <c r="J53" i="115"/>
  <c r="J51" i="115"/>
  <c r="J50" i="115"/>
  <c r="J49" i="115"/>
  <c r="J48" i="115"/>
  <c r="J46" i="115"/>
  <c r="J45" i="115"/>
  <c r="J44" i="115"/>
  <c r="J43" i="115"/>
  <c r="J42" i="115"/>
  <c r="J40" i="115"/>
  <c r="J39" i="115"/>
  <c r="J38" i="115"/>
  <c r="J37" i="115"/>
  <c r="J36" i="115"/>
  <c r="J35" i="115"/>
  <c r="J34" i="115"/>
  <c r="J31" i="115"/>
  <c r="J30" i="115"/>
  <c r="J29" i="115"/>
  <c r="J28" i="115"/>
  <c r="J27" i="115"/>
  <c r="J25" i="115"/>
  <c r="J24" i="115"/>
  <c r="J23" i="115"/>
  <c r="J22" i="115"/>
  <c r="J21" i="115"/>
  <c r="J20" i="115"/>
  <c r="J19" i="115"/>
  <c r="J18" i="115"/>
  <c r="J17" i="115"/>
  <c r="J16" i="115"/>
  <c r="J14" i="115"/>
  <c r="J13" i="115"/>
  <c r="J12" i="115"/>
  <c r="J11" i="115"/>
  <c r="J10" i="115"/>
  <c r="J9" i="115"/>
  <c r="J8" i="115"/>
  <c r="H22" i="115"/>
  <c r="H29" i="115"/>
  <c r="H36" i="115"/>
  <c r="H45" i="115"/>
  <c r="H59" i="115"/>
  <c r="D14" i="112"/>
  <c r="H14" i="112"/>
  <c r="D30" i="112"/>
  <c r="H30" i="112"/>
  <c r="D40" i="112"/>
  <c r="H40" i="112"/>
  <c r="D51" i="112"/>
  <c r="M36" i="113"/>
  <c r="H24" i="115"/>
  <c r="H38" i="115"/>
  <c r="G58" i="115"/>
  <c r="I56" i="113"/>
  <c r="I51" i="113"/>
  <c r="I46" i="113"/>
  <c r="I41" i="113"/>
  <c r="I36" i="113"/>
  <c r="C56" i="113"/>
  <c r="C51" i="113"/>
  <c r="C46" i="113"/>
  <c r="C41" i="113"/>
  <c r="C36" i="113"/>
  <c r="I61" i="114"/>
  <c r="I57" i="114"/>
  <c r="I56" i="114"/>
  <c r="I55" i="114"/>
  <c r="I54" i="114"/>
  <c r="I49" i="114"/>
  <c r="I48" i="114"/>
  <c r="I47" i="114"/>
  <c r="I46" i="114"/>
  <c r="I45" i="114"/>
  <c r="I44" i="114"/>
  <c r="I43" i="114"/>
  <c r="I42" i="114"/>
  <c r="I41" i="114"/>
  <c r="I40" i="114"/>
  <c r="I39" i="114"/>
  <c r="I38" i="114"/>
  <c r="I37" i="114"/>
  <c r="I36" i="114"/>
  <c r="I35" i="114"/>
  <c r="I34" i="114"/>
  <c r="I33" i="114"/>
  <c r="I32" i="114"/>
  <c r="I31" i="114"/>
  <c r="I30" i="114"/>
  <c r="I29" i="114"/>
  <c r="I28" i="114"/>
  <c r="I27" i="114"/>
  <c r="I26" i="114"/>
  <c r="I63" i="114"/>
  <c r="I60" i="114"/>
  <c r="I58" i="114"/>
  <c r="I52" i="114"/>
  <c r="I50" i="114"/>
  <c r="I20" i="114"/>
  <c r="I16" i="114"/>
  <c r="I15" i="114"/>
  <c r="I13" i="114"/>
  <c r="I12" i="114"/>
  <c r="I10" i="114"/>
  <c r="I9" i="114"/>
  <c r="I19" i="114"/>
  <c r="I17" i="114"/>
  <c r="I11" i="114"/>
  <c r="I18" i="114"/>
  <c r="I14" i="114"/>
  <c r="D60" i="114"/>
  <c r="H60" i="114"/>
  <c r="H11" i="115"/>
  <c r="H18" i="115"/>
  <c r="F59" i="115"/>
  <c r="F57" i="115"/>
  <c r="F51" i="115"/>
  <c r="F50" i="115"/>
  <c r="F46" i="115"/>
  <c r="F40" i="115"/>
  <c r="F31" i="115"/>
  <c r="F30" i="115"/>
  <c r="F25" i="115"/>
  <c r="F14" i="115"/>
  <c r="E58" i="115"/>
  <c r="F56" i="115"/>
  <c r="F54" i="115"/>
  <c r="F48" i="115"/>
  <c r="F45" i="115"/>
  <c r="F43" i="115"/>
  <c r="F38" i="115"/>
  <c r="F36" i="115"/>
  <c r="F34" i="115"/>
  <c r="F29" i="115"/>
  <c r="F27" i="115"/>
  <c r="F24" i="115"/>
  <c r="F22" i="115"/>
  <c r="F20" i="115"/>
  <c r="F18" i="115"/>
  <c r="F16" i="115"/>
  <c r="F13" i="115"/>
  <c r="F11" i="115"/>
  <c r="F9" i="115"/>
  <c r="E60" i="115"/>
  <c r="F55" i="115"/>
  <c r="F53" i="115"/>
  <c r="F49" i="115"/>
  <c r="F44" i="115"/>
  <c r="F42" i="115"/>
  <c r="F39" i="115"/>
  <c r="F37" i="115"/>
  <c r="F35" i="115"/>
  <c r="F28" i="115"/>
  <c r="F23" i="115"/>
  <c r="F21" i="115"/>
  <c r="F19" i="115"/>
  <c r="F17" i="115"/>
  <c r="F12" i="115"/>
  <c r="F10" i="115"/>
  <c r="F8" i="115"/>
  <c r="H48" i="115"/>
  <c r="H54" i="115"/>
  <c r="I56" i="116"/>
  <c r="I51" i="116"/>
  <c r="I46" i="116"/>
  <c r="I41" i="116"/>
  <c r="I36" i="116"/>
  <c r="O53" i="116"/>
  <c r="O48" i="116"/>
  <c r="O43" i="116"/>
  <c r="O38" i="116"/>
  <c r="O35" i="116"/>
  <c r="J52" i="117"/>
  <c r="J60" i="117"/>
  <c r="E63" i="114"/>
  <c r="E60" i="114"/>
  <c r="E58" i="114"/>
  <c r="E52" i="114"/>
  <c r="E50" i="114"/>
  <c r="E20" i="114"/>
  <c r="C58" i="115"/>
  <c r="D56" i="115"/>
  <c r="D55" i="115"/>
  <c r="D54" i="115"/>
  <c r="D53" i="115"/>
  <c r="D49" i="115"/>
  <c r="D48" i="115"/>
  <c r="D45" i="115"/>
  <c r="D44" i="115"/>
  <c r="D43" i="115"/>
  <c r="D42" i="115"/>
  <c r="D39" i="115"/>
  <c r="D38" i="115"/>
  <c r="D37" i="115"/>
  <c r="D36" i="115"/>
  <c r="D35" i="115"/>
  <c r="D34" i="115"/>
  <c r="D29" i="115"/>
  <c r="D28" i="115"/>
  <c r="D27" i="115"/>
  <c r="D24" i="115"/>
  <c r="D23" i="115"/>
  <c r="D22" i="115"/>
  <c r="D21" i="115"/>
  <c r="D20" i="115"/>
  <c r="D19" i="115"/>
  <c r="D18" i="115"/>
  <c r="D17" i="115"/>
  <c r="D16" i="115"/>
  <c r="D13" i="115"/>
  <c r="D12" i="115"/>
  <c r="D11" i="115"/>
  <c r="D10" i="115"/>
  <c r="D9" i="115"/>
  <c r="D8" i="115"/>
  <c r="D51" i="115"/>
  <c r="C60" i="115"/>
  <c r="C56" i="116"/>
  <c r="C51" i="116"/>
  <c r="C46" i="116"/>
  <c r="C41" i="116"/>
  <c r="C36" i="116"/>
  <c r="O56" i="113"/>
  <c r="O51" i="113"/>
  <c r="O46" i="113"/>
  <c r="O36" i="113"/>
  <c r="O41" i="113"/>
  <c r="J60" i="114"/>
  <c r="J52" i="114"/>
  <c r="I58" i="118"/>
  <c r="J57" i="118"/>
  <c r="J56" i="118"/>
  <c r="J55" i="118"/>
  <c r="J54" i="118"/>
  <c r="J53" i="118"/>
  <c r="J51" i="118"/>
  <c r="J50" i="118"/>
  <c r="J49" i="118"/>
  <c r="J48" i="118"/>
  <c r="J46" i="118"/>
  <c r="J45" i="118"/>
  <c r="J44" i="118"/>
  <c r="J43" i="118"/>
  <c r="J42" i="118"/>
  <c r="J40" i="118"/>
  <c r="J39" i="118"/>
  <c r="J38" i="118"/>
  <c r="J37" i="118"/>
  <c r="J36" i="118"/>
  <c r="J35" i="118"/>
  <c r="J34" i="118"/>
  <c r="J31" i="118"/>
  <c r="J30" i="118"/>
  <c r="J29" i="118"/>
  <c r="J28" i="118"/>
  <c r="J27" i="118"/>
  <c r="J25" i="118"/>
  <c r="J24" i="118"/>
  <c r="J23" i="118"/>
  <c r="J22" i="118"/>
  <c r="J21" i="118"/>
  <c r="J20" i="118"/>
  <c r="J19" i="118"/>
  <c r="J18" i="118"/>
  <c r="J17" i="118"/>
  <c r="J16" i="118"/>
  <c r="J14" i="118"/>
  <c r="J59" i="118"/>
  <c r="I60" i="118"/>
  <c r="J11" i="118"/>
  <c r="J12" i="118"/>
  <c r="J8" i="118"/>
  <c r="J58" i="118"/>
  <c r="J13" i="118"/>
  <c r="J9" i="118"/>
  <c r="K56" i="119"/>
  <c r="K51" i="119"/>
  <c r="K46" i="119"/>
  <c r="K41" i="119"/>
  <c r="K36" i="119"/>
  <c r="E56" i="119"/>
  <c r="E46" i="119"/>
  <c r="E36" i="119"/>
  <c r="E51" i="119"/>
  <c r="E41" i="119"/>
  <c r="F60" i="114"/>
  <c r="F52" i="114"/>
  <c r="E3" i="115"/>
  <c r="D31" i="115"/>
  <c r="G56" i="116"/>
  <c r="G51" i="116"/>
  <c r="G46" i="116"/>
  <c r="G41" i="116"/>
  <c r="G36" i="116"/>
  <c r="K17" i="116"/>
  <c r="K26" i="116" s="1"/>
  <c r="Q17" i="116"/>
  <c r="Q26" i="116" s="1"/>
  <c r="M56" i="116"/>
  <c r="M51" i="116"/>
  <c r="M46" i="116"/>
  <c r="M41" i="116"/>
  <c r="M36" i="116"/>
  <c r="O56" i="116"/>
  <c r="O51" i="116"/>
  <c r="O36" i="116"/>
  <c r="K58" i="117"/>
  <c r="K57" i="117"/>
  <c r="K52" i="117"/>
  <c r="K47" i="117"/>
  <c r="K43" i="117"/>
  <c r="K39" i="117"/>
  <c r="K35" i="117"/>
  <c r="K63" i="117"/>
  <c r="K54" i="117"/>
  <c r="K48" i="117"/>
  <c r="K44" i="117"/>
  <c r="K40" i="117"/>
  <c r="K36" i="117"/>
  <c r="K32" i="117"/>
  <c r="K31" i="117"/>
  <c r="K30" i="117"/>
  <c r="K29" i="117"/>
  <c r="K28" i="117"/>
  <c r="K27" i="117"/>
  <c r="K26" i="117"/>
  <c r="K20" i="117"/>
  <c r="K60" i="117"/>
  <c r="K55" i="117"/>
  <c r="K50" i="117"/>
  <c r="K49" i="117"/>
  <c r="K45" i="117"/>
  <c r="K41" i="117"/>
  <c r="K37" i="117"/>
  <c r="K33" i="117"/>
  <c r="K61" i="117"/>
  <c r="K42" i="117"/>
  <c r="K19" i="117"/>
  <c r="K17" i="117"/>
  <c r="K14" i="117"/>
  <c r="K11" i="117"/>
  <c r="K46" i="117"/>
  <c r="K15" i="117"/>
  <c r="K12" i="117"/>
  <c r="K9" i="117"/>
  <c r="K34" i="117"/>
  <c r="K18" i="117"/>
  <c r="K16" i="117"/>
  <c r="K13" i="117"/>
  <c r="K10" i="117"/>
  <c r="K38" i="117"/>
  <c r="J10" i="118"/>
  <c r="Q36" i="116"/>
  <c r="Q41" i="116"/>
  <c r="G63" i="117"/>
  <c r="G58" i="117"/>
  <c r="G55" i="117"/>
  <c r="G49" i="117"/>
  <c r="G45" i="117"/>
  <c r="G41" i="117"/>
  <c r="G37" i="117"/>
  <c r="G33" i="117"/>
  <c r="G16" i="117"/>
  <c r="G15" i="117"/>
  <c r="G13" i="117"/>
  <c r="G12" i="117"/>
  <c r="G10" i="117"/>
  <c r="G9" i="117"/>
  <c r="G61" i="117"/>
  <c r="G60" i="117"/>
  <c r="G56" i="117"/>
  <c r="G46" i="117"/>
  <c r="G42" i="117"/>
  <c r="G38" i="117"/>
  <c r="G34" i="117"/>
  <c r="G20" i="117"/>
  <c r="G57" i="117"/>
  <c r="G50" i="117"/>
  <c r="G47" i="117"/>
  <c r="G43" i="117"/>
  <c r="G39" i="117"/>
  <c r="G35" i="117"/>
  <c r="G26" i="117"/>
  <c r="G28" i="117"/>
  <c r="G30" i="117"/>
  <c r="G40" i="117"/>
  <c r="G52" i="117"/>
  <c r="G60" i="118"/>
  <c r="G58" i="118"/>
  <c r="H59" i="118"/>
  <c r="H53" i="118"/>
  <c r="H51" i="118"/>
  <c r="H42" i="118"/>
  <c r="H40" i="118"/>
  <c r="H38" i="118"/>
  <c r="H34" i="118"/>
  <c r="H31" i="118"/>
  <c r="H22" i="118"/>
  <c r="H18" i="118"/>
  <c r="H13" i="118"/>
  <c r="H12" i="118"/>
  <c r="H11" i="118"/>
  <c r="H10" i="118"/>
  <c r="H9" i="118"/>
  <c r="H8" i="118"/>
  <c r="H57" i="118"/>
  <c r="H49" i="118"/>
  <c r="H44" i="118"/>
  <c r="H39" i="118"/>
  <c r="H29" i="118"/>
  <c r="H27" i="118"/>
  <c r="H25" i="118"/>
  <c r="H24" i="118"/>
  <c r="H17" i="118"/>
  <c r="H56" i="118"/>
  <c r="H54" i="118"/>
  <c r="H46" i="118"/>
  <c r="H37" i="118"/>
  <c r="H35" i="118"/>
  <c r="H20" i="118"/>
  <c r="H14" i="118"/>
  <c r="H48" i="118"/>
  <c r="H45" i="118"/>
  <c r="H43" i="118"/>
  <c r="H28" i="118"/>
  <c r="H23" i="118"/>
  <c r="H16" i="118"/>
  <c r="G26" i="114"/>
  <c r="G27" i="114"/>
  <c r="G28" i="114"/>
  <c r="G29" i="114"/>
  <c r="G30" i="114"/>
  <c r="G31" i="114"/>
  <c r="G32" i="114"/>
  <c r="G33" i="114"/>
  <c r="G34" i="114"/>
  <c r="G35" i="114"/>
  <c r="G36" i="114"/>
  <c r="G37" i="114"/>
  <c r="G38" i="114"/>
  <c r="G39" i="114"/>
  <c r="G40" i="114"/>
  <c r="G41" i="114"/>
  <c r="G42" i="114"/>
  <c r="G43" i="114"/>
  <c r="G44" i="114"/>
  <c r="G45" i="114"/>
  <c r="G46" i="114"/>
  <c r="G47" i="114"/>
  <c r="G48" i="114"/>
  <c r="G49" i="114"/>
  <c r="G54" i="114"/>
  <c r="G55" i="114"/>
  <c r="G56" i="114"/>
  <c r="G57" i="114"/>
  <c r="G61" i="114"/>
  <c r="G18" i="117"/>
  <c r="F20" i="117"/>
  <c r="G31" i="117"/>
  <c r="G36" i="117"/>
  <c r="G54" i="117"/>
  <c r="H30" i="118"/>
  <c r="H50" i="118"/>
  <c r="H55" i="118"/>
  <c r="K9" i="114"/>
  <c r="K10" i="114"/>
  <c r="G11" i="114"/>
  <c r="K11" i="114"/>
  <c r="K12" i="114"/>
  <c r="K13" i="114"/>
  <c r="G14" i="114"/>
  <c r="K14" i="114"/>
  <c r="K15" i="114"/>
  <c r="K16" i="114"/>
  <c r="G17" i="114"/>
  <c r="K17" i="114"/>
  <c r="G18" i="114"/>
  <c r="K18" i="114"/>
  <c r="G19" i="114"/>
  <c r="K19" i="114"/>
  <c r="K56" i="116"/>
  <c r="K51" i="116"/>
  <c r="K46" i="116"/>
  <c r="K41" i="116"/>
  <c r="K36" i="116"/>
  <c r="J4" i="117"/>
  <c r="G27" i="117"/>
  <c r="G29" i="117"/>
  <c r="G32" i="117"/>
  <c r="G48" i="117"/>
  <c r="H36" i="118"/>
  <c r="I30" i="117"/>
  <c r="I31" i="117"/>
  <c r="I32" i="117"/>
  <c r="I36" i="117"/>
  <c r="I40" i="117"/>
  <c r="I44" i="117"/>
  <c r="I48" i="117"/>
  <c r="I52" i="117"/>
  <c r="I54" i="117"/>
  <c r="E58" i="117"/>
  <c r="I58" i="117"/>
  <c r="F18" i="118"/>
  <c r="F20" i="118"/>
  <c r="F35" i="118"/>
  <c r="C56" i="119"/>
  <c r="C51" i="119"/>
  <c r="C46" i="119"/>
  <c r="C41" i="119"/>
  <c r="C36" i="119"/>
  <c r="O26" i="119"/>
  <c r="E61" i="117"/>
  <c r="E57" i="117"/>
  <c r="E56" i="117"/>
  <c r="E55" i="117"/>
  <c r="E54" i="117"/>
  <c r="E49" i="117"/>
  <c r="E48" i="117"/>
  <c r="E47" i="117"/>
  <c r="E46" i="117"/>
  <c r="E45" i="117"/>
  <c r="E44" i="117"/>
  <c r="E43" i="117"/>
  <c r="E42" i="117"/>
  <c r="E41" i="117"/>
  <c r="E40" i="117"/>
  <c r="E39" i="117"/>
  <c r="E38" i="117"/>
  <c r="E37" i="117"/>
  <c r="E36" i="117"/>
  <c r="E35" i="117"/>
  <c r="E34" i="117"/>
  <c r="E33" i="117"/>
  <c r="I35" i="117"/>
  <c r="I39" i="117"/>
  <c r="I43" i="117"/>
  <c r="I47" i="117"/>
  <c r="E52" i="117"/>
  <c r="I57" i="117"/>
  <c r="C31" i="118"/>
  <c r="M53" i="119"/>
  <c r="M48" i="119"/>
  <c r="M43" i="119"/>
  <c r="M38" i="119"/>
  <c r="M35" i="119"/>
  <c r="O56" i="119"/>
  <c r="O51" i="119"/>
  <c r="O46" i="119"/>
  <c r="O41" i="119"/>
  <c r="O36" i="119"/>
  <c r="E11" i="117"/>
  <c r="I11" i="117"/>
  <c r="E14" i="117"/>
  <c r="I14" i="117"/>
  <c r="E17" i="117"/>
  <c r="I17" i="117"/>
  <c r="E18" i="117"/>
  <c r="I18" i="117"/>
  <c r="E19" i="117"/>
  <c r="I19" i="117"/>
  <c r="D20" i="117"/>
  <c r="H20" i="117"/>
  <c r="E26" i="117"/>
  <c r="E27" i="117"/>
  <c r="E28" i="117"/>
  <c r="E29" i="117"/>
  <c r="E30" i="117"/>
  <c r="E31" i="117"/>
  <c r="E32" i="117"/>
  <c r="I34" i="117"/>
  <c r="I38" i="117"/>
  <c r="I42" i="117"/>
  <c r="I46" i="117"/>
  <c r="E50" i="117"/>
  <c r="I50" i="117"/>
  <c r="I56" i="117"/>
  <c r="I60" i="117"/>
  <c r="F57" i="118"/>
  <c r="F51" i="118"/>
  <c r="F50" i="118"/>
  <c r="F46" i="118"/>
  <c r="F40" i="118"/>
  <c r="F31" i="118"/>
  <c r="F30" i="118"/>
  <c r="F25" i="118"/>
  <c r="F14" i="118"/>
  <c r="F59" i="118"/>
  <c r="E58" i="118"/>
  <c r="F56" i="118"/>
  <c r="F49" i="118"/>
  <c r="F45" i="118"/>
  <c r="F37" i="118"/>
  <c r="F29" i="118"/>
  <c r="F21" i="118"/>
  <c r="F17" i="118"/>
  <c r="F34" i="118"/>
  <c r="F36" i="118"/>
  <c r="F53" i="118"/>
  <c r="F55" i="118"/>
  <c r="E60" i="118"/>
  <c r="G56" i="119"/>
  <c r="G51" i="119"/>
  <c r="G46" i="119"/>
  <c r="G41" i="119"/>
  <c r="G36" i="119"/>
  <c r="Q17" i="119"/>
  <c r="Q26" i="119" s="1"/>
  <c r="K53" i="119"/>
  <c r="K48" i="119"/>
  <c r="K43" i="119"/>
  <c r="K38" i="119"/>
  <c r="K35" i="119"/>
  <c r="M36" i="119"/>
  <c r="M41" i="119"/>
  <c r="M46" i="119"/>
  <c r="M51" i="119"/>
  <c r="I56" i="119"/>
  <c r="I51" i="119"/>
  <c r="I46" i="119"/>
  <c r="I41" i="119"/>
  <c r="I36" i="119"/>
  <c r="Q56" i="119"/>
  <c r="Q51" i="119"/>
  <c r="Q46" i="119"/>
  <c r="Q41" i="119"/>
  <c r="Q36" i="119"/>
  <c r="I58" i="103"/>
  <c r="J57" i="103"/>
  <c r="J56" i="103"/>
  <c r="J55" i="103"/>
  <c r="J54" i="103"/>
  <c r="J53" i="103"/>
  <c r="J51" i="103"/>
  <c r="J50" i="103"/>
  <c r="J49" i="103"/>
  <c r="J48" i="103"/>
  <c r="J46" i="103"/>
  <c r="J45" i="103"/>
  <c r="J44" i="103"/>
  <c r="J43" i="103"/>
  <c r="J42" i="103"/>
  <c r="I60" i="103"/>
  <c r="J59" i="103"/>
  <c r="J58" i="103"/>
  <c r="J40" i="103"/>
  <c r="J39" i="103"/>
  <c r="J38" i="103"/>
  <c r="J37" i="103"/>
  <c r="J36" i="103"/>
  <c r="J35" i="103"/>
  <c r="J34" i="103"/>
  <c r="J31" i="103"/>
  <c r="J30" i="103"/>
  <c r="J29" i="103"/>
  <c r="J28" i="103"/>
  <c r="J27" i="103"/>
  <c r="J25" i="103"/>
  <c r="J24" i="103"/>
  <c r="J23" i="103"/>
  <c r="J22" i="103"/>
  <c r="J21" i="103"/>
  <c r="J20" i="103"/>
  <c r="J19" i="103"/>
  <c r="J18" i="103"/>
  <c r="J17" i="103"/>
  <c r="J16" i="103"/>
  <c r="J14" i="103"/>
  <c r="J13" i="103"/>
  <c r="J12" i="103"/>
  <c r="J11" i="103"/>
  <c r="J10" i="103"/>
  <c r="J9" i="103"/>
  <c r="J8" i="103"/>
  <c r="K53" i="104"/>
  <c r="K48" i="104"/>
  <c r="K43" i="104"/>
  <c r="K38" i="104"/>
  <c r="K35" i="104"/>
  <c r="C64" i="103"/>
  <c r="C76" i="103" s="1"/>
  <c r="D63" i="102"/>
  <c r="C7" i="104" s="1"/>
  <c r="C17" i="104" s="1"/>
  <c r="C26" i="104" s="1"/>
  <c r="F57" i="103"/>
  <c r="F51" i="103"/>
  <c r="F50" i="103"/>
  <c r="F46" i="103"/>
  <c r="E58" i="103"/>
  <c r="F56" i="103"/>
  <c r="F55" i="103"/>
  <c r="F54" i="103"/>
  <c r="F49" i="103"/>
  <c r="F45" i="103"/>
  <c r="F59" i="103"/>
  <c r="F53" i="103"/>
  <c r="F42" i="103"/>
  <c r="F39" i="103"/>
  <c r="F38" i="103"/>
  <c r="F37" i="103"/>
  <c r="F36" i="103"/>
  <c r="F35" i="103"/>
  <c r="F34" i="103"/>
  <c r="F29" i="103"/>
  <c r="F28" i="103"/>
  <c r="F27" i="103"/>
  <c r="F24" i="103"/>
  <c r="F23" i="103"/>
  <c r="F22" i="103"/>
  <c r="F21" i="103"/>
  <c r="F20" i="103"/>
  <c r="F19" i="103"/>
  <c r="F18" i="103"/>
  <c r="F17" i="103"/>
  <c r="F16" i="103"/>
  <c r="F13" i="103"/>
  <c r="F12" i="103"/>
  <c r="F11" i="103"/>
  <c r="F10" i="103"/>
  <c r="F9" i="103"/>
  <c r="F8" i="103"/>
  <c r="E60" i="103"/>
  <c r="F43" i="103"/>
  <c r="F48" i="103"/>
  <c r="F44" i="103"/>
  <c r="F40" i="103"/>
  <c r="F31" i="103"/>
  <c r="F30" i="103"/>
  <c r="F25" i="103"/>
  <c r="F14" i="103"/>
  <c r="K56" i="104"/>
  <c r="K51" i="104"/>
  <c r="K46" i="104"/>
  <c r="K41" i="104"/>
  <c r="K36" i="104"/>
  <c r="G60" i="103"/>
  <c r="H57" i="103"/>
  <c r="H59" i="103"/>
  <c r="G58" i="103"/>
  <c r="H55" i="103"/>
  <c r="H53" i="103"/>
  <c r="H51" i="103"/>
  <c r="H42" i="103"/>
  <c r="H39" i="103"/>
  <c r="H38" i="103"/>
  <c r="H37" i="103"/>
  <c r="H36" i="103"/>
  <c r="H35" i="103"/>
  <c r="H34" i="103"/>
  <c r="H29" i="103"/>
  <c r="H28" i="103"/>
  <c r="H27" i="103"/>
  <c r="H24" i="103"/>
  <c r="H23" i="103"/>
  <c r="H22" i="103"/>
  <c r="H21" i="103"/>
  <c r="H20" i="103"/>
  <c r="H19" i="103"/>
  <c r="H18" i="103"/>
  <c r="H17" i="103"/>
  <c r="H16" i="103"/>
  <c r="H13" i="103"/>
  <c r="H12" i="103"/>
  <c r="H11" i="103"/>
  <c r="H10" i="103"/>
  <c r="H9" i="103"/>
  <c r="H8" i="103"/>
  <c r="H43" i="103"/>
  <c r="H40" i="103"/>
  <c r="H31" i="103"/>
  <c r="H30" i="103"/>
  <c r="H25" i="103"/>
  <c r="H14" i="103"/>
  <c r="H56" i="103"/>
  <c r="H54" i="103"/>
  <c r="H50" i="103"/>
  <c r="H48" i="103"/>
  <c r="H46" i="103"/>
  <c r="H44" i="103"/>
  <c r="H49" i="103"/>
  <c r="H45" i="103"/>
  <c r="G64" i="103"/>
  <c r="H63" i="102"/>
  <c r="G7" i="104" s="1"/>
  <c r="G17" i="104" s="1"/>
  <c r="G26" i="104" s="1"/>
  <c r="C60" i="103"/>
  <c r="D57" i="103"/>
  <c r="D48" i="103"/>
  <c r="D44" i="103"/>
  <c r="C58" i="103"/>
  <c r="D55" i="103"/>
  <c r="D50" i="103"/>
  <c r="D49" i="103"/>
  <c r="D46" i="103"/>
  <c r="D45" i="103"/>
  <c r="D40" i="103"/>
  <c r="D31" i="103"/>
  <c r="D30" i="103"/>
  <c r="D25" i="103"/>
  <c r="D14" i="103"/>
  <c r="D59" i="103"/>
  <c r="D53" i="103"/>
  <c r="D42" i="103"/>
  <c r="D39" i="103"/>
  <c r="D38" i="103"/>
  <c r="D37" i="103"/>
  <c r="D36" i="103"/>
  <c r="D35" i="103"/>
  <c r="D34" i="103"/>
  <c r="D29" i="103"/>
  <c r="D28" i="103"/>
  <c r="D27" i="103"/>
  <c r="D24" i="103"/>
  <c r="D23" i="103"/>
  <c r="D22" i="103"/>
  <c r="D21" i="103"/>
  <c r="D20" i="103"/>
  <c r="D19" i="103"/>
  <c r="D18" i="103"/>
  <c r="D17" i="103"/>
  <c r="D16" i="103"/>
  <c r="D13" i="103"/>
  <c r="D12" i="103"/>
  <c r="D11" i="103"/>
  <c r="D10" i="103"/>
  <c r="D9" i="103"/>
  <c r="D8" i="103"/>
  <c r="D56" i="103"/>
  <c r="D54" i="103"/>
  <c r="D51" i="103"/>
  <c r="D43" i="103"/>
  <c r="C56" i="104"/>
  <c r="C51" i="104"/>
  <c r="C46" i="104"/>
  <c r="C41" i="104"/>
  <c r="C36" i="104"/>
  <c r="H4" i="102"/>
  <c r="G3" i="104" s="1"/>
  <c r="AC8" i="104" s="1"/>
  <c r="G26" i="102"/>
  <c r="G27" i="102"/>
  <c r="G28" i="102"/>
  <c r="G29" i="102"/>
  <c r="G30" i="102"/>
  <c r="G31" i="102"/>
  <c r="G32" i="102"/>
  <c r="G33" i="102"/>
  <c r="G34" i="102"/>
  <c r="G35" i="102"/>
  <c r="G36" i="102"/>
  <c r="G37" i="102"/>
  <c r="G38" i="102"/>
  <c r="G39" i="102"/>
  <c r="G40" i="102"/>
  <c r="G41" i="102"/>
  <c r="G42" i="102"/>
  <c r="G43" i="102"/>
  <c r="G44" i="102"/>
  <c r="G45" i="102"/>
  <c r="G46" i="102"/>
  <c r="G47" i="102"/>
  <c r="G48" i="102"/>
  <c r="G49" i="102"/>
  <c r="G54" i="102"/>
  <c r="G55" i="102"/>
  <c r="G56" i="102"/>
  <c r="G57" i="102"/>
  <c r="G61" i="102"/>
  <c r="I56" i="104"/>
  <c r="I51" i="104"/>
  <c r="I46" i="104"/>
  <c r="I41" i="104"/>
  <c r="I36" i="104"/>
  <c r="M53" i="104"/>
  <c r="M48" i="104"/>
  <c r="M43" i="104"/>
  <c r="M38" i="104"/>
  <c r="M35" i="104"/>
  <c r="Q56" i="104"/>
  <c r="Q51" i="104"/>
  <c r="Q46" i="104"/>
  <c r="Q41" i="104"/>
  <c r="Q36" i="104"/>
  <c r="M56" i="107"/>
  <c r="M36" i="107"/>
  <c r="M51" i="107"/>
  <c r="M46" i="107"/>
  <c r="K9" i="102"/>
  <c r="G11" i="102"/>
  <c r="K11" i="102"/>
  <c r="K12" i="102"/>
  <c r="K13" i="102"/>
  <c r="G14" i="102"/>
  <c r="K14" i="102"/>
  <c r="K15" i="102"/>
  <c r="K16" i="102"/>
  <c r="G17" i="102"/>
  <c r="K17" i="102"/>
  <c r="G18" i="102"/>
  <c r="K18" i="102"/>
  <c r="G19" i="102"/>
  <c r="K19" i="102"/>
  <c r="F20" i="102"/>
  <c r="J20" i="102"/>
  <c r="O53" i="104"/>
  <c r="O48" i="104"/>
  <c r="O43" i="104"/>
  <c r="O38" i="104"/>
  <c r="O35" i="104"/>
  <c r="J59" i="106"/>
  <c r="J58" i="106"/>
  <c r="J57" i="106"/>
  <c r="J56" i="106"/>
  <c r="J55" i="106"/>
  <c r="J54" i="106"/>
  <c r="J53" i="106"/>
  <c r="J51" i="106"/>
  <c r="J50" i="106"/>
  <c r="J49" i="106"/>
  <c r="J48" i="106"/>
  <c r="J46" i="106"/>
  <c r="J45" i="106"/>
  <c r="J44" i="106"/>
  <c r="J43" i="106"/>
  <c r="J42" i="106"/>
  <c r="J40" i="106"/>
  <c r="J39" i="106"/>
  <c r="J38" i="106"/>
  <c r="J37" i="106"/>
  <c r="J36" i="106"/>
  <c r="J35" i="106"/>
  <c r="J34" i="106"/>
  <c r="J31" i="106"/>
  <c r="J30" i="106"/>
  <c r="J29" i="106"/>
  <c r="J28" i="106"/>
  <c r="J27" i="106"/>
  <c r="J25" i="106"/>
  <c r="J24" i="106"/>
  <c r="J23" i="106"/>
  <c r="J22" i="106"/>
  <c r="J21" i="106"/>
  <c r="J20" i="106"/>
  <c r="J19" i="106"/>
  <c r="J18" i="106"/>
  <c r="J17" i="106"/>
  <c r="J16" i="106"/>
  <c r="J14" i="106"/>
  <c r="J13" i="106"/>
  <c r="J12" i="106"/>
  <c r="J11" i="106"/>
  <c r="J10" i="106"/>
  <c r="J9" i="106"/>
  <c r="J8" i="106"/>
  <c r="K10" i="102"/>
  <c r="G20" i="102"/>
  <c r="K20" i="102"/>
  <c r="K26" i="102"/>
  <c r="K27" i="102"/>
  <c r="K28" i="102"/>
  <c r="K29" i="102"/>
  <c r="K30" i="102"/>
  <c r="K31" i="102"/>
  <c r="K32" i="102"/>
  <c r="K33" i="102"/>
  <c r="K34" i="102"/>
  <c r="K35" i="102"/>
  <c r="K36" i="102"/>
  <c r="K37" i="102"/>
  <c r="K38" i="102"/>
  <c r="K39" i="102"/>
  <c r="K40" i="102"/>
  <c r="K41" i="102"/>
  <c r="K42" i="102"/>
  <c r="K43" i="102"/>
  <c r="K44" i="102"/>
  <c r="K45" i="102"/>
  <c r="K46" i="102"/>
  <c r="K47" i="102"/>
  <c r="K48" i="102"/>
  <c r="K49" i="102"/>
  <c r="G50" i="102"/>
  <c r="K50" i="102"/>
  <c r="G52" i="102"/>
  <c r="K52" i="102"/>
  <c r="K54" i="102"/>
  <c r="K55" i="102"/>
  <c r="K56" i="102"/>
  <c r="K57" i="102"/>
  <c r="G58" i="102"/>
  <c r="K58" i="102"/>
  <c r="G60" i="102"/>
  <c r="K60" i="102"/>
  <c r="K61" i="102"/>
  <c r="E56" i="104"/>
  <c r="E51" i="104"/>
  <c r="E46" i="104"/>
  <c r="E41" i="104"/>
  <c r="E36" i="104"/>
  <c r="Q53" i="104"/>
  <c r="Q48" i="104"/>
  <c r="Q43" i="104"/>
  <c r="Q38" i="104"/>
  <c r="Q35" i="104"/>
  <c r="M56" i="104"/>
  <c r="M51" i="104"/>
  <c r="M46" i="104"/>
  <c r="M41" i="104"/>
  <c r="M36" i="104"/>
  <c r="K53" i="107"/>
  <c r="K48" i="107"/>
  <c r="K43" i="107"/>
  <c r="K38" i="107"/>
  <c r="K35" i="107"/>
  <c r="D52" i="102"/>
  <c r="H52" i="102"/>
  <c r="G56" i="104"/>
  <c r="G51" i="104"/>
  <c r="G46" i="104"/>
  <c r="G41" i="104"/>
  <c r="G36" i="104"/>
  <c r="O56" i="104"/>
  <c r="O51" i="104"/>
  <c r="O46" i="104"/>
  <c r="O41" i="104"/>
  <c r="O36" i="104"/>
  <c r="E63" i="105"/>
  <c r="E60" i="105"/>
  <c r="E58" i="105"/>
  <c r="E61" i="105"/>
  <c r="E57" i="105"/>
  <c r="E56" i="105"/>
  <c r="E55" i="105"/>
  <c r="E54" i="105"/>
  <c r="E49" i="105"/>
  <c r="E48" i="105"/>
  <c r="E47" i="105"/>
  <c r="E46" i="105"/>
  <c r="E45" i="105"/>
  <c r="E44" i="105"/>
  <c r="E43" i="105"/>
  <c r="E42" i="105"/>
  <c r="E41" i="105"/>
  <c r="E40" i="105"/>
  <c r="E39" i="105"/>
  <c r="E38" i="105"/>
  <c r="E37" i="105"/>
  <c r="E36" i="105"/>
  <c r="E35" i="105"/>
  <c r="E34" i="105"/>
  <c r="E33" i="105"/>
  <c r="E32" i="105"/>
  <c r="E31" i="105"/>
  <c r="E30" i="105"/>
  <c r="E29" i="105"/>
  <c r="E28" i="105"/>
  <c r="E27" i="105"/>
  <c r="E26" i="105"/>
  <c r="D20" i="105"/>
  <c r="E19" i="105"/>
  <c r="E18" i="105"/>
  <c r="E17" i="105"/>
  <c r="E15" i="105"/>
  <c r="E12" i="105"/>
  <c r="E9" i="105"/>
  <c r="E50" i="105"/>
  <c r="E16" i="105"/>
  <c r="E14" i="105"/>
  <c r="E13" i="105"/>
  <c r="E11" i="105"/>
  <c r="E10" i="105"/>
  <c r="E52" i="105"/>
  <c r="E20" i="105"/>
  <c r="M41" i="107"/>
  <c r="I9" i="105"/>
  <c r="I11" i="105"/>
  <c r="I12" i="105"/>
  <c r="I14" i="105"/>
  <c r="F20" i="105"/>
  <c r="G19" i="105"/>
  <c r="G18" i="105"/>
  <c r="G17" i="105"/>
  <c r="G14" i="105"/>
  <c r="G11" i="105"/>
  <c r="G61" i="105"/>
  <c r="G57" i="105"/>
  <c r="G56" i="105"/>
  <c r="G55" i="105"/>
  <c r="G16" i="105"/>
  <c r="G26" i="105"/>
  <c r="G28" i="105"/>
  <c r="G30" i="105"/>
  <c r="G32" i="105"/>
  <c r="G34" i="105"/>
  <c r="G36" i="105"/>
  <c r="G38" i="105"/>
  <c r="G40" i="105"/>
  <c r="G42" i="105"/>
  <c r="G44" i="105"/>
  <c r="G46" i="105"/>
  <c r="G48" i="105"/>
  <c r="G54" i="105"/>
  <c r="F59" i="106"/>
  <c r="F57" i="106"/>
  <c r="F51" i="106"/>
  <c r="F50" i="106"/>
  <c r="F46" i="106"/>
  <c r="F40" i="106"/>
  <c r="F31" i="106"/>
  <c r="F30" i="106"/>
  <c r="F25" i="106"/>
  <c r="F14" i="106"/>
  <c r="F55" i="106"/>
  <c r="F53" i="106"/>
  <c r="F49" i="106"/>
  <c r="F44" i="106"/>
  <c r="F42" i="106"/>
  <c r="F39" i="106"/>
  <c r="F37" i="106"/>
  <c r="F35" i="106"/>
  <c r="F27" i="106"/>
  <c r="F23" i="106"/>
  <c r="F19" i="106"/>
  <c r="F28" i="106"/>
  <c r="F24" i="106"/>
  <c r="F20" i="106"/>
  <c r="F16" i="106"/>
  <c r="E58" i="106"/>
  <c r="F56" i="106"/>
  <c r="F54" i="106"/>
  <c r="F48" i="106"/>
  <c r="F45" i="106"/>
  <c r="F43" i="106"/>
  <c r="F38" i="106"/>
  <c r="F36" i="106"/>
  <c r="F34" i="106"/>
  <c r="F29" i="106"/>
  <c r="F21" i="106"/>
  <c r="F17" i="106"/>
  <c r="F18" i="106"/>
  <c r="I51" i="106"/>
  <c r="I59" i="106" s="1"/>
  <c r="I60" i="106" s="1"/>
  <c r="E56" i="107"/>
  <c r="E51" i="107"/>
  <c r="E46" i="107"/>
  <c r="E41" i="107"/>
  <c r="E36" i="107"/>
  <c r="J4" i="105"/>
  <c r="G3" i="106"/>
  <c r="I61" i="105"/>
  <c r="I57" i="105"/>
  <c r="I56" i="105"/>
  <c r="I55" i="105"/>
  <c r="I54" i="105"/>
  <c r="I49" i="105"/>
  <c r="I48" i="105"/>
  <c r="I47" i="105"/>
  <c r="I46" i="105"/>
  <c r="I45" i="105"/>
  <c r="I44" i="105"/>
  <c r="I43" i="105"/>
  <c r="I42" i="105"/>
  <c r="I41" i="105"/>
  <c r="I40" i="105"/>
  <c r="I39" i="105"/>
  <c r="I38" i="105"/>
  <c r="I37" i="105"/>
  <c r="I36" i="105"/>
  <c r="I35" i="105"/>
  <c r="I34" i="105"/>
  <c r="I33" i="105"/>
  <c r="I32" i="105"/>
  <c r="I31" i="105"/>
  <c r="I30" i="105"/>
  <c r="I29" i="105"/>
  <c r="I28" i="105"/>
  <c r="I27" i="105"/>
  <c r="I26" i="105"/>
  <c r="I63" i="105"/>
  <c r="I60" i="105"/>
  <c r="I58" i="105"/>
  <c r="H20" i="105"/>
  <c r="I19" i="105"/>
  <c r="I18" i="105"/>
  <c r="I17" i="105"/>
  <c r="I50" i="105"/>
  <c r="F13" i="106"/>
  <c r="M53" i="107"/>
  <c r="M48" i="107"/>
  <c r="M43" i="107"/>
  <c r="M38" i="107"/>
  <c r="M35" i="107"/>
  <c r="G10" i="105"/>
  <c r="G13" i="105"/>
  <c r="I16" i="105"/>
  <c r="J20" i="105"/>
  <c r="K19" i="105"/>
  <c r="K18" i="105"/>
  <c r="K17" i="105"/>
  <c r="K16" i="105"/>
  <c r="K15" i="105"/>
  <c r="K14" i="105"/>
  <c r="K13" i="105"/>
  <c r="K12" i="105"/>
  <c r="K11" i="105"/>
  <c r="K10" i="105"/>
  <c r="K9" i="105"/>
  <c r="I20" i="105"/>
  <c r="G27" i="105"/>
  <c r="G29" i="105"/>
  <c r="G31" i="105"/>
  <c r="G33" i="105"/>
  <c r="G35" i="105"/>
  <c r="G37" i="105"/>
  <c r="G39" i="105"/>
  <c r="G41" i="105"/>
  <c r="G43" i="105"/>
  <c r="G45" i="105"/>
  <c r="G47" i="105"/>
  <c r="G49" i="105"/>
  <c r="I52" i="105"/>
  <c r="K55" i="105"/>
  <c r="K58" i="105"/>
  <c r="G63" i="105"/>
  <c r="F10" i="106"/>
  <c r="E60" i="106"/>
  <c r="H8" i="106"/>
  <c r="H9" i="106"/>
  <c r="H10" i="106"/>
  <c r="H11" i="106"/>
  <c r="H12" i="106"/>
  <c r="H13" i="106"/>
  <c r="H18" i="106"/>
  <c r="H22" i="106"/>
  <c r="H40" i="106"/>
  <c r="H50" i="106"/>
  <c r="G56" i="107"/>
  <c r="G51" i="107"/>
  <c r="G46" i="107"/>
  <c r="G41" i="107"/>
  <c r="G36" i="107"/>
  <c r="O56" i="107"/>
  <c r="O51" i="107"/>
  <c r="O46" i="107"/>
  <c r="O41" i="107"/>
  <c r="O36" i="107"/>
  <c r="G60" i="106"/>
  <c r="H17" i="106"/>
  <c r="H21" i="106"/>
  <c r="H29" i="106"/>
  <c r="H34" i="106"/>
  <c r="H36" i="106"/>
  <c r="H38" i="106"/>
  <c r="H43" i="106"/>
  <c r="H45" i="106"/>
  <c r="H48" i="106"/>
  <c r="H54" i="106"/>
  <c r="H56" i="106"/>
  <c r="G58" i="106"/>
  <c r="H59" i="106"/>
  <c r="I56" i="107"/>
  <c r="I51" i="107"/>
  <c r="I46" i="107"/>
  <c r="I41" i="107"/>
  <c r="I36" i="107"/>
  <c r="O53" i="107"/>
  <c r="O48" i="107"/>
  <c r="O43" i="107"/>
  <c r="O38" i="107"/>
  <c r="O35" i="107"/>
  <c r="Q56" i="107"/>
  <c r="Q51" i="107"/>
  <c r="Q46" i="107"/>
  <c r="Q41" i="107"/>
  <c r="Q36" i="107"/>
  <c r="C31" i="106"/>
  <c r="H14" i="106"/>
  <c r="H16" i="106"/>
  <c r="H20" i="106"/>
  <c r="H24" i="106"/>
  <c r="H28" i="106"/>
  <c r="H30" i="106"/>
  <c r="H31" i="106"/>
  <c r="H46" i="106"/>
  <c r="H57" i="106"/>
  <c r="C56" i="107"/>
  <c r="C51" i="107"/>
  <c r="C46" i="107"/>
  <c r="C41" i="107"/>
  <c r="C36" i="107"/>
  <c r="Q17" i="107"/>
  <c r="Q26" i="107" s="1"/>
  <c r="K56" i="107"/>
  <c r="K51" i="107"/>
  <c r="K46" i="107"/>
  <c r="K41" i="107"/>
  <c r="K36" i="107"/>
  <c r="I64" i="100"/>
  <c r="J63" i="99"/>
  <c r="I7" i="101" s="1"/>
  <c r="I17" i="101" s="1"/>
  <c r="I26" i="101" s="1"/>
  <c r="E64" i="100"/>
  <c r="F63" i="99"/>
  <c r="E7" i="101" s="1"/>
  <c r="E17" i="101" s="1"/>
  <c r="E26" i="101" s="1"/>
  <c r="E56" i="101"/>
  <c r="E46" i="101"/>
  <c r="E36" i="101"/>
  <c r="E51" i="101"/>
  <c r="E41" i="101"/>
  <c r="H60" i="99"/>
  <c r="H52" i="99"/>
  <c r="F59" i="100"/>
  <c r="F57" i="100"/>
  <c r="F51" i="100"/>
  <c r="F50" i="100"/>
  <c r="F46" i="100"/>
  <c r="F40" i="100"/>
  <c r="F31" i="100"/>
  <c r="F30" i="100"/>
  <c r="F25" i="100"/>
  <c r="F14" i="100"/>
  <c r="E58" i="100"/>
  <c r="F56" i="100"/>
  <c r="F54" i="100"/>
  <c r="F48" i="100"/>
  <c r="F45" i="100"/>
  <c r="F43" i="100"/>
  <c r="F38" i="100"/>
  <c r="F36" i="100"/>
  <c r="F34" i="100"/>
  <c r="F28" i="100"/>
  <c r="F24" i="100"/>
  <c r="F20" i="100"/>
  <c r="F16" i="100"/>
  <c r="E60" i="100"/>
  <c r="F29" i="100"/>
  <c r="F21" i="100"/>
  <c r="F17" i="100"/>
  <c r="F49" i="100"/>
  <c r="H4" i="99"/>
  <c r="G3" i="101" s="1"/>
  <c r="AC8" i="101" s="1"/>
  <c r="E20" i="99"/>
  <c r="I20" i="99"/>
  <c r="I26" i="99"/>
  <c r="K27" i="99"/>
  <c r="G29" i="99"/>
  <c r="I30" i="99"/>
  <c r="K31" i="99"/>
  <c r="G33" i="99"/>
  <c r="I34" i="99"/>
  <c r="K35" i="99"/>
  <c r="G37" i="99"/>
  <c r="I38" i="99"/>
  <c r="K39" i="99"/>
  <c r="G41" i="99"/>
  <c r="I42" i="99"/>
  <c r="K43" i="99"/>
  <c r="G45" i="99"/>
  <c r="I46" i="99"/>
  <c r="K47" i="99"/>
  <c r="G49" i="99"/>
  <c r="I50" i="99"/>
  <c r="F52" i="99"/>
  <c r="K52" i="99"/>
  <c r="G55" i="99"/>
  <c r="I56" i="99"/>
  <c r="K57" i="99"/>
  <c r="G58" i="99"/>
  <c r="K58" i="99"/>
  <c r="I60" i="99"/>
  <c r="K61" i="99"/>
  <c r="K63" i="99"/>
  <c r="F9" i="100"/>
  <c r="F11" i="100"/>
  <c r="F13" i="100"/>
  <c r="D17" i="100"/>
  <c r="F22" i="100"/>
  <c r="D29" i="100"/>
  <c r="F37" i="100"/>
  <c r="D40" i="100"/>
  <c r="F42" i="100"/>
  <c r="K56" i="101"/>
  <c r="K51" i="101"/>
  <c r="K46" i="101"/>
  <c r="K41" i="101"/>
  <c r="K36" i="101"/>
  <c r="C56" i="101"/>
  <c r="C51" i="101"/>
  <c r="C46" i="101"/>
  <c r="C41" i="101"/>
  <c r="C36" i="101"/>
  <c r="O53" i="101"/>
  <c r="O48" i="101"/>
  <c r="O43" i="101"/>
  <c r="O38" i="101"/>
  <c r="O35" i="101"/>
  <c r="C58" i="100"/>
  <c r="D56" i="100"/>
  <c r="D55" i="100"/>
  <c r="D54" i="100"/>
  <c r="D53" i="100"/>
  <c r="D49" i="100"/>
  <c r="D48" i="100"/>
  <c r="D45" i="100"/>
  <c r="D44" i="100"/>
  <c r="D43" i="100"/>
  <c r="D42" i="100"/>
  <c r="D39" i="100"/>
  <c r="D38" i="100"/>
  <c r="D37" i="100"/>
  <c r="D36" i="100"/>
  <c r="D35" i="100"/>
  <c r="D34" i="100"/>
  <c r="D50" i="100"/>
  <c r="D31" i="100"/>
  <c r="D27" i="100"/>
  <c r="D23" i="100"/>
  <c r="D19" i="100"/>
  <c r="D59" i="100"/>
  <c r="D57" i="100"/>
  <c r="D46" i="100"/>
  <c r="D28" i="100"/>
  <c r="D25" i="100"/>
  <c r="D24" i="100"/>
  <c r="D20" i="100"/>
  <c r="D16" i="100"/>
  <c r="D18" i="100"/>
  <c r="F23" i="100"/>
  <c r="F27" i="100"/>
  <c r="F44" i="100"/>
  <c r="F53" i="100"/>
  <c r="G56" i="101"/>
  <c r="G51" i="101"/>
  <c r="G46" i="101"/>
  <c r="G41" i="101"/>
  <c r="G36" i="101"/>
  <c r="M56" i="101"/>
  <c r="M51" i="101"/>
  <c r="M46" i="101"/>
  <c r="M41" i="101"/>
  <c r="M36" i="101"/>
  <c r="D60" i="99"/>
  <c r="D52" i="99"/>
  <c r="M53" i="101"/>
  <c r="M48" i="101"/>
  <c r="M43" i="101"/>
  <c r="M38" i="101"/>
  <c r="M35" i="101"/>
  <c r="E63" i="99"/>
  <c r="E61" i="99"/>
  <c r="E57" i="99"/>
  <c r="E56" i="99"/>
  <c r="E55" i="99"/>
  <c r="E54" i="99"/>
  <c r="E49" i="99"/>
  <c r="E48" i="99"/>
  <c r="E47" i="99"/>
  <c r="E46" i="99"/>
  <c r="E45" i="99"/>
  <c r="E44" i="99"/>
  <c r="E43" i="99"/>
  <c r="E42" i="99"/>
  <c r="E41" i="99"/>
  <c r="E40" i="99"/>
  <c r="E39" i="99"/>
  <c r="E38" i="99"/>
  <c r="E37" i="99"/>
  <c r="E36" i="99"/>
  <c r="E35" i="99"/>
  <c r="E34" i="99"/>
  <c r="E33" i="99"/>
  <c r="E32" i="99"/>
  <c r="E31" i="99"/>
  <c r="E30" i="99"/>
  <c r="E29" i="99"/>
  <c r="E28" i="99"/>
  <c r="E27" i="99"/>
  <c r="E26" i="99"/>
  <c r="G20" i="99"/>
  <c r="K20" i="99"/>
  <c r="G27" i="99"/>
  <c r="I28" i="99"/>
  <c r="K29" i="99"/>
  <c r="G31" i="99"/>
  <c r="I32" i="99"/>
  <c r="K33" i="99"/>
  <c r="G35" i="99"/>
  <c r="I36" i="99"/>
  <c r="K37" i="99"/>
  <c r="G39" i="99"/>
  <c r="I40" i="99"/>
  <c r="K41" i="99"/>
  <c r="G43" i="99"/>
  <c r="I44" i="99"/>
  <c r="K45" i="99"/>
  <c r="G47" i="99"/>
  <c r="I48" i="99"/>
  <c r="K49" i="99"/>
  <c r="G50" i="99"/>
  <c r="K50" i="99"/>
  <c r="I52" i="99"/>
  <c r="I54" i="99"/>
  <c r="K55" i="99"/>
  <c r="G57" i="99"/>
  <c r="E58" i="99"/>
  <c r="I58" i="99"/>
  <c r="G63" i="99"/>
  <c r="F8" i="100"/>
  <c r="F10" i="100"/>
  <c r="F12" i="100"/>
  <c r="D14" i="100"/>
  <c r="I60" i="100"/>
  <c r="J59" i="100"/>
  <c r="J58" i="100"/>
  <c r="I58" i="100"/>
  <c r="J57" i="100"/>
  <c r="J56" i="100"/>
  <c r="J55" i="100"/>
  <c r="J54" i="100"/>
  <c r="J53" i="100"/>
  <c r="J51" i="100"/>
  <c r="J50" i="100"/>
  <c r="J49" i="100"/>
  <c r="J48" i="100"/>
  <c r="J46" i="100"/>
  <c r="J45" i="100"/>
  <c r="J44" i="100"/>
  <c r="J43" i="100"/>
  <c r="J42" i="100"/>
  <c r="J40" i="100"/>
  <c r="J39" i="100"/>
  <c r="J38" i="100"/>
  <c r="J37" i="100"/>
  <c r="J36" i="100"/>
  <c r="J35" i="100"/>
  <c r="J34" i="100"/>
  <c r="J31" i="100"/>
  <c r="J30" i="100"/>
  <c r="J29" i="100"/>
  <c r="J28" i="100"/>
  <c r="J27" i="100"/>
  <c r="J25" i="100"/>
  <c r="J24" i="100"/>
  <c r="J23" i="100"/>
  <c r="J22" i="100"/>
  <c r="J21" i="100"/>
  <c r="J20" i="100"/>
  <c r="J19" i="100"/>
  <c r="J18" i="100"/>
  <c r="J17" i="100"/>
  <c r="J16" i="100"/>
  <c r="J14" i="100"/>
  <c r="J13" i="100"/>
  <c r="J12" i="100"/>
  <c r="J11" i="100"/>
  <c r="J10" i="100"/>
  <c r="J9" i="100"/>
  <c r="J8" i="100"/>
  <c r="F18" i="100"/>
  <c r="D21" i="100"/>
  <c r="D30" i="100"/>
  <c r="F35" i="100"/>
  <c r="F39" i="100"/>
  <c r="F55" i="100"/>
  <c r="C60" i="100"/>
  <c r="O56" i="101"/>
  <c r="O51" i="101"/>
  <c r="O46" i="101"/>
  <c r="O41" i="101"/>
  <c r="O36" i="101"/>
  <c r="Q17" i="101"/>
  <c r="Q26" i="101" s="1"/>
  <c r="G31" i="100"/>
  <c r="K53" i="101"/>
  <c r="K48" i="101"/>
  <c r="K43" i="101"/>
  <c r="K38" i="101"/>
  <c r="K35" i="101"/>
  <c r="I56" i="101"/>
  <c r="I51" i="101"/>
  <c r="I46" i="101"/>
  <c r="I41" i="101"/>
  <c r="I36" i="101"/>
  <c r="Q56" i="101"/>
  <c r="Q51" i="101"/>
  <c r="Q46" i="101"/>
  <c r="Q41" i="101"/>
  <c r="Q36" i="101"/>
  <c r="I60" i="97"/>
  <c r="J59" i="97"/>
  <c r="J58" i="97"/>
  <c r="I58" i="97"/>
  <c r="J57" i="97"/>
  <c r="J56" i="97"/>
  <c r="J55" i="97"/>
  <c r="J54" i="97"/>
  <c r="J53" i="97"/>
  <c r="J51" i="97"/>
  <c r="J50" i="97"/>
  <c r="J49" i="97"/>
  <c r="J48" i="97"/>
  <c r="J46" i="97"/>
  <c r="J45" i="97"/>
  <c r="J44" i="97"/>
  <c r="J43" i="97"/>
  <c r="J42" i="97"/>
  <c r="J40" i="97"/>
  <c r="J39" i="97"/>
  <c r="J38" i="97"/>
  <c r="J37" i="97"/>
  <c r="J36" i="97"/>
  <c r="J35" i="97"/>
  <c r="J34" i="97"/>
  <c r="J31" i="97"/>
  <c r="J30" i="97"/>
  <c r="J29" i="97"/>
  <c r="J28" i="97"/>
  <c r="J27" i="97"/>
  <c r="J25" i="97"/>
  <c r="J24" i="97"/>
  <c r="J23" i="97"/>
  <c r="J22" i="97"/>
  <c r="J21" i="97"/>
  <c r="J20" i="97"/>
  <c r="J19" i="97"/>
  <c r="J18" i="97"/>
  <c r="J17" i="97"/>
  <c r="J16" i="97"/>
  <c r="J14" i="97"/>
  <c r="J11" i="97"/>
  <c r="J12" i="97"/>
  <c r="J8" i="97"/>
  <c r="J13" i="97"/>
  <c r="J9" i="97"/>
  <c r="J10" i="97"/>
  <c r="E56" i="98"/>
  <c r="E51" i="98"/>
  <c r="E46" i="98"/>
  <c r="E41" i="98"/>
  <c r="E36" i="98"/>
  <c r="M53" i="98"/>
  <c r="M48" i="98"/>
  <c r="M43" i="98"/>
  <c r="M38" i="98"/>
  <c r="M35" i="98"/>
  <c r="M56" i="98"/>
  <c r="M51" i="98"/>
  <c r="M46" i="98"/>
  <c r="M41" i="98"/>
  <c r="M36" i="98"/>
  <c r="F59" i="97"/>
  <c r="F57" i="97"/>
  <c r="F51" i="97"/>
  <c r="F50" i="97"/>
  <c r="F46" i="97"/>
  <c r="F40" i="97"/>
  <c r="F31" i="97"/>
  <c r="F30" i="97"/>
  <c r="F25" i="97"/>
  <c r="F14" i="97"/>
  <c r="E60" i="97"/>
  <c r="F13" i="97"/>
  <c r="F9" i="97"/>
  <c r="F55" i="97"/>
  <c r="F53" i="97"/>
  <c r="F49" i="97"/>
  <c r="F44" i="97"/>
  <c r="F42" i="97"/>
  <c r="F39" i="97"/>
  <c r="F37" i="97"/>
  <c r="F35" i="97"/>
  <c r="F28" i="97"/>
  <c r="F23" i="97"/>
  <c r="F21" i="97"/>
  <c r="F19" i="97"/>
  <c r="F17" i="97"/>
  <c r="F10" i="97"/>
  <c r="F11" i="97"/>
  <c r="E58" i="97"/>
  <c r="F56" i="97"/>
  <c r="F54" i="97"/>
  <c r="F48" i="97"/>
  <c r="F45" i="97"/>
  <c r="F43" i="97"/>
  <c r="F38" i="97"/>
  <c r="F36" i="97"/>
  <c r="F34" i="97"/>
  <c r="F29" i="97"/>
  <c r="F27" i="97"/>
  <c r="F24" i="97"/>
  <c r="F22" i="97"/>
  <c r="F20" i="97"/>
  <c r="F18" i="97"/>
  <c r="F16" i="97"/>
  <c r="F12" i="97"/>
  <c r="F8" i="97"/>
  <c r="C64" i="97"/>
  <c r="C76" i="97" s="1"/>
  <c r="D63" i="96"/>
  <c r="C7" i="98" s="1"/>
  <c r="C17" i="98" s="1"/>
  <c r="H4" i="96"/>
  <c r="G3" i="98" s="1"/>
  <c r="AC8" i="98" s="1"/>
  <c r="G26" i="96"/>
  <c r="G27" i="96"/>
  <c r="G28" i="96"/>
  <c r="G29" i="96"/>
  <c r="G30" i="96"/>
  <c r="G31" i="96"/>
  <c r="G32" i="96"/>
  <c r="G33" i="96"/>
  <c r="G34" i="96"/>
  <c r="G35" i="96"/>
  <c r="G36" i="96"/>
  <c r="G37" i="96"/>
  <c r="G38" i="96"/>
  <c r="G39" i="96"/>
  <c r="G40" i="96"/>
  <c r="G41" i="96"/>
  <c r="G42" i="96"/>
  <c r="G43" i="96"/>
  <c r="G44" i="96"/>
  <c r="G45" i="96"/>
  <c r="G46" i="96"/>
  <c r="G47" i="96"/>
  <c r="G48" i="96"/>
  <c r="G49" i="96"/>
  <c r="E50" i="96"/>
  <c r="I50" i="96"/>
  <c r="E52" i="96"/>
  <c r="I52" i="96"/>
  <c r="G54" i="96"/>
  <c r="G55" i="96"/>
  <c r="G56" i="96"/>
  <c r="G57" i="96"/>
  <c r="E58" i="96"/>
  <c r="I58" i="96"/>
  <c r="E60" i="96"/>
  <c r="K60" i="96"/>
  <c r="I63" i="96"/>
  <c r="H40" i="97"/>
  <c r="H50" i="97"/>
  <c r="G56" i="98"/>
  <c r="G51" i="98"/>
  <c r="G46" i="98"/>
  <c r="G41" i="98"/>
  <c r="G36" i="98"/>
  <c r="O56" i="98"/>
  <c r="O51" i="98"/>
  <c r="O46" i="98"/>
  <c r="O41" i="98"/>
  <c r="O36" i="98"/>
  <c r="G17" i="96"/>
  <c r="K17" i="96"/>
  <c r="G18" i="96"/>
  <c r="K18" i="96"/>
  <c r="G19" i="96"/>
  <c r="K19" i="96"/>
  <c r="F20" i="96"/>
  <c r="J20" i="96"/>
  <c r="I29" i="96"/>
  <c r="I30" i="96"/>
  <c r="I31" i="96"/>
  <c r="I32" i="96"/>
  <c r="I33" i="96"/>
  <c r="I34" i="96"/>
  <c r="I35" i="96"/>
  <c r="I36" i="96"/>
  <c r="I37" i="96"/>
  <c r="I38" i="96"/>
  <c r="I39" i="96"/>
  <c r="I40" i="96"/>
  <c r="I41" i="96"/>
  <c r="I42" i="96"/>
  <c r="I43" i="96"/>
  <c r="I44" i="96"/>
  <c r="I45" i="96"/>
  <c r="I46" i="96"/>
  <c r="I47" i="96"/>
  <c r="I48" i="96"/>
  <c r="I49" i="96"/>
  <c r="I54" i="96"/>
  <c r="I55" i="96"/>
  <c r="I56" i="96"/>
  <c r="I57" i="96"/>
  <c r="G60" i="96"/>
  <c r="E61" i="96"/>
  <c r="K63" i="96"/>
  <c r="G60" i="97"/>
  <c r="H16" i="97"/>
  <c r="H18" i="97"/>
  <c r="H20" i="97"/>
  <c r="H22" i="97"/>
  <c r="H24" i="97"/>
  <c r="H27" i="97"/>
  <c r="H29" i="97"/>
  <c r="H34" i="97"/>
  <c r="H36" i="97"/>
  <c r="H38" i="97"/>
  <c r="H43" i="97"/>
  <c r="H45" i="97"/>
  <c r="H48" i="97"/>
  <c r="H54" i="97"/>
  <c r="H56" i="97"/>
  <c r="G58" i="97"/>
  <c r="H59" i="97"/>
  <c r="O53" i="98"/>
  <c r="O48" i="98"/>
  <c r="O43" i="98"/>
  <c r="O38" i="98"/>
  <c r="O35" i="98"/>
  <c r="Q56" i="98"/>
  <c r="Q51" i="98"/>
  <c r="Q46" i="98"/>
  <c r="Q41" i="98"/>
  <c r="Q36" i="98"/>
  <c r="G20" i="96"/>
  <c r="K20" i="96"/>
  <c r="K26" i="96"/>
  <c r="K27" i="96"/>
  <c r="K28" i="96"/>
  <c r="K29" i="96"/>
  <c r="K30" i="96"/>
  <c r="K31" i="96"/>
  <c r="K32" i="96"/>
  <c r="K33" i="96"/>
  <c r="K34" i="96"/>
  <c r="K35" i="96"/>
  <c r="K36" i="96"/>
  <c r="K37" i="96"/>
  <c r="K38" i="96"/>
  <c r="K39" i="96"/>
  <c r="K40" i="96"/>
  <c r="K41" i="96"/>
  <c r="K42" i="96"/>
  <c r="K43" i="96"/>
  <c r="K44" i="96"/>
  <c r="K45" i="96"/>
  <c r="K46" i="96"/>
  <c r="K47" i="96"/>
  <c r="K48" i="96"/>
  <c r="K49" i="96"/>
  <c r="G50" i="96"/>
  <c r="K50" i="96"/>
  <c r="G52" i="96"/>
  <c r="K52" i="96"/>
  <c r="K54" i="96"/>
  <c r="K55" i="96"/>
  <c r="K56" i="96"/>
  <c r="K57" i="96"/>
  <c r="G58" i="96"/>
  <c r="H60" i="96"/>
  <c r="G61" i="96"/>
  <c r="H11" i="97"/>
  <c r="C58" i="97"/>
  <c r="D56" i="97"/>
  <c r="D55" i="97"/>
  <c r="D54" i="97"/>
  <c r="D53" i="97"/>
  <c r="D49" i="97"/>
  <c r="D48" i="97"/>
  <c r="D45" i="97"/>
  <c r="D44" i="97"/>
  <c r="D43" i="97"/>
  <c r="D42" i="97"/>
  <c r="D39" i="97"/>
  <c r="D38" i="97"/>
  <c r="D37" i="97"/>
  <c r="D36" i="97"/>
  <c r="D35" i="97"/>
  <c r="D34" i="97"/>
  <c r="D29" i="97"/>
  <c r="D28" i="97"/>
  <c r="D27" i="97"/>
  <c r="D24" i="97"/>
  <c r="D23" i="97"/>
  <c r="D22" i="97"/>
  <c r="D21" i="97"/>
  <c r="D20" i="97"/>
  <c r="D19" i="97"/>
  <c r="D18" i="97"/>
  <c r="D17" i="97"/>
  <c r="D16" i="97"/>
  <c r="D13" i="97"/>
  <c r="D12" i="97"/>
  <c r="D11" i="97"/>
  <c r="D10" i="97"/>
  <c r="D9" i="97"/>
  <c r="D8" i="97"/>
  <c r="H14" i="97"/>
  <c r="H25" i="97"/>
  <c r="H30" i="97"/>
  <c r="H31" i="97"/>
  <c r="H46" i="97"/>
  <c r="D51" i="97"/>
  <c r="H57" i="97"/>
  <c r="C60" i="97"/>
  <c r="C56" i="98"/>
  <c r="C51" i="98"/>
  <c r="C46" i="98"/>
  <c r="C41" i="98"/>
  <c r="C36" i="98"/>
  <c r="Q17" i="98"/>
  <c r="Q26" i="98" s="1"/>
  <c r="K56" i="98"/>
  <c r="K51" i="98"/>
  <c r="K46" i="98"/>
  <c r="K41" i="98"/>
  <c r="K36" i="98"/>
  <c r="D52" i="96"/>
  <c r="K53" i="98"/>
  <c r="K48" i="98"/>
  <c r="K43" i="98"/>
  <c r="K38" i="98"/>
  <c r="K35" i="98"/>
  <c r="G27" i="47"/>
  <c r="G25" i="47"/>
  <c r="G27" i="44"/>
  <c r="G25" i="44"/>
  <c r="G27" i="41"/>
  <c r="G25" i="41"/>
  <c r="K16" i="47"/>
  <c r="K16" i="44"/>
  <c r="K16" i="41"/>
  <c r="C59" i="18"/>
  <c r="D57" i="18" s="1"/>
  <c r="D51" i="18"/>
  <c r="F67" i="18" s="1"/>
  <c r="C51" i="18"/>
  <c r="D56" i="18" l="1"/>
  <c r="E56" i="18" s="1"/>
  <c r="D58" i="18"/>
  <c r="I3" i="106"/>
  <c r="I3" i="107"/>
  <c r="AC9" i="107" s="1"/>
  <c r="G3" i="118"/>
  <c r="G3" i="119"/>
  <c r="AC8" i="119" s="1"/>
  <c r="I3" i="112"/>
  <c r="I3" i="113"/>
  <c r="AC9" i="113" s="1"/>
  <c r="J4" i="114"/>
  <c r="G3" i="116"/>
  <c r="AC8" i="116" s="1"/>
  <c r="G3" i="115"/>
  <c r="I3" i="118"/>
  <c r="I3" i="119"/>
  <c r="AC9" i="119" s="1"/>
  <c r="M56" i="113"/>
  <c r="M41" i="113"/>
  <c r="M46" i="113"/>
  <c r="O48" i="113"/>
  <c r="K46" i="113"/>
  <c r="K35" i="113"/>
  <c r="K51" i="113"/>
  <c r="K56" i="113"/>
  <c r="O53" i="113"/>
  <c r="Q35" i="113"/>
  <c r="Q53" i="113"/>
  <c r="K36" i="113"/>
  <c r="Q38" i="113"/>
  <c r="Q43" i="113"/>
  <c r="I46" i="98"/>
  <c r="I36" i="98"/>
  <c r="I41" i="98"/>
  <c r="I56" i="98"/>
  <c r="C60" i="118"/>
  <c r="D59" i="118"/>
  <c r="C58" i="118"/>
  <c r="D55" i="118"/>
  <c r="D48" i="118"/>
  <c r="D44" i="118"/>
  <c r="D36" i="118"/>
  <c r="D28" i="118"/>
  <c r="D25" i="118"/>
  <c r="D24" i="118"/>
  <c r="D20" i="118"/>
  <c r="D16" i="118"/>
  <c r="D46" i="118"/>
  <c r="D43" i="118"/>
  <c r="D38" i="118"/>
  <c r="D23" i="118"/>
  <c r="D21" i="118"/>
  <c r="D14" i="118"/>
  <c r="D13" i="118"/>
  <c r="D9" i="118"/>
  <c r="D53" i="118"/>
  <c r="D51" i="118"/>
  <c r="D49" i="118"/>
  <c r="D34" i="118"/>
  <c r="D31" i="118"/>
  <c r="D29" i="118"/>
  <c r="D19" i="118"/>
  <c r="D17" i="118"/>
  <c r="D10" i="118"/>
  <c r="D56" i="118"/>
  <c r="D50" i="118"/>
  <c r="D42" i="118"/>
  <c r="D40" i="118"/>
  <c r="D39" i="118"/>
  <c r="D37" i="118"/>
  <c r="D30" i="118"/>
  <c r="D27" i="118"/>
  <c r="D22" i="118"/>
  <c r="D11" i="118"/>
  <c r="D35" i="118"/>
  <c r="D18" i="118"/>
  <c r="D12" i="118"/>
  <c r="D54" i="118"/>
  <c r="D45" i="118"/>
  <c r="D8" i="118"/>
  <c r="D57" i="118"/>
  <c r="F63" i="114"/>
  <c r="E7" i="116" s="1"/>
  <c r="E17" i="116" s="1"/>
  <c r="E26" i="116" s="1"/>
  <c r="E64" i="115"/>
  <c r="I64" i="118"/>
  <c r="J63" i="117"/>
  <c r="I7" i="119" s="1"/>
  <c r="I17" i="119" s="1"/>
  <c r="I26" i="119" s="1"/>
  <c r="H60" i="111"/>
  <c r="H52" i="111"/>
  <c r="I53" i="110"/>
  <c r="I43" i="110"/>
  <c r="I48" i="110"/>
  <c r="I38" i="110"/>
  <c r="I35" i="110"/>
  <c r="G38" i="110"/>
  <c r="G35" i="110"/>
  <c r="G53" i="110"/>
  <c r="G43" i="110"/>
  <c r="G48" i="110"/>
  <c r="E53" i="110"/>
  <c r="E48" i="110"/>
  <c r="E43" i="110"/>
  <c r="E38" i="110"/>
  <c r="E35" i="110"/>
  <c r="O53" i="119"/>
  <c r="O48" i="119"/>
  <c r="O43" i="119"/>
  <c r="O38" i="119"/>
  <c r="O35" i="119"/>
  <c r="Q53" i="119"/>
  <c r="Q48" i="119"/>
  <c r="Q43" i="119"/>
  <c r="Q38" i="119"/>
  <c r="Q35" i="119"/>
  <c r="H60" i="117"/>
  <c r="H52" i="117"/>
  <c r="F52" i="117"/>
  <c r="F60" i="117"/>
  <c r="Q48" i="116"/>
  <c r="Q43" i="116"/>
  <c r="Q38" i="116"/>
  <c r="Q35" i="116"/>
  <c r="Q53" i="116"/>
  <c r="I64" i="115"/>
  <c r="J63" i="114"/>
  <c r="I7" i="116" s="1"/>
  <c r="I17" i="116" s="1"/>
  <c r="I26" i="116" s="1"/>
  <c r="G64" i="115"/>
  <c r="H63" i="114"/>
  <c r="G7" i="116" s="1"/>
  <c r="G17" i="116" s="1"/>
  <c r="G26" i="116" s="1"/>
  <c r="I64" i="112"/>
  <c r="J63" i="111"/>
  <c r="I7" i="113" s="1"/>
  <c r="I17" i="113" s="1"/>
  <c r="I26" i="113" s="1"/>
  <c r="F52" i="111"/>
  <c r="F60" i="111"/>
  <c r="G3" i="109"/>
  <c r="J4" i="108"/>
  <c r="E63" i="109"/>
  <c r="E76" i="109" s="1"/>
  <c r="C77" i="109"/>
  <c r="D60" i="117"/>
  <c r="D52" i="117"/>
  <c r="K53" i="116"/>
  <c r="K48" i="116"/>
  <c r="K43" i="116"/>
  <c r="K38" i="116"/>
  <c r="K35" i="116"/>
  <c r="C64" i="115"/>
  <c r="C76" i="115" s="1"/>
  <c r="D63" i="114"/>
  <c r="C7" i="116" s="1"/>
  <c r="C17" i="116" s="1"/>
  <c r="C26" i="116" s="1"/>
  <c r="D60" i="111"/>
  <c r="D52" i="111"/>
  <c r="C53" i="110"/>
  <c r="C48" i="110"/>
  <c r="C38" i="110"/>
  <c r="C35" i="110"/>
  <c r="C43" i="110"/>
  <c r="C58" i="106"/>
  <c r="D56" i="106"/>
  <c r="D55" i="106"/>
  <c r="D54" i="106"/>
  <c r="D53" i="106"/>
  <c r="D49" i="106"/>
  <c r="D48" i="106"/>
  <c r="D45" i="106"/>
  <c r="D44" i="106"/>
  <c r="D43" i="106"/>
  <c r="D42" i="106"/>
  <c r="D39" i="106"/>
  <c r="D38" i="106"/>
  <c r="D37" i="106"/>
  <c r="D36" i="106"/>
  <c r="D35" i="106"/>
  <c r="D34" i="106"/>
  <c r="C60" i="106"/>
  <c r="D51" i="106"/>
  <c r="D22" i="106"/>
  <c r="D18" i="106"/>
  <c r="D13" i="106"/>
  <c r="D12" i="106"/>
  <c r="D11" i="106"/>
  <c r="D10" i="106"/>
  <c r="D9" i="106"/>
  <c r="D8" i="106"/>
  <c r="D50" i="106"/>
  <c r="D40" i="106"/>
  <c r="D27" i="106"/>
  <c r="D23" i="106"/>
  <c r="D19" i="106"/>
  <c r="D31" i="106"/>
  <c r="D28" i="106"/>
  <c r="D25" i="106"/>
  <c r="D24" i="106"/>
  <c r="D20" i="106"/>
  <c r="D16" i="106"/>
  <c r="D21" i="106"/>
  <c r="D59" i="106"/>
  <c r="D57" i="106"/>
  <c r="D30" i="106"/>
  <c r="D46" i="106"/>
  <c r="D17" i="106"/>
  <c r="D14" i="106"/>
  <c r="D29" i="106"/>
  <c r="J60" i="105"/>
  <c r="J52" i="105"/>
  <c r="F60" i="105"/>
  <c r="F52" i="105"/>
  <c r="D60" i="105"/>
  <c r="D52" i="105"/>
  <c r="I58" i="106"/>
  <c r="Q53" i="107"/>
  <c r="Q48" i="107"/>
  <c r="Q43" i="107"/>
  <c r="Q38" i="107"/>
  <c r="Q35" i="107"/>
  <c r="J60" i="102"/>
  <c r="J52" i="102"/>
  <c r="C53" i="104"/>
  <c r="C48" i="104"/>
  <c r="C43" i="104"/>
  <c r="C38" i="104"/>
  <c r="C35" i="104"/>
  <c r="H60" i="105"/>
  <c r="H52" i="105"/>
  <c r="F60" i="102"/>
  <c r="F52" i="102"/>
  <c r="G3" i="103"/>
  <c r="J4" i="102"/>
  <c r="G53" i="104"/>
  <c r="G48" i="104"/>
  <c r="G43" i="104"/>
  <c r="G38" i="104"/>
  <c r="G35" i="104"/>
  <c r="C77" i="103"/>
  <c r="E63" i="103"/>
  <c r="G3" i="100"/>
  <c r="J4" i="99"/>
  <c r="E53" i="101"/>
  <c r="E43" i="101"/>
  <c r="E35" i="101"/>
  <c r="E38" i="101"/>
  <c r="E48" i="101"/>
  <c r="G60" i="100"/>
  <c r="H59" i="100"/>
  <c r="G58" i="100"/>
  <c r="H56" i="100"/>
  <c r="H54" i="100"/>
  <c r="H48" i="100"/>
  <c r="H45" i="100"/>
  <c r="H43" i="100"/>
  <c r="H51" i="100"/>
  <c r="H50" i="100"/>
  <c r="H40" i="100"/>
  <c r="H29" i="100"/>
  <c r="H21" i="100"/>
  <c r="H17" i="100"/>
  <c r="H55" i="100"/>
  <c r="H53" i="100"/>
  <c r="H49" i="100"/>
  <c r="H44" i="100"/>
  <c r="H42" i="100"/>
  <c r="H39" i="100"/>
  <c r="H37" i="100"/>
  <c r="H35" i="100"/>
  <c r="H22" i="100"/>
  <c r="H18" i="100"/>
  <c r="H13" i="100"/>
  <c r="H12" i="100"/>
  <c r="H11" i="100"/>
  <c r="H10" i="100"/>
  <c r="H9" i="100"/>
  <c r="H8" i="100"/>
  <c r="H57" i="100"/>
  <c r="H27" i="100"/>
  <c r="H23" i="100"/>
  <c r="H25" i="100"/>
  <c r="H46" i="100"/>
  <c r="H38" i="100"/>
  <c r="H34" i="100"/>
  <c r="H30" i="100"/>
  <c r="H20" i="100"/>
  <c r="H14" i="100"/>
  <c r="H28" i="100"/>
  <c r="H31" i="100"/>
  <c r="H19" i="100"/>
  <c r="H36" i="100"/>
  <c r="H24" i="100"/>
  <c r="H16" i="100"/>
  <c r="G64" i="100"/>
  <c r="H63" i="99"/>
  <c r="G7" i="101" s="1"/>
  <c r="G17" i="101" s="1"/>
  <c r="G26" i="101" s="1"/>
  <c r="I53" i="101"/>
  <c r="I48" i="101"/>
  <c r="I43" i="101"/>
  <c r="I38" i="101"/>
  <c r="I35" i="101"/>
  <c r="Q53" i="101"/>
  <c r="Q48" i="101"/>
  <c r="Q43" i="101"/>
  <c r="Q38" i="101"/>
  <c r="Q35" i="101"/>
  <c r="D63" i="99"/>
  <c r="C7" i="101" s="1"/>
  <c r="C17" i="101" s="1"/>
  <c r="C26" i="101" s="1"/>
  <c r="C64" i="100"/>
  <c r="C76" i="100" s="1"/>
  <c r="Q53" i="98"/>
  <c r="Q48" i="98"/>
  <c r="Q43" i="98"/>
  <c r="Q38" i="98"/>
  <c r="Q35" i="98"/>
  <c r="J60" i="96"/>
  <c r="J52" i="96"/>
  <c r="F60" i="96"/>
  <c r="F52" i="96"/>
  <c r="G3" i="97"/>
  <c r="J4" i="96"/>
  <c r="C53" i="98"/>
  <c r="C48" i="98"/>
  <c r="C43" i="98"/>
  <c r="C38" i="98"/>
  <c r="C35" i="98"/>
  <c r="G64" i="97"/>
  <c r="H63" i="96"/>
  <c r="G7" i="98" s="1"/>
  <c r="G17" i="98" s="1"/>
  <c r="G26" i="98" s="1"/>
  <c r="C77" i="97"/>
  <c r="E63" i="97"/>
  <c r="D59" i="18" l="1"/>
  <c r="E57" i="18"/>
  <c r="C64" i="18" s="1"/>
  <c r="F64" i="18" s="1"/>
  <c r="I3" i="100"/>
  <c r="I3" i="101"/>
  <c r="AC9" i="101" s="1"/>
  <c r="I3" i="115"/>
  <c r="I3" i="116"/>
  <c r="AC9" i="116" s="1"/>
  <c r="I3" i="109"/>
  <c r="I3" i="110"/>
  <c r="AC9" i="110" s="1"/>
  <c r="I3" i="103"/>
  <c r="I3" i="104"/>
  <c r="AC9" i="104" s="1"/>
  <c r="I3" i="97"/>
  <c r="I3" i="98"/>
  <c r="AC9" i="98" s="1"/>
  <c r="I53" i="113"/>
  <c r="I48" i="113"/>
  <c r="I43" i="113"/>
  <c r="I38" i="113"/>
  <c r="I35" i="113"/>
  <c r="I53" i="116"/>
  <c r="I43" i="116"/>
  <c r="I48" i="116"/>
  <c r="I35" i="116"/>
  <c r="I38" i="116"/>
  <c r="C53" i="116"/>
  <c r="C48" i="116"/>
  <c r="C43" i="116"/>
  <c r="C38" i="116"/>
  <c r="C35" i="116"/>
  <c r="C64" i="118"/>
  <c r="C76" i="118" s="1"/>
  <c r="D63" i="117"/>
  <c r="C7" i="119" s="1"/>
  <c r="C17" i="119" s="1"/>
  <c r="C26" i="119" s="1"/>
  <c r="G64" i="112"/>
  <c r="H63" i="111"/>
  <c r="G7" i="113" s="1"/>
  <c r="G17" i="113" s="1"/>
  <c r="G26" i="113" s="1"/>
  <c r="E53" i="116"/>
  <c r="E48" i="116"/>
  <c r="E43" i="116"/>
  <c r="E38" i="116"/>
  <c r="E35" i="116"/>
  <c r="C77" i="115"/>
  <c r="E63" i="115"/>
  <c r="E76" i="115" s="1"/>
  <c r="E64" i="112"/>
  <c r="F63" i="111"/>
  <c r="E7" i="113" s="1"/>
  <c r="E17" i="113" s="1"/>
  <c r="E26" i="113" s="1"/>
  <c r="G64" i="118"/>
  <c r="H63" i="117"/>
  <c r="G7" i="119" s="1"/>
  <c r="G17" i="119" s="1"/>
  <c r="G26" i="119" s="1"/>
  <c r="I53" i="119"/>
  <c r="I48" i="119"/>
  <c r="I43" i="119"/>
  <c r="I38" i="119"/>
  <c r="I35" i="119"/>
  <c r="D63" i="111"/>
  <c r="C7" i="113" s="1"/>
  <c r="C17" i="113" s="1"/>
  <c r="C26" i="113" s="1"/>
  <c r="C64" i="112"/>
  <c r="C76" i="112" s="1"/>
  <c r="G48" i="116"/>
  <c r="G43" i="116"/>
  <c r="G38" i="116"/>
  <c r="G35" i="116"/>
  <c r="G53" i="116"/>
  <c r="E77" i="109"/>
  <c r="G63" i="109"/>
  <c r="G76" i="109" s="1"/>
  <c r="E64" i="118"/>
  <c r="F63" i="117"/>
  <c r="E7" i="119" s="1"/>
  <c r="E17" i="119" s="1"/>
  <c r="E26" i="119" s="1"/>
  <c r="E64" i="103"/>
  <c r="F63" i="102"/>
  <c r="E7" i="104" s="1"/>
  <c r="E17" i="104" s="1"/>
  <c r="E26" i="104" s="1"/>
  <c r="I64" i="106"/>
  <c r="J63" i="105"/>
  <c r="I7" i="107" s="1"/>
  <c r="I17" i="107" s="1"/>
  <c r="I26" i="107" s="1"/>
  <c r="G64" i="106"/>
  <c r="H63" i="105"/>
  <c r="G7" i="107" s="1"/>
  <c r="G17" i="107" s="1"/>
  <c r="G26" i="107" s="1"/>
  <c r="I64" i="103"/>
  <c r="J63" i="102"/>
  <c r="I7" i="104" s="1"/>
  <c r="I17" i="104" s="1"/>
  <c r="I26" i="104" s="1"/>
  <c r="C64" i="106"/>
  <c r="C76" i="106" s="1"/>
  <c r="D63" i="105"/>
  <c r="C7" i="107" s="1"/>
  <c r="C17" i="107" s="1"/>
  <c r="C26" i="107" s="1"/>
  <c r="E76" i="103"/>
  <c r="F63" i="105"/>
  <c r="E7" i="107" s="1"/>
  <c r="E17" i="107" s="1"/>
  <c r="E26" i="107" s="1"/>
  <c r="E64" i="106"/>
  <c r="E63" i="100"/>
  <c r="E76" i="100" s="1"/>
  <c r="C77" i="100"/>
  <c r="G53" i="101"/>
  <c r="G48" i="101"/>
  <c r="G43" i="101"/>
  <c r="G38" i="101"/>
  <c r="G35" i="101"/>
  <c r="C53" i="101"/>
  <c r="C48" i="101"/>
  <c r="C43" i="101"/>
  <c r="C38" i="101"/>
  <c r="C35" i="101"/>
  <c r="F63" i="96"/>
  <c r="E7" i="98" s="1"/>
  <c r="E17" i="98" s="1"/>
  <c r="E26" i="98" s="1"/>
  <c r="E64" i="97"/>
  <c r="E76" i="97" s="1"/>
  <c r="G53" i="98"/>
  <c r="G48" i="98"/>
  <c r="G43" i="98"/>
  <c r="G38" i="98"/>
  <c r="G35" i="98"/>
  <c r="I64" i="97"/>
  <c r="J63" i="96"/>
  <c r="I7" i="98" s="1"/>
  <c r="I17" i="98" s="1"/>
  <c r="I26" i="98" s="1"/>
  <c r="E59" i="18"/>
  <c r="C63" i="18"/>
  <c r="I27" i="94"/>
  <c r="I34" i="94" s="1"/>
  <c r="G27" i="94"/>
  <c r="G34" i="94" s="1"/>
  <c r="E27" i="94"/>
  <c r="C27" i="94"/>
  <c r="A2" i="95"/>
  <c r="C76" i="95"/>
  <c r="I57" i="95"/>
  <c r="G57" i="95"/>
  <c r="E57" i="95"/>
  <c r="C57" i="95"/>
  <c r="J50" i="95"/>
  <c r="I50" i="95"/>
  <c r="G50" i="95"/>
  <c r="E50" i="95"/>
  <c r="C50" i="95"/>
  <c r="J46" i="95"/>
  <c r="I46" i="95"/>
  <c r="G46" i="95"/>
  <c r="E46" i="95"/>
  <c r="C46" i="95"/>
  <c r="J43" i="95"/>
  <c r="I40" i="95"/>
  <c r="I51" i="95" s="1"/>
  <c r="I59" i="95" s="1"/>
  <c r="G40" i="95"/>
  <c r="G51" i="95" s="1"/>
  <c r="G59" i="95" s="1"/>
  <c r="E40" i="95"/>
  <c r="E51" i="95" s="1"/>
  <c r="E59" i="95" s="1"/>
  <c r="C40" i="95"/>
  <c r="C51" i="95" s="1"/>
  <c r="C59" i="95" s="1"/>
  <c r="J39" i="95"/>
  <c r="J35" i="95"/>
  <c r="O30" i="95"/>
  <c r="N30" i="95"/>
  <c r="I30" i="95"/>
  <c r="G30" i="95"/>
  <c r="E30" i="95"/>
  <c r="C30" i="95"/>
  <c r="F29" i="95"/>
  <c r="I25" i="95"/>
  <c r="G25" i="95"/>
  <c r="E25" i="95"/>
  <c r="C25" i="95"/>
  <c r="F24" i="95"/>
  <c r="F22" i="95"/>
  <c r="F20" i="95"/>
  <c r="F18" i="95"/>
  <c r="F16" i="95"/>
  <c r="I14" i="95"/>
  <c r="I31" i="95" s="1"/>
  <c r="J48" i="95" s="1"/>
  <c r="G14" i="95"/>
  <c r="G31" i="95" s="1"/>
  <c r="H30" i="95" s="1"/>
  <c r="E14" i="95"/>
  <c r="E31" i="95" s="1"/>
  <c r="F51" i="95" s="1"/>
  <c r="C14" i="95"/>
  <c r="C31" i="95" s="1"/>
  <c r="D14" i="95" s="1"/>
  <c r="F13" i="95"/>
  <c r="F12" i="95"/>
  <c r="F11" i="95"/>
  <c r="F10" i="95"/>
  <c r="F9" i="95"/>
  <c r="F8" i="95"/>
  <c r="A61" i="95"/>
  <c r="Q34" i="94"/>
  <c r="O34" i="94"/>
  <c r="M34" i="94"/>
  <c r="K34" i="94"/>
  <c r="I11" i="94"/>
  <c r="I18" i="94" s="1"/>
  <c r="G11" i="94"/>
  <c r="G18" i="94" s="1"/>
  <c r="E11" i="94"/>
  <c r="E18" i="94" s="1"/>
  <c r="C11" i="94"/>
  <c r="C18" i="94" s="1"/>
  <c r="I9" i="94"/>
  <c r="G9" i="94"/>
  <c r="E9" i="94"/>
  <c r="C9" i="94"/>
  <c r="I8" i="94"/>
  <c r="G8" i="94"/>
  <c r="E8" i="94"/>
  <c r="C8" i="94"/>
  <c r="AA6" i="94"/>
  <c r="Y6" i="94"/>
  <c r="W6" i="94"/>
  <c r="U6" i="94"/>
  <c r="E34" i="94"/>
  <c r="C34" i="94"/>
  <c r="AC6" i="94"/>
  <c r="U2" i="94" a="1"/>
  <c r="U2" i="94" s="1"/>
  <c r="A2" i="94"/>
  <c r="A58" i="94" s="1"/>
  <c r="B66" i="93"/>
  <c r="I63" i="93"/>
  <c r="E63" i="93"/>
  <c r="I61" i="93"/>
  <c r="I60" i="93"/>
  <c r="E60" i="93"/>
  <c r="J58" i="93"/>
  <c r="I58" i="93"/>
  <c r="H58" i="93"/>
  <c r="F58" i="93"/>
  <c r="E58" i="93"/>
  <c r="D58" i="93"/>
  <c r="I57" i="93"/>
  <c r="I56" i="93"/>
  <c r="I55" i="93"/>
  <c r="I54" i="93"/>
  <c r="I52" i="93"/>
  <c r="E52" i="93"/>
  <c r="J50" i="93"/>
  <c r="I50" i="93"/>
  <c r="H50" i="93"/>
  <c r="F50" i="93"/>
  <c r="E50" i="93"/>
  <c r="D50" i="93"/>
  <c r="I49" i="93"/>
  <c r="I48" i="93"/>
  <c r="I47" i="93"/>
  <c r="I46" i="93"/>
  <c r="I45" i="93"/>
  <c r="I44" i="93"/>
  <c r="I43" i="93"/>
  <c r="I42" i="93"/>
  <c r="I41" i="93"/>
  <c r="I40" i="93"/>
  <c r="I39" i="93"/>
  <c r="I38" i="93"/>
  <c r="I37" i="93"/>
  <c r="I36" i="93"/>
  <c r="I35" i="93"/>
  <c r="I34" i="93"/>
  <c r="I33" i="93"/>
  <c r="I32" i="93"/>
  <c r="I31" i="93"/>
  <c r="I30" i="93"/>
  <c r="I29" i="93"/>
  <c r="I28" i="93"/>
  <c r="I27" i="93"/>
  <c r="I26" i="93"/>
  <c r="I20" i="93"/>
  <c r="E20" i="93"/>
  <c r="M19" i="93"/>
  <c r="J19" i="93"/>
  <c r="H19" i="93"/>
  <c r="F19" i="93"/>
  <c r="D19" i="93"/>
  <c r="J18" i="93"/>
  <c r="I18" i="93"/>
  <c r="H18" i="93"/>
  <c r="H20" i="93" s="1"/>
  <c r="F18" i="93"/>
  <c r="E18" i="93"/>
  <c r="D18" i="93"/>
  <c r="E61" i="93" s="1"/>
  <c r="J17" i="93"/>
  <c r="I17" i="93"/>
  <c r="H17" i="93"/>
  <c r="F17" i="93"/>
  <c r="E17" i="93"/>
  <c r="D17" i="93"/>
  <c r="I16" i="93"/>
  <c r="E16" i="93"/>
  <c r="I15" i="93"/>
  <c r="E15" i="93"/>
  <c r="J14" i="93"/>
  <c r="I14" i="93"/>
  <c r="H14" i="93"/>
  <c r="F14" i="93"/>
  <c r="E14" i="93"/>
  <c r="D14" i="93"/>
  <c r="I13" i="93"/>
  <c r="E13" i="93"/>
  <c r="I12" i="93"/>
  <c r="E12" i="93"/>
  <c r="J11" i="93"/>
  <c r="I11" i="93"/>
  <c r="H11" i="93"/>
  <c r="F11" i="93"/>
  <c r="E11" i="93"/>
  <c r="D11" i="93"/>
  <c r="I10" i="93"/>
  <c r="E10" i="93"/>
  <c r="I9" i="93"/>
  <c r="E9" i="93"/>
  <c r="F4" i="93"/>
  <c r="I27" i="91"/>
  <c r="G27" i="91"/>
  <c r="E27" i="91"/>
  <c r="C27" i="91"/>
  <c r="A2" i="92"/>
  <c r="C76" i="92"/>
  <c r="I57" i="92"/>
  <c r="G57" i="92"/>
  <c r="E57" i="92"/>
  <c r="C57" i="92"/>
  <c r="I50" i="92"/>
  <c r="G50" i="92"/>
  <c r="E50" i="92"/>
  <c r="C50" i="92"/>
  <c r="I46" i="92"/>
  <c r="G46" i="92"/>
  <c r="E46" i="92"/>
  <c r="C46" i="92"/>
  <c r="I40" i="92"/>
  <c r="I51" i="92" s="1"/>
  <c r="I59" i="92" s="1"/>
  <c r="G40" i="92"/>
  <c r="G51" i="92" s="1"/>
  <c r="G59" i="92" s="1"/>
  <c r="E40" i="92"/>
  <c r="E51" i="92" s="1"/>
  <c r="E59" i="92" s="1"/>
  <c r="C40" i="92"/>
  <c r="C51" i="92" s="1"/>
  <c r="C59" i="92" s="1"/>
  <c r="O30" i="92"/>
  <c r="N30" i="92"/>
  <c r="I30" i="92"/>
  <c r="G30" i="92"/>
  <c r="E30" i="92"/>
  <c r="C30" i="92"/>
  <c r="I25" i="92"/>
  <c r="G25" i="92"/>
  <c r="E25" i="92"/>
  <c r="C25" i="92"/>
  <c r="I14" i="92"/>
  <c r="I31" i="92" s="1"/>
  <c r="G14" i="92"/>
  <c r="G31" i="92" s="1"/>
  <c r="E14" i="92"/>
  <c r="E31" i="92" s="1"/>
  <c r="C14" i="92"/>
  <c r="C31" i="92" s="1"/>
  <c r="A61" i="92"/>
  <c r="Q34" i="91"/>
  <c r="O34" i="91"/>
  <c r="M34" i="91"/>
  <c r="K34" i="91"/>
  <c r="I11" i="91"/>
  <c r="I18" i="91" s="1"/>
  <c r="G11" i="91"/>
  <c r="G18" i="91" s="1"/>
  <c r="E11" i="91"/>
  <c r="E18" i="91" s="1"/>
  <c r="C11" i="91"/>
  <c r="C18" i="91" s="1"/>
  <c r="I9" i="91"/>
  <c r="G9" i="91"/>
  <c r="E9" i="91"/>
  <c r="C9" i="91"/>
  <c r="I8" i="91"/>
  <c r="G8" i="91"/>
  <c r="E8" i="91"/>
  <c r="C8" i="91"/>
  <c r="AA6" i="91"/>
  <c r="Y6" i="91"/>
  <c r="W6" i="91"/>
  <c r="U6" i="91"/>
  <c r="I34" i="91"/>
  <c r="G34" i="91"/>
  <c r="E34" i="91"/>
  <c r="C34" i="91"/>
  <c r="AC6" i="91"/>
  <c r="U2" i="91" a="1"/>
  <c r="U2" i="91" s="1"/>
  <c r="A2" i="91"/>
  <c r="A58" i="91" s="1"/>
  <c r="B66" i="90"/>
  <c r="I63" i="90"/>
  <c r="E63" i="90"/>
  <c r="I61" i="90"/>
  <c r="I60" i="90"/>
  <c r="E60" i="90"/>
  <c r="J58" i="90"/>
  <c r="I58" i="90"/>
  <c r="H58" i="90"/>
  <c r="F58" i="90"/>
  <c r="E58" i="90"/>
  <c r="D58" i="90"/>
  <c r="I57" i="90"/>
  <c r="I56" i="90"/>
  <c r="I55" i="90"/>
  <c r="I54" i="90"/>
  <c r="I52" i="90"/>
  <c r="E52" i="90"/>
  <c r="J50" i="90"/>
  <c r="I50" i="90"/>
  <c r="H50" i="90"/>
  <c r="F50" i="90"/>
  <c r="E50" i="90"/>
  <c r="D50" i="90"/>
  <c r="I49" i="90"/>
  <c r="I48" i="90"/>
  <c r="I47" i="90"/>
  <c r="I46" i="90"/>
  <c r="I45" i="90"/>
  <c r="I44" i="90"/>
  <c r="I43" i="90"/>
  <c r="I42" i="90"/>
  <c r="I41" i="90"/>
  <c r="I40" i="90"/>
  <c r="I39" i="90"/>
  <c r="I38" i="90"/>
  <c r="I37" i="90"/>
  <c r="I36" i="90"/>
  <c r="I35" i="90"/>
  <c r="I34" i="90"/>
  <c r="I33" i="90"/>
  <c r="I32" i="90"/>
  <c r="I31" i="90"/>
  <c r="I30" i="90"/>
  <c r="I29" i="90"/>
  <c r="I28" i="90"/>
  <c r="I27" i="90"/>
  <c r="I26" i="90"/>
  <c r="I20" i="90"/>
  <c r="E20" i="90"/>
  <c r="M19" i="90"/>
  <c r="J19" i="90"/>
  <c r="H19" i="90"/>
  <c r="F19" i="90"/>
  <c r="D19" i="90"/>
  <c r="J18" i="90"/>
  <c r="H18" i="90"/>
  <c r="H20" i="90" s="1"/>
  <c r="F18" i="90"/>
  <c r="G57" i="90" s="1"/>
  <c r="D18" i="90"/>
  <c r="E61" i="90" s="1"/>
  <c r="J17" i="90"/>
  <c r="H17" i="90"/>
  <c r="F17" i="90"/>
  <c r="D17" i="90"/>
  <c r="I16" i="90"/>
  <c r="E16" i="90"/>
  <c r="I15" i="90"/>
  <c r="E15" i="90"/>
  <c r="J14" i="90"/>
  <c r="H14" i="90"/>
  <c r="F14" i="90"/>
  <c r="D14" i="90"/>
  <c r="I13" i="90"/>
  <c r="E13" i="90"/>
  <c r="I12" i="90"/>
  <c r="E12" i="90"/>
  <c r="J11" i="90"/>
  <c r="H11" i="90"/>
  <c r="F11" i="90"/>
  <c r="D11" i="90"/>
  <c r="I10" i="90"/>
  <c r="E10" i="90"/>
  <c r="I9" i="90"/>
  <c r="E9" i="90"/>
  <c r="F4" i="90"/>
  <c r="A2" i="89"/>
  <c r="I27" i="88"/>
  <c r="I34" i="88" s="1"/>
  <c r="G27" i="88"/>
  <c r="G34" i="88" s="1"/>
  <c r="E27" i="88"/>
  <c r="E34" i="88" s="1"/>
  <c r="C27" i="88"/>
  <c r="C76" i="89"/>
  <c r="I57" i="89"/>
  <c r="G57" i="89"/>
  <c r="E57" i="89"/>
  <c r="C57" i="89"/>
  <c r="I50" i="89"/>
  <c r="G50" i="89"/>
  <c r="E50" i="89"/>
  <c r="C50" i="89"/>
  <c r="I46" i="89"/>
  <c r="G46" i="89"/>
  <c r="E46" i="89"/>
  <c r="C46" i="89"/>
  <c r="I40" i="89"/>
  <c r="I51" i="89" s="1"/>
  <c r="I59" i="89" s="1"/>
  <c r="G40" i="89"/>
  <c r="G51" i="89" s="1"/>
  <c r="G59" i="89" s="1"/>
  <c r="E40" i="89"/>
  <c r="E51" i="89" s="1"/>
  <c r="E59" i="89" s="1"/>
  <c r="C40" i="89"/>
  <c r="C51" i="89" s="1"/>
  <c r="C59" i="89" s="1"/>
  <c r="O30" i="89"/>
  <c r="N30" i="89"/>
  <c r="I30" i="89"/>
  <c r="G30" i="89"/>
  <c r="E30" i="89"/>
  <c r="C30" i="89"/>
  <c r="I25" i="89"/>
  <c r="G25" i="89"/>
  <c r="E25" i="89"/>
  <c r="C25" i="89"/>
  <c r="I14" i="89"/>
  <c r="I31" i="89" s="1"/>
  <c r="G14" i="89"/>
  <c r="G31" i="89" s="1"/>
  <c r="E14" i="89"/>
  <c r="E31" i="89" s="1"/>
  <c r="C14" i="89"/>
  <c r="C31" i="89" s="1"/>
  <c r="A61" i="89"/>
  <c r="Q34" i="88"/>
  <c r="O34" i="88"/>
  <c r="M34" i="88"/>
  <c r="K34" i="88"/>
  <c r="I11" i="88"/>
  <c r="I18" i="88" s="1"/>
  <c r="G11" i="88"/>
  <c r="G18" i="88" s="1"/>
  <c r="E11" i="88"/>
  <c r="E18" i="88" s="1"/>
  <c r="C11" i="88"/>
  <c r="C18" i="88" s="1"/>
  <c r="I9" i="88"/>
  <c r="G9" i="88"/>
  <c r="E9" i="88"/>
  <c r="C9" i="88"/>
  <c r="I8" i="88"/>
  <c r="G8" i="88"/>
  <c r="E8" i="88"/>
  <c r="C8" i="88"/>
  <c r="AA6" i="88"/>
  <c r="Y6" i="88"/>
  <c r="W6" i="88"/>
  <c r="U6" i="88"/>
  <c r="AC6" i="88"/>
  <c r="U2" i="88" a="1"/>
  <c r="U2" i="88" s="1"/>
  <c r="A2" i="88"/>
  <c r="A58" i="88" s="1"/>
  <c r="B66" i="87"/>
  <c r="I63" i="87"/>
  <c r="E63" i="87"/>
  <c r="I61" i="87"/>
  <c r="I60" i="87"/>
  <c r="E60" i="87"/>
  <c r="J58" i="87"/>
  <c r="I58" i="87"/>
  <c r="H58" i="87"/>
  <c r="F58" i="87"/>
  <c r="E58" i="87"/>
  <c r="D58" i="87"/>
  <c r="I57" i="87"/>
  <c r="I56" i="87"/>
  <c r="G56" i="87"/>
  <c r="I55" i="87"/>
  <c r="I54" i="87"/>
  <c r="G54" i="87"/>
  <c r="I52" i="87"/>
  <c r="E52" i="87"/>
  <c r="J50" i="87"/>
  <c r="I50" i="87"/>
  <c r="H50" i="87"/>
  <c r="F50" i="87"/>
  <c r="E50" i="87"/>
  <c r="D50" i="87"/>
  <c r="I49" i="87"/>
  <c r="I48" i="87"/>
  <c r="G48" i="87"/>
  <c r="I47" i="87"/>
  <c r="I46" i="87"/>
  <c r="G46" i="87"/>
  <c r="I45" i="87"/>
  <c r="I44" i="87"/>
  <c r="G44" i="87"/>
  <c r="I43" i="87"/>
  <c r="I42" i="87"/>
  <c r="G42" i="87"/>
  <c r="I41" i="87"/>
  <c r="I40" i="87"/>
  <c r="G40" i="87"/>
  <c r="I39" i="87"/>
  <c r="I38" i="87"/>
  <c r="G38" i="87"/>
  <c r="I37" i="87"/>
  <c r="I36" i="87"/>
  <c r="G36" i="87"/>
  <c r="I35" i="87"/>
  <c r="I34" i="87"/>
  <c r="G34" i="87"/>
  <c r="I33" i="87"/>
  <c r="I32" i="87"/>
  <c r="G32" i="87"/>
  <c r="I31" i="87"/>
  <c r="I30" i="87"/>
  <c r="G30" i="87"/>
  <c r="I29" i="87"/>
  <c r="I28" i="87"/>
  <c r="G28" i="87"/>
  <c r="I27" i="87"/>
  <c r="I26" i="87"/>
  <c r="G26" i="87"/>
  <c r="I20" i="87"/>
  <c r="E20" i="87"/>
  <c r="M19" i="87"/>
  <c r="J19" i="87"/>
  <c r="H19" i="87"/>
  <c r="F19" i="87"/>
  <c r="D19" i="87"/>
  <c r="J18" i="87"/>
  <c r="K11" i="87" s="1"/>
  <c r="H18" i="87"/>
  <c r="H20" i="87" s="1"/>
  <c r="F18" i="87"/>
  <c r="D18" i="87"/>
  <c r="E61" i="87" s="1"/>
  <c r="J17" i="87"/>
  <c r="H17" i="87"/>
  <c r="F17" i="87"/>
  <c r="D17" i="87"/>
  <c r="K16" i="87"/>
  <c r="I16" i="87"/>
  <c r="E16" i="87"/>
  <c r="I15" i="87"/>
  <c r="E15" i="87"/>
  <c r="J14" i="87"/>
  <c r="H14" i="87"/>
  <c r="F14" i="87"/>
  <c r="D14" i="87"/>
  <c r="I13" i="87"/>
  <c r="E13" i="87"/>
  <c r="I12" i="87"/>
  <c r="E12" i="87"/>
  <c r="J11" i="87"/>
  <c r="H11" i="87"/>
  <c r="F11" i="87"/>
  <c r="D11" i="87"/>
  <c r="K10" i="87"/>
  <c r="I10" i="87"/>
  <c r="E10" i="87"/>
  <c r="I9" i="87"/>
  <c r="E9" i="87"/>
  <c r="H4" i="87"/>
  <c r="F4" i="87"/>
  <c r="I27" i="85"/>
  <c r="G27" i="85"/>
  <c r="E27" i="85"/>
  <c r="E34" i="85" s="1"/>
  <c r="C27" i="85"/>
  <c r="C34" i="85" s="1"/>
  <c r="I11" i="85"/>
  <c r="I9" i="85"/>
  <c r="I8" i="85"/>
  <c r="I7" i="85"/>
  <c r="G11" i="85"/>
  <c r="G9" i="85"/>
  <c r="G8" i="85"/>
  <c r="G7" i="85"/>
  <c r="E11" i="85"/>
  <c r="E9" i="85"/>
  <c r="E8" i="85"/>
  <c r="E7" i="85"/>
  <c r="E17" i="85" s="1"/>
  <c r="E26" i="85" s="1"/>
  <c r="C11" i="85"/>
  <c r="C9" i="85"/>
  <c r="C8" i="85"/>
  <c r="C7" i="85"/>
  <c r="G34" i="83"/>
  <c r="E34" i="83"/>
  <c r="I17" i="83"/>
  <c r="G17" i="83"/>
  <c r="E17" i="83"/>
  <c r="I18" i="83"/>
  <c r="C7" i="83"/>
  <c r="A2" i="85"/>
  <c r="A58" i="85" s="1"/>
  <c r="A2" i="86"/>
  <c r="A61" i="86" s="1"/>
  <c r="A2" i="83"/>
  <c r="A58" i="83" s="1"/>
  <c r="A2" i="82"/>
  <c r="A61" i="82" s="1"/>
  <c r="C76" i="86"/>
  <c r="I57" i="86"/>
  <c r="G57" i="86"/>
  <c r="E57" i="86"/>
  <c r="C57" i="86"/>
  <c r="I50" i="86"/>
  <c r="G50" i="86"/>
  <c r="E50" i="86"/>
  <c r="C50" i="86"/>
  <c r="I46" i="86"/>
  <c r="G46" i="86"/>
  <c r="E46" i="86"/>
  <c r="C46" i="86"/>
  <c r="I40" i="86"/>
  <c r="I51" i="86" s="1"/>
  <c r="I59" i="86" s="1"/>
  <c r="G40" i="86"/>
  <c r="G51" i="86" s="1"/>
  <c r="G59" i="86" s="1"/>
  <c r="E40" i="86"/>
  <c r="E51" i="86" s="1"/>
  <c r="E59" i="86" s="1"/>
  <c r="C40" i="86"/>
  <c r="C51" i="86" s="1"/>
  <c r="C59" i="86" s="1"/>
  <c r="I31" i="86"/>
  <c r="I60" i="86" s="1"/>
  <c r="E31" i="86"/>
  <c r="F59" i="86" s="1"/>
  <c r="O30" i="86"/>
  <c r="N30" i="86"/>
  <c r="I30" i="86"/>
  <c r="G30" i="86"/>
  <c r="E30" i="86"/>
  <c r="C30" i="86"/>
  <c r="I25" i="86"/>
  <c r="G25" i="86"/>
  <c r="E25" i="86"/>
  <c r="C25" i="86"/>
  <c r="F22" i="86"/>
  <c r="F21" i="86"/>
  <c r="F20" i="86"/>
  <c r="F19" i="86"/>
  <c r="F18" i="86"/>
  <c r="F17" i="86"/>
  <c r="F16" i="86"/>
  <c r="I14" i="86"/>
  <c r="G14" i="86"/>
  <c r="G31" i="86" s="1"/>
  <c r="E14" i="86"/>
  <c r="C14" i="86"/>
  <c r="C31" i="86" s="1"/>
  <c r="F13" i="86"/>
  <c r="F12" i="86"/>
  <c r="F11" i="86"/>
  <c r="F10" i="86"/>
  <c r="F9" i="86"/>
  <c r="F8" i="86"/>
  <c r="Q34" i="85"/>
  <c r="O34" i="85"/>
  <c r="M34" i="85"/>
  <c r="K34" i="85"/>
  <c r="E18" i="85"/>
  <c r="I18" i="85"/>
  <c r="G18" i="85"/>
  <c r="C18" i="85"/>
  <c r="G17" i="85"/>
  <c r="G26" i="85" s="1"/>
  <c r="C17" i="85"/>
  <c r="C26" i="85" s="1"/>
  <c r="AA6" i="85"/>
  <c r="Y6" i="85"/>
  <c r="W6" i="85"/>
  <c r="U6" i="85"/>
  <c r="G34" i="85"/>
  <c r="AC6" i="85"/>
  <c r="U2" i="85" a="1"/>
  <c r="U2" i="85" s="1"/>
  <c r="B66" i="84"/>
  <c r="I63" i="84"/>
  <c r="E63" i="84"/>
  <c r="I61" i="84"/>
  <c r="I60" i="84"/>
  <c r="E60" i="84"/>
  <c r="J58" i="84"/>
  <c r="I58" i="84"/>
  <c r="H58" i="84"/>
  <c r="F58" i="84"/>
  <c r="E58" i="84"/>
  <c r="D58" i="84"/>
  <c r="I57" i="84"/>
  <c r="E57" i="84"/>
  <c r="I56" i="84"/>
  <c r="G56" i="84"/>
  <c r="E56" i="84"/>
  <c r="I55" i="84"/>
  <c r="E55" i="84"/>
  <c r="I54" i="84"/>
  <c r="E54" i="84"/>
  <c r="I52" i="84"/>
  <c r="E52" i="84"/>
  <c r="J50" i="84"/>
  <c r="I50" i="84"/>
  <c r="H50" i="84"/>
  <c r="F50" i="84"/>
  <c r="E50" i="84"/>
  <c r="D50" i="84"/>
  <c r="I49" i="84"/>
  <c r="E49" i="84"/>
  <c r="I48" i="84"/>
  <c r="G48" i="84"/>
  <c r="E48" i="84"/>
  <c r="I47" i="84"/>
  <c r="E47" i="84"/>
  <c r="I46" i="84"/>
  <c r="E46" i="84"/>
  <c r="I45" i="84"/>
  <c r="E45" i="84"/>
  <c r="I44" i="84"/>
  <c r="G44" i="84"/>
  <c r="E44" i="84"/>
  <c r="I43" i="84"/>
  <c r="G43" i="84"/>
  <c r="E43" i="84"/>
  <c r="I42" i="84"/>
  <c r="E42" i="84"/>
  <c r="I41" i="84"/>
  <c r="E41" i="84"/>
  <c r="I40" i="84"/>
  <c r="G40" i="84"/>
  <c r="E40" i="84"/>
  <c r="I39" i="84"/>
  <c r="G39" i="84"/>
  <c r="E39" i="84"/>
  <c r="I38" i="84"/>
  <c r="E38" i="84"/>
  <c r="I37" i="84"/>
  <c r="G37" i="84"/>
  <c r="E37" i="84"/>
  <c r="I36" i="84"/>
  <c r="G36" i="84"/>
  <c r="E36" i="84"/>
  <c r="I35" i="84"/>
  <c r="G35" i="84"/>
  <c r="E35" i="84"/>
  <c r="I34" i="84"/>
  <c r="E34" i="84"/>
  <c r="I33" i="84"/>
  <c r="G33" i="84"/>
  <c r="E33" i="84"/>
  <c r="I32" i="84"/>
  <c r="G32" i="84"/>
  <c r="E32" i="84"/>
  <c r="I31" i="84"/>
  <c r="G31" i="84"/>
  <c r="E31" i="84"/>
  <c r="I30" i="84"/>
  <c r="E30" i="84"/>
  <c r="I29" i="84"/>
  <c r="G29" i="84"/>
  <c r="E29" i="84"/>
  <c r="I28" i="84"/>
  <c r="G28" i="84"/>
  <c r="E28" i="84"/>
  <c r="I27" i="84"/>
  <c r="G27" i="84"/>
  <c r="E27" i="84"/>
  <c r="I26" i="84"/>
  <c r="E26" i="84"/>
  <c r="I20" i="84"/>
  <c r="H20" i="84"/>
  <c r="H60" i="84" s="1"/>
  <c r="H63" i="84" s="1"/>
  <c r="E20" i="84"/>
  <c r="D20" i="84"/>
  <c r="D60" i="84" s="1"/>
  <c r="D63" i="84" s="1"/>
  <c r="M19" i="84"/>
  <c r="J19" i="84"/>
  <c r="I19" i="84"/>
  <c r="H19" i="84"/>
  <c r="F19" i="84"/>
  <c r="E19" i="84"/>
  <c r="D19" i="84"/>
  <c r="J18" i="84"/>
  <c r="I18" i="84"/>
  <c r="H18" i="84"/>
  <c r="F18" i="84"/>
  <c r="G61" i="84" s="1"/>
  <c r="E18" i="84"/>
  <c r="D18" i="84"/>
  <c r="E61" i="84" s="1"/>
  <c r="J17" i="84"/>
  <c r="I17" i="84"/>
  <c r="H17" i="84"/>
  <c r="F17" i="84"/>
  <c r="E17" i="84"/>
  <c r="D17" i="84"/>
  <c r="I16" i="84"/>
  <c r="E16" i="84"/>
  <c r="I15" i="84"/>
  <c r="E15" i="84"/>
  <c r="J14" i="84"/>
  <c r="I14" i="84"/>
  <c r="H14" i="84"/>
  <c r="F14" i="84"/>
  <c r="E14" i="84"/>
  <c r="D14" i="84"/>
  <c r="I13" i="84"/>
  <c r="E13" i="84"/>
  <c r="I12" i="84"/>
  <c r="E12" i="84"/>
  <c r="J11" i="84"/>
  <c r="I11" i="84"/>
  <c r="H11" i="84"/>
  <c r="F11" i="84"/>
  <c r="E11" i="84"/>
  <c r="D11" i="84"/>
  <c r="I10" i="84"/>
  <c r="E10" i="84"/>
  <c r="I9" i="84"/>
  <c r="E9" i="84"/>
  <c r="H4" i="84"/>
  <c r="F4" i="84"/>
  <c r="K34" i="83"/>
  <c r="G18" i="83"/>
  <c r="C18" i="83"/>
  <c r="C17" i="83"/>
  <c r="C26" i="83" s="1"/>
  <c r="AA6" i="83"/>
  <c r="Y6" i="83"/>
  <c r="W6" i="83"/>
  <c r="U6" i="83"/>
  <c r="I34" i="83"/>
  <c r="C34" i="83"/>
  <c r="AC6" i="83"/>
  <c r="U2" i="83" a="1"/>
  <c r="U2" i="83" s="1"/>
  <c r="C76" i="82"/>
  <c r="I57" i="82"/>
  <c r="G57" i="82"/>
  <c r="E57" i="82"/>
  <c r="C57" i="82"/>
  <c r="I50" i="82"/>
  <c r="G50" i="82"/>
  <c r="E50" i="82"/>
  <c r="C50" i="82"/>
  <c r="I46" i="82"/>
  <c r="G46" i="82"/>
  <c r="E46" i="82"/>
  <c r="C46" i="82"/>
  <c r="I40" i="82"/>
  <c r="I51" i="82" s="1"/>
  <c r="I59" i="82" s="1"/>
  <c r="G40" i="82"/>
  <c r="G51" i="82" s="1"/>
  <c r="G59" i="82" s="1"/>
  <c r="E40" i="82"/>
  <c r="C40" i="82"/>
  <c r="I30" i="82"/>
  <c r="G30" i="82"/>
  <c r="E30" i="82"/>
  <c r="C30" i="82"/>
  <c r="I25" i="82"/>
  <c r="G25" i="82"/>
  <c r="E25" i="82"/>
  <c r="C25" i="82"/>
  <c r="I14" i="82"/>
  <c r="I31" i="82" s="1"/>
  <c r="G14" i="82"/>
  <c r="G31" i="82" s="1"/>
  <c r="E14" i="82"/>
  <c r="E31" i="82" s="1"/>
  <c r="C14" i="82"/>
  <c r="C31" i="82" s="1"/>
  <c r="B66" i="81"/>
  <c r="E63" i="81"/>
  <c r="I61" i="81"/>
  <c r="E61" i="81"/>
  <c r="I60" i="81"/>
  <c r="E60" i="81"/>
  <c r="J58" i="81"/>
  <c r="I58" i="81"/>
  <c r="H58" i="81"/>
  <c r="F58" i="81"/>
  <c r="E58" i="81"/>
  <c r="D58" i="81"/>
  <c r="I57" i="81"/>
  <c r="E57" i="81"/>
  <c r="I56" i="81"/>
  <c r="E56" i="81"/>
  <c r="I55" i="81"/>
  <c r="E55" i="81"/>
  <c r="I54" i="81"/>
  <c r="E54" i="81"/>
  <c r="I52" i="81"/>
  <c r="E52" i="81"/>
  <c r="D52" i="81"/>
  <c r="J50" i="81"/>
  <c r="I50" i="81"/>
  <c r="H50" i="81"/>
  <c r="F50" i="81"/>
  <c r="E50" i="81"/>
  <c r="D50" i="81"/>
  <c r="I49" i="81"/>
  <c r="E49" i="81"/>
  <c r="I48" i="81"/>
  <c r="E48" i="81"/>
  <c r="I47" i="81"/>
  <c r="E47" i="81"/>
  <c r="I46" i="81"/>
  <c r="E46" i="81"/>
  <c r="I45" i="81"/>
  <c r="E45" i="81"/>
  <c r="I44" i="81"/>
  <c r="E44" i="81"/>
  <c r="I43" i="81"/>
  <c r="E43" i="81"/>
  <c r="I42" i="81"/>
  <c r="E42" i="81"/>
  <c r="I41" i="81"/>
  <c r="E41" i="81"/>
  <c r="I40" i="81"/>
  <c r="E40" i="81"/>
  <c r="I39" i="81"/>
  <c r="E39" i="81"/>
  <c r="I38" i="81"/>
  <c r="E38" i="81"/>
  <c r="I37" i="81"/>
  <c r="E37" i="81"/>
  <c r="I36" i="81"/>
  <c r="E36" i="81"/>
  <c r="I35" i="81"/>
  <c r="E35" i="81"/>
  <c r="I34" i="81"/>
  <c r="E34" i="81"/>
  <c r="I33" i="81"/>
  <c r="G33" i="81"/>
  <c r="E33" i="81"/>
  <c r="I32" i="81"/>
  <c r="G32" i="81"/>
  <c r="E32" i="81"/>
  <c r="I31" i="81"/>
  <c r="G31" i="81"/>
  <c r="E31" i="81"/>
  <c r="I30" i="81"/>
  <c r="E30" i="81"/>
  <c r="I29" i="81"/>
  <c r="G29" i="81"/>
  <c r="E29" i="81"/>
  <c r="I28" i="81"/>
  <c r="G28" i="81"/>
  <c r="E28" i="81"/>
  <c r="I27" i="81"/>
  <c r="G27" i="81"/>
  <c r="E27" i="81"/>
  <c r="I26" i="81"/>
  <c r="E26" i="81"/>
  <c r="I20" i="81"/>
  <c r="H20" i="81"/>
  <c r="H52" i="81" s="1"/>
  <c r="E20" i="81"/>
  <c r="D20" i="81"/>
  <c r="D60" i="81" s="1"/>
  <c r="D63" i="81" s="1"/>
  <c r="M19" i="81"/>
  <c r="J19" i="81"/>
  <c r="I19" i="81"/>
  <c r="H19" i="81"/>
  <c r="F19" i="81"/>
  <c r="E19" i="81"/>
  <c r="D19" i="81"/>
  <c r="J18" i="81"/>
  <c r="I18" i="81"/>
  <c r="H18" i="81"/>
  <c r="I63" i="81" s="1"/>
  <c r="F18" i="81"/>
  <c r="E18" i="81"/>
  <c r="D18" i="81"/>
  <c r="J17" i="81"/>
  <c r="I17" i="81"/>
  <c r="H17" i="81"/>
  <c r="F17" i="81"/>
  <c r="E17" i="81"/>
  <c r="D17" i="81"/>
  <c r="I16" i="81"/>
  <c r="G16" i="81"/>
  <c r="E16" i="81"/>
  <c r="I15" i="81"/>
  <c r="G15" i="81"/>
  <c r="E15" i="81"/>
  <c r="J14" i="81"/>
  <c r="I14" i="81"/>
  <c r="H14" i="81"/>
  <c r="F14" i="81"/>
  <c r="E14" i="81"/>
  <c r="D14" i="81"/>
  <c r="I13" i="81"/>
  <c r="G13" i="81"/>
  <c r="E13" i="81"/>
  <c r="I12" i="81"/>
  <c r="G12" i="81"/>
  <c r="E12" i="81"/>
  <c r="J11" i="81"/>
  <c r="I11" i="81"/>
  <c r="H11" i="81"/>
  <c r="F11" i="81"/>
  <c r="E11" i="81"/>
  <c r="D11" i="81"/>
  <c r="I10" i="81"/>
  <c r="G10" i="81"/>
  <c r="E10" i="81"/>
  <c r="I9" i="81"/>
  <c r="G9" i="81"/>
  <c r="E9" i="81"/>
  <c r="F4" i="81"/>
  <c r="H109" i="71"/>
  <c r="F109" i="71"/>
  <c r="R2" i="13"/>
  <c r="R66" i="13" s="1"/>
  <c r="F63" i="18" l="1"/>
  <c r="F65" i="18" s="1"/>
  <c r="F68" i="18" s="1"/>
  <c r="I26" i="83"/>
  <c r="G26" i="83"/>
  <c r="H4" i="81"/>
  <c r="E3" i="83"/>
  <c r="AC7" i="83" s="1"/>
  <c r="E3" i="82"/>
  <c r="E3" i="88"/>
  <c r="AC7" i="88" s="1"/>
  <c r="E3" i="89"/>
  <c r="J4" i="87"/>
  <c r="G3" i="88"/>
  <c r="AC8" i="88" s="1"/>
  <c r="G3" i="89"/>
  <c r="E3" i="91"/>
  <c r="AC7" i="91" s="1"/>
  <c r="E3" i="92"/>
  <c r="E3" i="94"/>
  <c r="AC7" i="94" s="1"/>
  <c r="E3" i="95"/>
  <c r="E3" i="85"/>
  <c r="AC7" i="85" s="1"/>
  <c r="E3" i="86"/>
  <c r="H4" i="90"/>
  <c r="H4" i="93"/>
  <c r="J4" i="84"/>
  <c r="G3" i="85"/>
  <c r="AC8" i="85" s="1"/>
  <c r="G3" i="86"/>
  <c r="I63" i="109"/>
  <c r="I76" i="109" s="1"/>
  <c r="I77" i="109" s="1"/>
  <c r="G77" i="109"/>
  <c r="C43" i="113"/>
  <c r="C38" i="113"/>
  <c r="C35" i="113"/>
  <c r="C53" i="113"/>
  <c r="C48" i="113"/>
  <c r="E53" i="113"/>
  <c r="E48" i="113"/>
  <c r="E35" i="113"/>
  <c r="E38" i="113"/>
  <c r="E43" i="113"/>
  <c r="C77" i="118"/>
  <c r="E63" i="118"/>
  <c r="E76" i="118" s="1"/>
  <c r="G53" i="113"/>
  <c r="G48" i="113"/>
  <c r="G43" i="113"/>
  <c r="G38" i="113"/>
  <c r="G35" i="113"/>
  <c r="E53" i="119"/>
  <c r="E43" i="119"/>
  <c r="E35" i="119"/>
  <c r="E48" i="119"/>
  <c r="E38" i="119"/>
  <c r="G53" i="119"/>
  <c r="G48" i="119"/>
  <c r="G43" i="119"/>
  <c r="G38" i="119"/>
  <c r="G35" i="119"/>
  <c r="G63" i="115"/>
  <c r="G76" i="115" s="1"/>
  <c r="E77" i="115"/>
  <c r="E63" i="112"/>
  <c r="E76" i="112" s="1"/>
  <c r="C77" i="112"/>
  <c r="C53" i="119"/>
  <c r="C48" i="119"/>
  <c r="C43" i="119"/>
  <c r="C38" i="119"/>
  <c r="C35" i="119"/>
  <c r="E53" i="107"/>
  <c r="E48" i="107"/>
  <c r="E43" i="107"/>
  <c r="E38" i="107"/>
  <c r="E35" i="107"/>
  <c r="I53" i="104"/>
  <c r="I48" i="104"/>
  <c r="I43" i="104"/>
  <c r="I38" i="104"/>
  <c r="I35" i="104"/>
  <c r="I53" i="107"/>
  <c r="I48" i="107"/>
  <c r="I43" i="107"/>
  <c r="I38" i="107"/>
  <c r="I35" i="107"/>
  <c r="G63" i="103"/>
  <c r="G76" i="103" s="1"/>
  <c r="E77" i="103"/>
  <c r="C53" i="107"/>
  <c r="C48" i="107"/>
  <c r="C43" i="107"/>
  <c r="C38" i="107"/>
  <c r="C35" i="107"/>
  <c r="G53" i="107"/>
  <c r="G48" i="107"/>
  <c r="G43" i="107"/>
  <c r="G38" i="107"/>
  <c r="G35" i="107"/>
  <c r="E53" i="104"/>
  <c r="E48" i="104"/>
  <c r="E43" i="104"/>
  <c r="E38" i="104"/>
  <c r="E35" i="104"/>
  <c r="C77" i="106"/>
  <c r="E63" i="106"/>
  <c r="E76" i="106" s="1"/>
  <c r="G63" i="100"/>
  <c r="G76" i="100" s="1"/>
  <c r="E77" i="100"/>
  <c r="G63" i="97"/>
  <c r="G76" i="97" s="1"/>
  <c r="E77" i="97"/>
  <c r="I53" i="98"/>
  <c r="I48" i="98"/>
  <c r="I43" i="98"/>
  <c r="I38" i="98"/>
  <c r="I35" i="98"/>
  <c r="E53" i="98"/>
  <c r="E48" i="98"/>
  <c r="E43" i="98"/>
  <c r="E38" i="98"/>
  <c r="E35" i="98"/>
  <c r="F59" i="82"/>
  <c r="F56" i="82"/>
  <c r="F49" i="82"/>
  <c r="F43" i="82"/>
  <c r="F37" i="82"/>
  <c r="F25" i="82"/>
  <c r="F55" i="82"/>
  <c r="F48" i="82"/>
  <c r="F42" i="82"/>
  <c r="F36" i="82"/>
  <c r="F30" i="82"/>
  <c r="F14" i="82"/>
  <c r="F54" i="82"/>
  <c r="F45" i="82"/>
  <c r="F39" i="82"/>
  <c r="F53" i="82"/>
  <c r="F38" i="82"/>
  <c r="F34" i="82"/>
  <c r="F35" i="82"/>
  <c r="F44" i="82"/>
  <c r="J29" i="82"/>
  <c r="J21" i="82"/>
  <c r="J17" i="82"/>
  <c r="J13" i="82"/>
  <c r="J9" i="82"/>
  <c r="J11" i="82"/>
  <c r="J28" i="82"/>
  <c r="J24" i="82"/>
  <c r="J20" i="82"/>
  <c r="J16" i="82"/>
  <c r="J12" i="82"/>
  <c r="J8" i="82"/>
  <c r="J30" i="82"/>
  <c r="J27" i="82"/>
  <c r="J23" i="82"/>
  <c r="J19" i="82"/>
  <c r="J14" i="82"/>
  <c r="J25" i="82"/>
  <c r="J22" i="82"/>
  <c r="J10" i="82"/>
  <c r="J18" i="82"/>
  <c r="C51" i="82"/>
  <c r="C59" i="82" s="1"/>
  <c r="E51" i="82"/>
  <c r="M34" i="83"/>
  <c r="M56" i="83" s="1"/>
  <c r="Q34" i="83"/>
  <c r="Q41" i="83" s="1"/>
  <c r="O34" i="83"/>
  <c r="O56" i="83" s="1"/>
  <c r="C65" i="18"/>
  <c r="J8" i="95"/>
  <c r="J10" i="95"/>
  <c r="J12" i="95"/>
  <c r="H14" i="95"/>
  <c r="J16" i="95"/>
  <c r="J18" i="95"/>
  <c r="J20" i="95"/>
  <c r="J22" i="95"/>
  <c r="J24" i="95"/>
  <c r="F25" i="95"/>
  <c r="J25" i="95"/>
  <c r="F31" i="95"/>
  <c r="J36" i="95"/>
  <c r="J44" i="95"/>
  <c r="F46" i="95"/>
  <c r="F50" i="95"/>
  <c r="C58" i="95"/>
  <c r="D56" i="95"/>
  <c r="D55" i="95"/>
  <c r="D54" i="95"/>
  <c r="D53" i="95"/>
  <c r="D49" i="95"/>
  <c r="D48" i="95"/>
  <c r="D45" i="95"/>
  <c r="D44" i="95"/>
  <c r="D43" i="95"/>
  <c r="D42" i="95"/>
  <c r="D39" i="95"/>
  <c r="D38" i="95"/>
  <c r="D37" i="95"/>
  <c r="D36" i="95"/>
  <c r="D35" i="95"/>
  <c r="D34" i="95"/>
  <c r="D59" i="95"/>
  <c r="D29" i="95"/>
  <c r="D28" i="95"/>
  <c r="D27" i="95"/>
  <c r="D24" i="95"/>
  <c r="D23" i="95"/>
  <c r="D22" i="95"/>
  <c r="D21" i="95"/>
  <c r="D20" i="95"/>
  <c r="D19" i="95"/>
  <c r="D18" i="95"/>
  <c r="D17" i="95"/>
  <c r="D16" i="95"/>
  <c r="D13" i="95"/>
  <c r="D12" i="95"/>
  <c r="D11" i="95"/>
  <c r="D10" i="95"/>
  <c r="D9" i="95"/>
  <c r="D8" i="95"/>
  <c r="C60" i="95"/>
  <c r="D57" i="95"/>
  <c r="D51" i="95"/>
  <c r="D50" i="95"/>
  <c r="D46" i="95"/>
  <c r="D40" i="95"/>
  <c r="D31" i="95"/>
  <c r="H29" i="95"/>
  <c r="H28" i="95"/>
  <c r="H27" i="95"/>
  <c r="H24" i="95"/>
  <c r="H23" i="95"/>
  <c r="H22" i="95"/>
  <c r="H21" i="95"/>
  <c r="H20" i="95"/>
  <c r="H19" i="95"/>
  <c r="H18" i="95"/>
  <c r="H17" i="95"/>
  <c r="H16" i="95"/>
  <c r="H13" i="95"/>
  <c r="H12" i="95"/>
  <c r="H11" i="95"/>
  <c r="H10" i="95"/>
  <c r="H9" i="95"/>
  <c r="H8" i="95"/>
  <c r="G60" i="95"/>
  <c r="H59" i="95"/>
  <c r="G58" i="95"/>
  <c r="H56" i="95"/>
  <c r="H55" i="95"/>
  <c r="H54" i="95"/>
  <c r="H53" i="95"/>
  <c r="H49" i="95"/>
  <c r="H48" i="95"/>
  <c r="H45" i="95"/>
  <c r="H44" i="95"/>
  <c r="H43" i="95"/>
  <c r="H42" i="95"/>
  <c r="H39" i="95"/>
  <c r="H38" i="95"/>
  <c r="H37" i="95"/>
  <c r="H36" i="95"/>
  <c r="H35" i="95"/>
  <c r="H34" i="95"/>
  <c r="H57" i="95"/>
  <c r="H51" i="95"/>
  <c r="H50" i="95"/>
  <c r="H46" i="95"/>
  <c r="H40" i="95"/>
  <c r="H31" i="95"/>
  <c r="E63" i="95"/>
  <c r="E76" i="95" s="1"/>
  <c r="C77" i="95"/>
  <c r="F59" i="95"/>
  <c r="F57" i="95"/>
  <c r="E60" i="95"/>
  <c r="E58" i="95"/>
  <c r="F56" i="95"/>
  <c r="F55" i="95"/>
  <c r="F54" i="95"/>
  <c r="F53" i="95"/>
  <c r="F49" i="95"/>
  <c r="F48" i="95"/>
  <c r="F45" i="95"/>
  <c r="F44" i="95"/>
  <c r="F43" i="95"/>
  <c r="F42" i="95"/>
  <c r="F39" i="95"/>
  <c r="F38" i="95"/>
  <c r="F37" i="95"/>
  <c r="F36" i="95"/>
  <c r="F35" i="95"/>
  <c r="F34" i="95"/>
  <c r="F30" i="95"/>
  <c r="I60" i="95"/>
  <c r="J59" i="95"/>
  <c r="J58" i="95"/>
  <c r="I58" i="95"/>
  <c r="J57" i="95"/>
  <c r="J56" i="95"/>
  <c r="J55" i="95"/>
  <c r="J54" i="95"/>
  <c r="J30" i="95"/>
  <c r="J29" i="95"/>
  <c r="J28" i="95"/>
  <c r="J27" i="95"/>
  <c r="F17" i="95"/>
  <c r="F19" i="95"/>
  <c r="F21" i="95"/>
  <c r="F23" i="95"/>
  <c r="F27" i="95"/>
  <c r="D30" i="95"/>
  <c r="J31" i="95"/>
  <c r="J37" i="95"/>
  <c r="J40" i="95"/>
  <c r="J45" i="95"/>
  <c r="J49" i="95"/>
  <c r="J51" i="95"/>
  <c r="J9" i="95"/>
  <c r="J11" i="95"/>
  <c r="J13" i="95"/>
  <c r="F14" i="95"/>
  <c r="J14" i="95"/>
  <c r="J17" i="95"/>
  <c r="J19" i="95"/>
  <c r="J21" i="95"/>
  <c r="J23" i="95"/>
  <c r="D25" i="95"/>
  <c r="H25" i="95"/>
  <c r="F28" i="95"/>
  <c r="J34" i="95"/>
  <c r="J38" i="95"/>
  <c r="F40" i="95"/>
  <c r="J42" i="95"/>
  <c r="J53" i="95"/>
  <c r="G16" i="93"/>
  <c r="G15" i="93"/>
  <c r="G13" i="93"/>
  <c r="G12" i="93"/>
  <c r="G10" i="93"/>
  <c r="G9" i="93"/>
  <c r="G63" i="93"/>
  <c r="G60" i="93"/>
  <c r="G58" i="93"/>
  <c r="G52" i="93"/>
  <c r="G50" i="93"/>
  <c r="G20" i="93"/>
  <c r="G61" i="93"/>
  <c r="G55" i="93"/>
  <c r="G49" i="93"/>
  <c r="G47" i="93"/>
  <c r="G44" i="93"/>
  <c r="G42" i="93"/>
  <c r="F20" i="93"/>
  <c r="G19" i="93"/>
  <c r="G18" i="93"/>
  <c r="G17" i="93"/>
  <c r="G14" i="93"/>
  <c r="G11" i="93"/>
  <c r="G57" i="93"/>
  <c r="G56" i="93"/>
  <c r="G54" i="93"/>
  <c r="G48" i="93"/>
  <c r="G46" i="93"/>
  <c r="G45" i="93"/>
  <c r="G43" i="93"/>
  <c r="G40" i="93"/>
  <c r="G38" i="93"/>
  <c r="G39" i="93"/>
  <c r="E56" i="94"/>
  <c r="E36" i="94"/>
  <c r="E51" i="94"/>
  <c r="E46" i="94"/>
  <c r="E41" i="94"/>
  <c r="K56" i="94"/>
  <c r="K51" i="94"/>
  <c r="K46" i="94"/>
  <c r="K41" i="94"/>
  <c r="K36" i="94"/>
  <c r="H60" i="93"/>
  <c r="H63" i="93" s="1"/>
  <c r="G7" i="94" s="1"/>
  <c r="G17" i="94" s="1"/>
  <c r="G26" i="94" s="1"/>
  <c r="H52" i="93"/>
  <c r="G27" i="93"/>
  <c r="G29" i="93"/>
  <c r="G31" i="93"/>
  <c r="G33" i="93"/>
  <c r="G35" i="93"/>
  <c r="G37" i="93"/>
  <c r="G56" i="94"/>
  <c r="G51" i="94"/>
  <c r="G46" i="94"/>
  <c r="G41" i="94"/>
  <c r="G36" i="94"/>
  <c r="O53" i="94"/>
  <c r="O48" i="94"/>
  <c r="O43" i="94"/>
  <c r="O38" i="94"/>
  <c r="O35" i="94"/>
  <c r="M41" i="94"/>
  <c r="M56" i="94"/>
  <c r="M51" i="94"/>
  <c r="M46" i="94"/>
  <c r="M36" i="94"/>
  <c r="I56" i="94"/>
  <c r="I51" i="94"/>
  <c r="I46" i="94"/>
  <c r="I41" i="94"/>
  <c r="I36" i="94"/>
  <c r="Q53" i="94"/>
  <c r="Q48" i="94"/>
  <c r="Q43" i="94"/>
  <c r="Q38" i="94"/>
  <c r="Q35" i="94"/>
  <c r="O56" i="94"/>
  <c r="O51" i="94"/>
  <c r="O46" i="94"/>
  <c r="O41" i="94"/>
  <c r="O36" i="94"/>
  <c r="K63" i="93"/>
  <c r="K61" i="93"/>
  <c r="K60" i="93"/>
  <c r="K58" i="93"/>
  <c r="K57" i="93"/>
  <c r="K56" i="93"/>
  <c r="K55" i="93"/>
  <c r="K54" i="93"/>
  <c r="K52" i="93"/>
  <c r="K50" i="93"/>
  <c r="K49" i="93"/>
  <c r="K48" i="93"/>
  <c r="K47" i="93"/>
  <c r="K46" i="93"/>
  <c r="K45" i="93"/>
  <c r="K44" i="93"/>
  <c r="K43" i="93"/>
  <c r="K42" i="93"/>
  <c r="K41" i="93"/>
  <c r="K40" i="93"/>
  <c r="K39" i="93"/>
  <c r="K38" i="93"/>
  <c r="K37" i="93"/>
  <c r="K36" i="93"/>
  <c r="K35" i="93"/>
  <c r="K34" i="93"/>
  <c r="K33" i="93"/>
  <c r="K32" i="93"/>
  <c r="K31" i="93"/>
  <c r="K30" i="93"/>
  <c r="K29" i="93"/>
  <c r="K28" i="93"/>
  <c r="K27" i="93"/>
  <c r="K26" i="93"/>
  <c r="K20" i="93"/>
  <c r="J20" i="93"/>
  <c r="K19" i="93"/>
  <c r="K18" i="93"/>
  <c r="K17" i="93"/>
  <c r="K16" i="93"/>
  <c r="K15" i="93"/>
  <c r="K14" i="93"/>
  <c r="K13" i="93"/>
  <c r="K12" i="93"/>
  <c r="K11" i="93"/>
  <c r="K10" i="93"/>
  <c r="K9" i="93"/>
  <c r="G26" i="93"/>
  <c r="G28" i="93"/>
  <c r="G30" i="93"/>
  <c r="G32" i="93"/>
  <c r="G34" i="93"/>
  <c r="G36" i="93"/>
  <c r="G41" i="93"/>
  <c r="C56" i="94"/>
  <c r="C51" i="94"/>
  <c r="C46" i="94"/>
  <c r="C41" i="94"/>
  <c r="C36" i="94"/>
  <c r="K53" i="94"/>
  <c r="K48" i="94"/>
  <c r="K43" i="94"/>
  <c r="K38" i="94"/>
  <c r="K35" i="94"/>
  <c r="M53" i="94"/>
  <c r="M48" i="94"/>
  <c r="M43" i="94"/>
  <c r="M38" i="94"/>
  <c r="M35" i="94"/>
  <c r="Q56" i="94"/>
  <c r="Q51" i="94"/>
  <c r="Q46" i="94"/>
  <c r="Q41" i="94"/>
  <c r="Q36" i="94"/>
  <c r="E19" i="93"/>
  <c r="I19" i="93"/>
  <c r="D20" i="93"/>
  <c r="E26" i="93"/>
  <c r="E27" i="93"/>
  <c r="E28" i="93"/>
  <c r="E29" i="93"/>
  <c r="E30" i="93"/>
  <c r="E31" i="93"/>
  <c r="E32" i="93"/>
  <c r="E33" i="93"/>
  <c r="E34" i="93"/>
  <c r="E35" i="93"/>
  <c r="E36" i="93"/>
  <c r="E37" i="93"/>
  <c r="E38" i="93"/>
  <c r="E39" i="93"/>
  <c r="E40" i="93"/>
  <c r="E41" i="93"/>
  <c r="E42" i="93"/>
  <c r="E43" i="93"/>
  <c r="E44" i="93"/>
  <c r="E45" i="93"/>
  <c r="E46" i="93"/>
  <c r="E47" i="93"/>
  <c r="E48" i="93"/>
  <c r="E49" i="93"/>
  <c r="E54" i="93"/>
  <c r="E55" i="93"/>
  <c r="E56" i="93"/>
  <c r="E57" i="93"/>
  <c r="H29" i="92"/>
  <c r="H28" i="92"/>
  <c r="H27" i="92"/>
  <c r="H24" i="92"/>
  <c r="H23" i="92"/>
  <c r="H22" i="92"/>
  <c r="H21" i="92"/>
  <c r="H20" i="92"/>
  <c r="H19" i="92"/>
  <c r="H18" i="92"/>
  <c r="H17" i="92"/>
  <c r="H16" i="92"/>
  <c r="H13" i="92"/>
  <c r="H12" i="92"/>
  <c r="H11" i="92"/>
  <c r="H10" i="92"/>
  <c r="H9" i="92"/>
  <c r="H8" i="92"/>
  <c r="G60" i="92"/>
  <c r="H30" i="92"/>
  <c r="H25" i="92"/>
  <c r="H14" i="92"/>
  <c r="H59" i="92"/>
  <c r="G58" i="92"/>
  <c r="H56" i="92"/>
  <c r="H55" i="92"/>
  <c r="H54" i="92"/>
  <c r="H53" i="92"/>
  <c r="H49" i="92"/>
  <c r="H48" i="92"/>
  <c r="H45" i="92"/>
  <c r="H44" i="92"/>
  <c r="H43" i="92"/>
  <c r="H42" i="92"/>
  <c r="H39" i="92"/>
  <c r="H38" i="92"/>
  <c r="H37" i="92"/>
  <c r="H36" i="92"/>
  <c r="H35" i="92"/>
  <c r="H34" i="92"/>
  <c r="H57" i="92"/>
  <c r="H51" i="92"/>
  <c r="H50" i="92"/>
  <c r="H46" i="92"/>
  <c r="H40" i="92"/>
  <c r="H31" i="92"/>
  <c r="E63" i="92"/>
  <c r="E76" i="92" s="1"/>
  <c r="C77" i="92"/>
  <c r="I60" i="92"/>
  <c r="J59" i="92"/>
  <c r="J58" i="92"/>
  <c r="I58" i="92"/>
  <c r="J57" i="92"/>
  <c r="J56" i="92"/>
  <c r="J55" i="92"/>
  <c r="J54" i="92"/>
  <c r="J53" i="92"/>
  <c r="J51" i="92"/>
  <c r="J50" i="92"/>
  <c r="J49" i="92"/>
  <c r="J48" i="92"/>
  <c r="J46" i="92"/>
  <c r="J45" i="92"/>
  <c r="J44" i="92"/>
  <c r="J43" i="92"/>
  <c r="J42" i="92"/>
  <c r="J40" i="92"/>
  <c r="J39" i="92"/>
  <c r="J38" i="92"/>
  <c r="J37" i="92"/>
  <c r="J36" i="92"/>
  <c r="J35" i="92"/>
  <c r="J34" i="92"/>
  <c r="J31" i="92"/>
  <c r="J30" i="92"/>
  <c r="J29" i="92"/>
  <c r="J28" i="92"/>
  <c r="J27" i="92"/>
  <c r="J25" i="92"/>
  <c r="J24" i="92"/>
  <c r="J23" i="92"/>
  <c r="J22" i="92"/>
  <c r="J21" i="92"/>
  <c r="J20" i="92"/>
  <c r="J19" i="92"/>
  <c r="J18" i="92"/>
  <c r="J17" i="92"/>
  <c r="J16" i="92"/>
  <c r="J14" i="92"/>
  <c r="J13" i="92"/>
  <c r="J12" i="92"/>
  <c r="J11" i="92"/>
  <c r="J10" i="92"/>
  <c r="J9" i="92"/>
  <c r="J8" i="92"/>
  <c r="C58" i="92"/>
  <c r="D56" i="92"/>
  <c r="D55" i="92"/>
  <c r="D54" i="92"/>
  <c r="D53" i="92"/>
  <c r="D49" i="92"/>
  <c r="D48" i="92"/>
  <c r="D45" i="92"/>
  <c r="D44" i="92"/>
  <c r="D43" i="92"/>
  <c r="D42" i="92"/>
  <c r="D39" i="92"/>
  <c r="D38" i="92"/>
  <c r="D37" i="92"/>
  <c r="D36" i="92"/>
  <c r="D35" i="92"/>
  <c r="D34" i="92"/>
  <c r="D30" i="92"/>
  <c r="D25" i="92"/>
  <c r="D14" i="92"/>
  <c r="D59" i="92"/>
  <c r="D29" i="92"/>
  <c r="D28" i="92"/>
  <c r="D27" i="92"/>
  <c r="D24" i="92"/>
  <c r="D23" i="92"/>
  <c r="D22" i="92"/>
  <c r="D21" i="92"/>
  <c r="D20" i="92"/>
  <c r="D19" i="92"/>
  <c r="D18" i="92"/>
  <c r="D17" i="92"/>
  <c r="D16" i="92"/>
  <c r="D13" i="92"/>
  <c r="D12" i="92"/>
  <c r="D11" i="92"/>
  <c r="D10" i="92"/>
  <c r="D9" i="92"/>
  <c r="D8" i="92"/>
  <c r="C60" i="92"/>
  <c r="D57" i="92"/>
  <c r="D51" i="92"/>
  <c r="D50" i="92"/>
  <c r="D46" i="92"/>
  <c r="D40" i="92"/>
  <c r="D31" i="92"/>
  <c r="F59" i="92"/>
  <c r="F57" i="92"/>
  <c r="F51" i="92"/>
  <c r="F50" i="92"/>
  <c r="F46" i="92"/>
  <c r="F40" i="92"/>
  <c r="F31" i="92"/>
  <c r="F29" i="92"/>
  <c r="F28" i="92"/>
  <c r="F27" i="92"/>
  <c r="F24" i="92"/>
  <c r="F23" i="92"/>
  <c r="F22" i="92"/>
  <c r="F21" i="92"/>
  <c r="F20" i="92"/>
  <c r="F19" i="92"/>
  <c r="F18" i="92"/>
  <c r="F17" i="92"/>
  <c r="F16" i="92"/>
  <c r="F13" i="92"/>
  <c r="F12" i="92"/>
  <c r="F11" i="92"/>
  <c r="F10" i="92"/>
  <c r="F9" i="92"/>
  <c r="F8" i="92"/>
  <c r="E60" i="92"/>
  <c r="E58" i="92"/>
  <c r="F56" i="92"/>
  <c r="F55" i="92"/>
  <c r="F54" i="92"/>
  <c r="F53" i="92"/>
  <c r="F49" i="92"/>
  <c r="F48" i="92"/>
  <c r="F45" i="92"/>
  <c r="F44" i="92"/>
  <c r="F43" i="92"/>
  <c r="F42" i="92"/>
  <c r="F39" i="92"/>
  <c r="F38" i="92"/>
  <c r="F37" i="92"/>
  <c r="F36" i="92"/>
  <c r="F35" i="92"/>
  <c r="F34" i="92"/>
  <c r="F30" i="92"/>
  <c r="F25" i="92"/>
  <c r="F14" i="92"/>
  <c r="M53" i="91"/>
  <c r="M43" i="91"/>
  <c r="M35" i="91"/>
  <c r="M48" i="91"/>
  <c r="M38" i="91"/>
  <c r="G29" i="90"/>
  <c r="G31" i="90"/>
  <c r="G33" i="90"/>
  <c r="G35" i="90"/>
  <c r="G37" i="90"/>
  <c r="G39" i="90"/>
  <c r="G41" i="90"/>
  <c r="G43" i="90"/>
  <c r="G45" i="90"/>
  <c r="G47" i="90"/>
  <c r="G49" i="90"/>
  <c r="G55" i="90"/>
  <c r="I56" i="91"/>
  <c r="I51" i="91"/>
  <c r="I46" i="91"/>
  <c r="I41" i="91"/>
  <c r="I36" i="91"/>
  <c r="O53" i="91"/>
  <c r="O48" i="91"/>
  <c r="O43" i="91"/>
  <c r="O38" i="91"/>
  <c r="O35" i="91"/>
  <c r="M46" i="91"/>
  <c r="M41" i="91"/>
  <c r="M56" i="91"/>
  <c r="M51" i="91"/>
  <c r="M36" i="91"/>
  <c r="G56" i="91"/>
  <c r="G51" i="91"/>
  <c r="G46" i="91"/>
  <c r="G41" i="91"/>
  <c r="G36" i="91"/>
  <c r="K56" i="91"/>
  <c r="K51" i="91"/>
  <c r="K46" i="91"/>
  <c r="K41" i="91"/>
  <c r="K36" i="91"/>
  <c r="G16" i="90"/>
  <c r="G15" i="90"/>
  <c r="G13" i="90"/>
  <c r="G12" i="90"/>
  <c r="G10" i="90"/>
  <c r="G9" i="90"/>
  <c r="G63" i="90"/>
  <c r="G60" i="90"/>
  <c r="G58" i="90"/>
  <c r="G52" i="90"/>
  <c r="G50" i="90"/>
  <c r="G20" i="90"/>
  <c r="F20" i="90"/>
  <c r="G19" i="90"/>
  <c r="G18" i="90"/>
  <c r="G17" i="90"/>
  <c r="G14" i="90"/>
  <c r="G11" i="90"/>
  <c r="G27" i="90"/>
  <c r="H60" i="90"/>
  <c r="H63" i="90" s="1"/>
  <c r="G7" i="91" s="1"/>
  <c r="G17" i="91" s="1"/>
  <c r="G26" i="91" s="1"/>
  <c r="H52" i="90"/>
  <c r="C56" i="91"/>
  <c r="C51" i="91"/>
  <c r="C46" i="91"/>
  <c r="C41" i="91"/>
  <c r="C36" i="91"/>
  <c r="O56" i="91"/>
  <c r="O51" i="91"/>
  <c r="O46" i="91"/>
  <c r="O41" i="91"/>
  <c r="O36" i="91"/>
  <c r="K63" i="90"/>
  <c r="K61" i="90"/>
  <c r="K60" i="90"/>
  <c r="K58" i="90"/>
  <c r="K57" i="90"/>
  <c r="K56" i="90"/>
  <c r="K55" i="90"/>
  <c r="K54" i="90"/>
  <c r="K52" i="90"/>
  <c r="K50" i="90"/>
  <c r="K49" i="90"/>
  <c r="K48" i="90"/>
  <c r="K47" i="90"/>
  <c r="K46" i="90"/>
  <c r="K45" i="90"/>
  <c r="K44" i="90"/>
  <c r="K43" i="90"/>
  <c r="K42" i="90"/>
  <c r="K41" i="90"/>
  <c r="K40" i="90"/>
  <c r="K39" i="90"/>
  <c r="K38" i="90"/>
  <c r="K37" i="90"/>
  <c r="K36" i="90"/>
  <c r="K35" i="90"/>
  <c r="K34" i="90"/>
  <c r="K33" i="90"/>
  <c r="K32" i="90"/>
  <c r="K31" i="90"/>
  <c r="K30" i="90"/>
  <c r="K29" i="90"/>
  <c r="K28" i="90"/>
  <c r="K27" i="90"/>
  <c r="K26" i="90"/>
  <c r="K20" i="90"/>
  <c r="J20" i="90"/>
  <c r="K19" i="90"/>
  <c r="K18" i="90"/>
  <c r="K17" i="90"/>
  <c r="K16" i="90"/>
  <c r="K15" i="90"/>
  <c r="K14" i="90"/>
  <c r="K13" i="90"/>
  <c r="K12" i="90"/>
  <c r="K11" i="90"/>
  <c r="K10" i="90"/>
  <c r="K9" i="90"/>
  <c r="G26" i="90"/>
  <c r="G28" i="90"/>
  <c r="G30" i="90"/>
  <c r="G32" i="90"/>
  <c r="G34" i="90"/>
  <c r="G36" i="90"/>
  <c r="G38" i="90"/>
  <c r="G40" i="90"/>
  <c r="G42" i="90"/>
  <c r="G44" i="90"/>
  <c r="G46" i="90"/>
  <c r="G48" i="90"/>
  <c r="G54" i="90"/>
  <c r="G56" i="90"/>
  <c r="G61" i="90"/>
  <c r="E56" i="91"/>
  <c r="E51" i="91"/>
  <c r="E41" i="91"/>
  <c r="E36" i="91"/>
  <c r="E46" i="91"/>
  <c r="K53" i="91"/>
  <c r="K48" i="91"/>
  <c r="K43" i="91"/>
  <c r="K38" i="91"/>
  <c r="K35" i="91"/>
  <c r="Q53" i="91"/>
  <c r="Q48" i="91"/>
  <c r="Q43" i="91"/>
  <c r="Q38" i="91"/>
  <c r="Q35" i="91"/>
  <c r="Q56" i="91"/>
  <c r="Q51" i="91"/>
  <c r="Q46" i="91"/>
  <c r="Q41" i="91"/>
  <c r="Q36" i="91"/>
  <c r="E11" i="90"/>
  <c r="I11" i="90"/>
  <c r="E14" i="90"/>
  <c r="I14" i="90"/>
  <c r="E17" i="90"/>
  <c r="I17" i="90"/>
  <c r="E18" i="90"/>
  <c r="I18" i="90"/>
  <c r="E19" i="90"/>
  <c r="I19" i="90"/>
  <c r="D20" i="90"/>
  <c r="E26" i="90"/>
  <c r="E27" i="90"/>
  <c r="E28" i="90"/>
  <c r="E29" i="90"/>
  <c r="E30" i="90"/>
  <c r="E31" i="90"/>
  <c r="E32" i="90"/>
  <c r="E33" i="90"/>
  <c r="E34" i="90"/>
  <c r="E35" i="90"/>
  <c r="E36" i="90"/>
  <c r="E37" i="90"/>
  <c r="E38" i="90"/>
  <c r="E39" i="90"/>
  <c r="E40" i="90"/>
  <c r="E41" i="90"/>
  <c r="E42" i="90"/>
  <c r="E43" i="90"/>
  <c r="E44" i="90"/>
  <c r="E45" i="90"/>
  <c r="E46" i="90"/>
  <c r="E47" i="90"/>
  <c r="E48" i="90"/>
  <c r="E49" i="90"/>
  <c r="E54" i="90"/>
  <c r="E55" i="90"/>
  <c r="E56" i="90"/>
  <c r="E57" i="90"/>
  <c r="C34" i="88"/>
  <c r="C51" i="88" s="1"/>
  <c r="I60" i="89"/>
  <c r="J59" i="89"/>
  <c r="J58" i="89"/>
  <c r="I58" i="89"/>
  <c r="J57" i="89"/>
  <c r="J56" i="89"/>
  <c r="J55" i="89"/>
  <c r="J54" i="89"/>
  <c r="J53" i="89"/>
  <c r="J51" i="89"/>
  <c r="J50" i="89"/>
  <c r="J49" i="89"/>
  <c r="J48" i="89"/>
  <c r="J46" i="89"/>
  <c r="J45" i="89"/>
  <c r="J44" i="89"/>
  <c r="J43" i="89"/>
  <c r="J42" i="89"/>
  <c r="J40" i="89"/>
  <c r="J39" i="89"/>
  <c r="J38" i="89"/>
  <c r="J37" i="89"/>
  <c r="J36" i="89"/>
  <c r="J35" i="89"/>
  <c r="J34" i="89"/>
  <c r="J31" i="89"/>
  <c r="J29" i="89"/>
  <c r="J27" i="89"/>
  <c r="J23" i="89"/>
  <c r="J21" i="89"/>
  <c r="J19" i="89"/>
  <c r="J14" i="89"/>
  <c r="J13" i="89"/>
  <c r="J11" i="89"/>
  <c r="J9" i="89"/>
  <c r="J30" i="89"/>
  <c r="J28" i="89"/>
  <c r="J25" i="89"/>
  <c r="J24" i="89"/>
  <c r="J22" i="89"/>
  <c r="J20" i="89"/>
  <c r="J18" i="89"/>
  <c r="J17" i="89"/>
  <c r="J16" i="89"/>
  <c r="J12" i="89"/>
  <c r="J10" i="89"/>
  <c r="J8" i="89"/>
  <c r="H29" i="89"/>
  <c r="H28" i="89"/>
  <c r="H27" i="89"/>
  <c r="H24" i="89"/>
  <c r="H23" i="89"/>
  <c r="H22" i="89"/>
  <c r="H21" i="89"/>
  <c r="H20" i="89"/>
  <c r="H19" i="89"/>
  <c r="H18" i="89"/>
  <c r="H17" i="89"/>
  <c r="H16" i="89"/>
  <c r="H13" i="89"/>
  <c r="H12" i="89"/>
  <c r="H11" i="89"/>
  <c r="H10" i="89"/>
  <c r="H9" i="89"/>
  <c r="H8" i="89"/>
  <c r="G60" i="89"/>
  <c r="H30" i="89"/>
  <c r="H25" i="89"/>
  <c r="H14" i="89"/>
  <c r="H59" i="89"/>
  <c r="G58" i="89"/>
  <c r="H56" i="89"/>
  <c r="H55" i="89"/>
  <c r="H54" i="89"/>
  <c r="H53" i="89"/>
  <c r="H49" i="89"/>
  <c r="H48" i="89"/>
  <c r="H45" i="89"/>
  <c r="H44" i="89"/>
  <c r="H43" i="89"/>
  <c r="H42" i="89"/>
  <c r="H39" i="89"/>
  <c r="H38" i="89"/>
  <c r="H37" i="89"/>
  <c r="H36" i="89"/>
  <c r="H35" i="89"/>
  <c r="H34" i="89"/>
  <c r="H40" i="89"/>
  <c r="H31" i="89"/>
  <c r="H57" i="89"/>
  <c r="H51" i="89"/>
  <c r="H50" i="89"/>
  <c r="H46" i="89"/>
  <c r="E63" i="89"/>
  <c r="E76" i="89" s="1"/>
  <c r="C77" i="89"/>
  <c r="C58" i="89"/>
  <c r="D56" i="89"/>
  <c r="D55" i="89"/>
  <c r="D54" i="89"/>
  <c r="D53" i="89"/>
  <c r="D49" i="89"/>
  <c r="D48" i="89"/>
  <c r="D45" i="89"/>
  <c r="D44" i="89"/>
  <c r="D43" i="89"/>
  <c r="D42" i="89"/>
  <c r="D39" i="89"/>
  <c r="D38" i="89"/>
  <c r="D37" i="89"/>
  <c r="D36" i="89"/>
  <c r="D35" i="89"/>
  <c r="D34" i="89"/>
  <c r="D30" i="89"/>
  <c r="D25" i="89"/>
  <c r="D14" i="89"/>
  <c r="D31" i="89"/>
  <c r="D59" i="89"/>
  <c r="D29" i="89"/>
  <c r="D28" i="89"/>
  <c r="D27" i="89"/>
  <c r="D24" i="89"/>
  <c r="D23" i="89"/>
  <c r="D22" i="89"/>
  <c r="D21" i="89"/>
  <c r="D20" i="89"/>
  <c r="D19" i="89"/>
  <c r="D18" i="89"/>
  <c r="D17" i="89"/>
  <c r="D16" i="89"/>
  <c r="D13" i="89"/>
  <c r="D12" i="89"/>
  <c r="D11" i="89"/>
  <c r="D10" i="89"/>
  <c r="D9" i="89"/>
  <c r="D8" i="89"/>
  <c r="D40" i="89"/>
  <c r="C60" i="89"/>
  <c r="D57" i="89"/>
  <c r="D51" i="89"/>
  <c r="D50" i="89"/>
  <c r="D46" i="89"/>
  <c r="F59" i="89"/>
  <c r="F57" i="89"/>
  <c r="F51" i="89"/>
  <c r="F50" i="89"/>
  <c r="F46" i="89"/>
  <c r="F40" i="89"/>
  <c r="F31" i="89"/>
  <c r="F29" i="89"/>
  <c r="F28" i="89"/>
  <c r="F27" i="89"/>
  <c r="F24" i="89"/>
  <c r="F23" i="89"/>
  <c r="F22" i="89"/>
  <c r="F21" i="89"/>
  <c r="F20" i="89"/>
  <c r="F19" i="89"/>
  <c r="F18" i="89"/>
  <c r="F17" i="89"/>
  <c r="F16" i="89"/>
  <c r="F13" i="89"/>
  <c r="F12" i="89"/>
  <c r="F11" i="89"/>
  <c r="F10" i="89"/>
  <c r="F9" i="89"/>
  <c r="F8" i="89"/>
  <c r="F44" i="89"/>
  <c r="F38" i="89"/>
  <c r="F34" i="89"/>
  <c r="F25" i="89"/>
  <c r="E60" i="89"/>
  <c r="F45" i="89"/>
  <c r="F43" i="89"/>
  <c r="F42" i="89"/>
  <c r="F39" i="89"/>
  <c r="F37" i="89"/>
  <c r="F36" i="89"/>
  <c r="F35" i="89"/>
  <c r="F30" i="89"/>
  <c r="F14" i="89"/>
  <c r="E58" i="89"/>
  <c r="F56" i="89"/>
  <c r="F55" i="89"/>
  <c r="F54" i="89"/>
  <c r="F53" i="89"/>
  <c r="F49" i="89"/>
  <c r="F48" i="89"/>
  <c r="M53" i="88"/>
  <c r="M48" i="88"/>
  <c r="M43" i="88"/>
  <c r="M38" i="88"/>
  <c r="M35" i="88"/>
  <c r="M56" i="88"/>
  <c r="M51" i="88"/>
  <c r="M46" i="88"/>
  <c r="M41" i="88"/>
  <c r="M36" i="88"/>
  <c r="E56" i="88"/>
  <c r="E51" i="88"/>
  <c r="E46" i="88"/>
  <c r="E41" i="88"/>
  <c r="E36" i="88"/>
  <c r="K9" i="87"/>
  <c r="K12" i="87"/>
  <c r="G56" i="88"/>
  <c r="G51" i="88"/>
  <c r="G46" i="88"/>
  <c r="G41" i="88"/>
  <c r="G36" i="88"/>
  <c r="O56" i="88"/>
  <c r="O51" i="88"/>
  <c r="O46" i="88"/>
  <c r="O41" i="88"/>
  <c r="O36" i="88"/>
  <c r="G16" i="87"/>
  <c r="G15" i="87"/>
  <c r="G13" i="87"/>
  <c r="G12" i="87"/>
  <c r="G10" i="87"/>
  <c r="G9" i="87"/>
  <c r="G63" i="87"/>
  <c r="G60" i="87"/>
  <c r="G58" i="87"/>
  <c r="G52" i="87"/>
  <c r="G50" i="87"/>
  <c r="G20" i="87"/>
  <c r="G19" i="87"/>
  <c r="G18" i="87"/>
  <c r="G17" i="87"/>
  <c r="F20" i="87"/>
  <c r="G14" i="87"/>
  <c r="G27" i="87"/>
  <c r="G29" i="87"/>
  <c r="G31" i="87"/>
  <c r="G33" i="87"/>
  <c r="G35" i="87"/>
  <c r="G37" i="87"/>
  <c r="G39" i="87"/>
  <c r="G41" i="87"/>
  <c r="G43" i="87"/>
  <c r="G45" i="87"/>
  <c r="G47" i="87"/>
  <c r="G49" i="87"/>
  <c r="G55" i="87"/>
  <c r="G57" i="87"/>
  <c r="I56" i="88"/>
  <c r="I51" i="88"/>
  <c r="I46" i="88"/>
  <c r="I41" i="88"/>
  <c r="I36" i="88"/>
  <c r="O53" i="88"/>
  <c r="O48" i="88"/>
  <c r="O43" i="88"/>
  <c r="O38" i="88"/>
  <c r="O35" i="88"/>
  <c r="Q56" i="88"/>
  <c r="Q51" i="88"/>
  <c r="Q46" i="88"/>
  <c r="Q41" i="88"/>
  <c r="Q36" i="88"/>
  <c r="G11" i="87"/>
  <c r="H60" i="87"/>
  <c r="H63" i="87" s="1"/>
  <c r="G7" i="88" s="1"/>
  <c r="G17" i="88" s="1"/>
  <c r="G26" i="88" s="1"/>
  <c r="H52" i="87"/>
  <c r="C56" i="88"/>
  <c r="C36" i="88"/>
  <c r="K56" i="88"/>
  <c r="K51" i="88"/>
  <c r="K46" i="88"/>
  <c r="K41" i="88"/>
  <c r="K36" i="88"/>
  <c r="K18" i="87"/>
  <c r="K63" i="87"/>
  <c r="K61" i="87"/>
  <c r="K60" i="87"/>
  <c r="K58" i="87"/>
  <c r="K57" i="87"/>
  <c r="K56" i="87"/>
  <c r="K55" i="87"/>
  <c r="K54" i="87"/>
  <c r="K52" i="87"/>
  <c r="K50" i="87"/>
  <c r="K49" i="87"/>
  <c r="K48" i="87"/>
  <c r="K47" i="87"/>
  <c r="K46" i="87"/>
  <c r="K45" i="87"/>
  <c r="K44" i="87"/>
  <c r="K43" i="87"/>
  <c r="K42" i="87"/>
  <c r="K41" i="87"/>
  <c r="K40" i="87"/>
  <c r="K39" i="87"/>
  <c r="K38" i="87"/>
  <c r="K37" i="87"/>
  <c r="K36" i="87"/>
  <c r="K35" i="87"/>
  <c r="K34" i="87"/>
  <c r="K33" i="87"/>
  <c r="K32" i="87"/>
  <c r="K31" i="87"/>
  <c r="K30" i="87"/>
  <c r="K29" i="87"/>
  <c r="K28" i="87"/>
  <c r="K27" i="87"/>
  <c r="K26" i="87"/>
  <c r="K20" i="87"/>
  <c r="J20" i="87"/>
  <c r="K14" i="87"/>
  <c r="K13" i="87"/>
  <c r="K19" i="87"/>
  <c r="K17" i="87"/>
  <c r="K15" i="87"/>
  <c r="G61" i="87"/>
  <c r="K53" i="88"/>
  <c r="K48" i="88"/>
  <c r="K43" i="88"/>
  <c r="K38" i="88"/>
  <c r="K35" i="88"/>
  <c r="E11" i="87"/>
  <c r="I11" i="87"/>
  <c r="E14" i="87"/>
  <c r="I14" i="87"/>
  <c r="E17" i="87"/>
  <c r="I17" i="87"/>
  <c r="E18" i="87"/>
  <c r="I18" i="87"/>
  <c r="E19" i="87"/>
  <c r="I19" i="87"/>
  <c r="D20" i="87"/>
  <c r="E26" i="87"/>
  <c r="E27" i="87"/>
  <c r="E28" i="87"/>
  <c r="E29" i="87"/>
  <c r="E30" i="87"/>
  <c r="E31" i="87"/>
  <c r="E32" i="87"/>
  <c r="E33" i="87"/>
  <c r="E34" i="87"/>
  <c r="E35" i="87"/>
  <c r="E36" i="87"/>
  <c r="E37" i="87"/>
  <c r="E38" i="87"/>
  <c r="E39" i="87"/>
  <c r="E40" i="87"/>
  <c r="E41" i="87"/>
  <c r="E42" i="87"/>
  <c r="E43" i="87"/>
  <c r="E44" i="87"/>
  <c r="E45" i="87"/>
  <c r="E46" i="87"/>
  <c r="E47" i="87"/>
  <c r="E48" i="87"/>
  <c r="E49" i="87"/>
  <c r="E54" i="87"/>
  <c r="E55" i="87"/>
  <c r="E56" i="87"/>
  <c r="E57" i="87"/>
  <c r="I34" i="85"/>
  <c r="I41" i="85" s="1"/>
  <c r="O38" i="85"/>
  <c r="M35" i="85"/>
  <c r="Q38" i="83"/>
  <c r="K17" i="83"/>
  <c r="K26" i="83" s="1"/>
  <c r="K53" i="83" s="1"/>
  <c r="M48" i="83"/>
  <c r="O43" i="83"/>
  <c r="E63" i="86"/>
  <c r="E76" i="86" s="1"/>
  <c r="C77" i="86"/>
  <c r="C58" i="86"/>
  <c r="D56" i="86"/>
  <c r="D55" i="86"/>
  <c r="D54" i="86"/>
  <c r="D53" i="86"/>
  <c r="D49" i="86"/>
  <c r="D48" i="86"/>
  <c r="D45" i="86"/>
  <c r="D44" i="86"/>
  <c r="D43" i="86"/>
  <c r="D42" i="86"/>
  <c r="D39" i="86"/>
  <c r="D38" i="86"/>
  <c r="D37" i="86"/>
  <c r="D36" i="86"/>
  <c r="D35" i="86"/>
  <c r="D34" i="86"/>
  <c r="D30" i="86"/>
  <c r="D25" i="86"/>
  <c r="D14" i="86"/>
  <c r="D59" i="86"/>
  <c r="D29" i="86"/>
  <c r="D28" i="86"/>
  <c r="D27" i="86"/>
  <c r="D24" i="86"/>
  <c r="D23" i="86"/>
  <c r="D22" i="86"/>
  <c r="D21" i="86"/>
  <c r="D20" i="86"/>
  <c r="D19" i="86"/>
  <c r="D18" i="86"/>
  <c r="D17" i="86"/>
  <c r="D16" i="86"/>
  <c r="D13" i="86"/>
  <c r="D12" i="86"/>
  <c r="D11" i="86"/>
  <c r="D10" i="86"/>
  <c r="D9" i="86"/>
  <c r="D8" i="86"/>
  <c r="C60" i="86"/>
  <c r="D57" i="86"/>
  <c r="D51" i="86"/>
  <c r="D50" i="86"/>
  <c r="D46" i="86"/>
  <c r="D40" i="86"/>
  <c r="D31" i="86"/>
  <c r="H29" i="86"/>
  <c r="H28" i="86"/>
  <c r="H27" i="86"/>
  <c r="H24" i="86"/>
  <c r="H23" i="86"/>
  <c r="H22" i="86"/>
  <c r="H21" i="86"/>
  <c r="H20" i="86"/>
  <c r="H19" i="86"/>
  <c r="H18" i="86"/>
  <c r="H17" i="86"/>
  <c r="H16" i="86"/>
  <c r="H13" i="86"/>
  <c r="H12" i="86"/>
  <c r="H11" i="86"/>
  <c r="H10" i="86"/>
  <c r="H9" i="86"/>
  <c r="H8" i="86"/>
  <c r="G60" i="86"/>
  <c r="H30" i="86"/>
  <c r="H25" i="86"/>
  <c r="H14" i="86"/>
  <c r="H59" i="86"/>
  <c r="G58" i="86"/>
  <c r="H56" i="86"/>
  <c r="H55" i="86"/>
  <c r="H54" i="86"/>
  <c r="H53" i="86"/>
  <c r="H49" i="86"/>
  <c r="H48" i="86"/>
  <c r="H45" i="86"/>
  <c r="H44" i="86"/>
  <c r="H43" i="86"/>
  <c r="H42" i="86"/>
  <c r="H39" i="86"/>
  <c r="H38" i="86"/>
  <c r="H37" i="86"/>
  <c r="H36" i="86"/>
  <c r="H35" i="86"/>
  <c r="H34" i="86"/>
  <c r="H57" i="86"/>
  <c r="H51" i="86"/>
  <c r="H50" i="86"/>
  <c r="H46" i="86"/>
  <c r="H40" i="86"/>
  <c r="H31" i="86"/>
  <c r="J8" i="86"/>
  <c r="J9" i="86"/>
  <c r="J10" i="86"/>
  <c r="J11" i="86"/>
  <c r="J12" i="86"/>
  <c r="J13" i="86"/>
  <c r="F14" i="86"/>
  <c r="J14" i="86"/>
  <c r="J16" i="86"/>
  <c r="J17" i="86"/>
  <c r="J18" i="86"/>
  <c r="J19" i="86"/>
  <c r="J20" i="86"/>
  <c r="J21" i="86"/>
  <c r="J22" i="86"/>
  <c r="J23" i="86"/>
  <c r="J24" i="86"/>
  <c r="F25" i="86"/>
  <c r="J25" i="86"/>
  <c r="J27" i="86"/>
  <c r="J28" i="86"/>
  <c r="J29" i="86"/>
  <c r="F30" i="86"/>
  <c r="J30" i="86"/>
  <c r="F34" i="86"/>
  <c r="F35" i="86"/>
  <c r="F36" i="86"/>
  <c r="F37" i="86"/>
  <c r="F38" i="86"/>
  <c r="F39" i="86"/>
  <c r="F42" i="86"/>
  <c r="F43" i="86"/>
  <c r="F44" i="86"/>
  <c r="F45" i="86"/>
  <c r="F48" i="86"/>
  <c r="F49" i="86"/>
  <c r="F53" i="86"/>
  <c r="F54" i="86"/>
  <c r="F55" i="86"/>
  <c r="F56" i="86"/>
  <c r="E58" i="86"/>
  <c r="E60" i="86"/>
  <c r="F23" i="86"/>
  <c r="F24" i="86"/>
  <c r="F27" i="86"/>
  <c r="F28" i="86"/>
  <c r="F29" i="86"/>
  <c r="F31" i="86"/>
  <c r="J31" i="86"/>
  <c r="J34" i="86"/>
  <c r="J35" i="86"/>
  <c r="J36" i="86"/>
  <c r="J37" i="86"/>
  <c r="J38" i="86"/>
  <c r="J39" i="86"/>
  <c r="F40" i="86"/>
  <c r="J40" i="86"/>
  <c r="J42" i="86"/>
  <c r="J43" i="86"/>
  <c r="J44" i="86"/>
  <c r="J45" i="86"/>
  <c r="F46" i="86"/>
  <c r="J46" i="86"/>
  <c r="J48" i="86"/>
  <c r="J49" i="86"/>
  <c r="F50" i="86"/>
  <c r="J50" i="86"/>
  <c r="F51" i="86"/>
  <c r="J51" i="86"/>
  <c r="J53" i="86"/>
  <c r="J54" i="86"/>
  <c r="J55" i="86"/>
  <c r="J56" i="86"/>
  <c r="F57" i="86"/>
  <c r="J57" i="86"/>
  <c r="I58" i="86"/>
  <c r="J58" i="86"/>
  <c r="J59" i="86"/>
  <c r="M56" i="85"/>
  <c r="M41" i="85"/>
  <c r="M51" i="85"/>
  <c r="M46" i="85"/>
  <c r="M36" i="85"/>
  <c r="E56" i="85"/>
  <c r="E46" i="85"/>
  <c r="E51" i="85"/>
  <c r="E41" i="85"/>
  <c r="E36" i="85"/>
  <c r="G41" i="84"/>
  <c r="G45" i="84"/>
  <c r="G49" i="84"/>
  <c r="G57" i="84"/>
  <c r="I56" i="85"/>
  <c r="I51" i="85"/>
  <c r="I46" i="85"/>
  <c r="I36" i="85"/>
  <c r="I17" i="85"/>
  <c r="I26" i="85" s="1"/>
  <c r="G53" i="85"/>
  <c r="G48" i="85"/>
  <c r="G43" i="85"/>
  <c r="G38" i="85"/>
  <c r="G35" i="85"/>
  <c r="O53" i="85"/>
  <c r="O48" i="85"/>
  <c r="O43" i="85"/>
  <c r="O35" i="85"/>
  <c r="K56" i="85"/>
  <c r="K51" i="85"/>
  <c r="K46" i="85"/>
  <c r="K41" i="85"/>
  <c r="K36" i="85"/>
  <c r="C56" i="85"/>
  <c r="C51" i="85"/>
  <c r="C46" i="85"/>
  <c r="C41" i="85"/>
  <c r="C36" i="85"/>
  <c r="C53" i="85"/>
  <c r="C48" i="85"/>
  <c r="C43" i="85"/>
  <c r="C38" i="85"/>
  <c r="C35" i="85"/>
  <c r="K53" i="85"/>
  <c r="K48" i="85"/>
  <c r="K43" i="85"/>
  <c r="K38" i="85"/>
  <c r="K35" i="85"/>
  <c r="E53" i="85"/>
  <c r="E48" i="85"/>
  <c r="E43" i="85"/>
  <c r="E38" i="85"/>
  <c r="E35" i="85"/>
  <c r="K12" i="84"/>
  <c r="K63" i="84"/>
  <c r="K61" i="84"/>
  <c r="K60" i="84"/>
  <c r="K58" i="84"/>
  <c r="K57" i="84"/>
  <c r="K56" i="84"/>
  <c r="K55" i="84"/>
  <c r="K54" i="84"/>
  <c r="K52" i="84"/>
  <c r="K50" i="84"/>
  <c r="K49" i="84"/>
  <c r="K48" i="84"/>
  <c r="K47" i="84"/>
  <c r="K46" i="84"/>
  <c r="K45" i="84"/>
  <c r="K44" i="84"/>
  <c r="K43" i="84"/>
  <c r="K42" i="84"/>
  <c r="K41" i="84"/>
  <c r="K40" i="84"/>
  <c r="K39" i="84"/>
  <c r="K38" i="84"/>
  <c r="K37" i="84"/>
  <c r="K36" i="84"/>
  <c r="K35" i="84"/>
  <c r="K34" i="84"/>
  <c r="K33" i="84"/>
  <c r="K32" i="84"/>
  <c r="K31" i="84"/>
  <c r="K30" i="84"/>
  <c r="K29" i="84"/>
  <c r="K28" i="84"/>
  <c r="K27" i="84"/>
  <c r="K26" i="84"/>
  <c r="K20" i="84"/>
  <c r="J20" i="84"/>
  <c r="K19" i="84"/>
  <c r="K18" i="84"/>
  <c r="K17" i="84"/>
  <c r="K15" i="84"/>
  <c r="K14" i="84"/>
  <c r="K13" i="84"/>
  <c r="K10" i="84"/>
  <c r="K16" i="84"/>
  <c r="K11" i="84"/>
  <c r="K9" i="84"/>
  <c r="G47" i="84"/>
  <c r="G55" i="84"/>
  <c r="O56" i="85"/>
  <c r="O51" i="85"/>
  <c r="O46" i="85"/>
  <c r="O41" i="85"/>
  <c r="O36" i="85"/>
  <c r="G16" i="84"/>
  <c r="G15" i="84"/>
  <c r="G13" i="84"/>
  <c r="G12" i="84"/>
  <c r="G10" i="84"/>
  <c r="G9" i="84"/>
  <c r="G63" i="84"/>
  <c r="G60" i="84"/>
  <c r="G58" i="84"/>
  <c r="G52" i="84"/>
  <c r="G50" i="84"/>
  <c r="G20" i="84"/>
  <c r="G17" i="84"/>
  <c r="G11" i="84"/>
  <c r="F20" i="84"/>
  <c r="G19" i="84"/>
  <c r="G18" i="84"/>
  <c r="G14" i="84"/>
  <c r="G26" i="84"/>
  <c r="G30" i="84"/>
  <c r="G34" i="84"/>
  <c r="G38" i="84"/>
  <c r="G42" i="84"/>
  <c r="G46" i="84"/>
  <c r="G54" i="84"/>
  <c r="G56" i="85"/>
  <c r="G51" i="85"/>
  <c r="G46" i="85"/>
  <c r="G41" i="85"/>
  <c r="G36" i="85"/>
  <c r="Q56" i="85"/>
  <c r="Q51" i="85"/>
  <c r="Q46" i="85"/>
  <c r="Q41" i="85"/>
  <c r="Q36" i="85"/>
  <c r="D52" i="84"/>
  <c r="H52" i="84"/>
  <c r="C53" i="83"/>
  <c r="C48" i="83"/>
  <c r="C43" i="83"/>
  <c r="C38" i="83"/>
  <c r="C35" i="83"/>
  <c r="K56" i="83"/>
  <c r="K51" i="83"/>
  <c r="K46" i="83"/>
  <c r="K41" i="83"/>
  <c r="K36" i="83"/>
  <c r="E51" i="83"/>
  <c r="E46" i="83"/>
  <c r="E41" i="83"/>
  <c r="E36" i="83"/>
  <c r="E56" i="83"/>
  <c r="G56" i="83"/>
  <c r="G51" i="83"/>
  <c r="G46" i="83"/>
  <c r="G41" i="83"/>
  <c r="G36" i="83"/>
  <c r="G53" i="83"/>
  <c r="G48" i="83"/>
  <c r="G43" i="83"/>
  <c r="G38" i="83"/>
  <c r="G35" i="83"/>
  <c r="O46" i="83"/>
  <c r="O41" i="83"/>
  <c r="C56" i="83"/>
  <c r="C51" i="83"/>
  <c r="C46" i="83"/>
  <c r="C41" i="83"/>
  <c r="C36" i="83"/>
  <c r="I56" i="83"/>
  <c r="I51" i="83"/>
  <c r="I46" i="83"/>
  <c r="I41" i="83"/>
  <c r="I36" i="83"/>
  <c r="I53" i="83"/>
  <c r="I48" i="83"/>
  <c r="I43" i="83"/>
  <c r="I38" i="83"/>
  <c r="I35" i="83"/>
  <c r="Q53" i="83"/>
  <c r="E18" i="83"/>
  <c r="E26" i="83" s="1"/>
  <c r="E63" i="82"/>
  <c r="E76" i="82" s="1"/>
  <c r="C77" i="82"/>
  <c r="H29" i="82"/>
  <c r="H28" i="82"/>
  <c r="H27" i="82"/>
  <c r="H24" i="82"/>
  <c r="H23" i="82"/>
  <c r="H22" i="82"/>
  <c r="H21" i="82"/>
  <c r="H20" i="82"/>
  <c r="H19" i="82"/>
  <c r="H18" i="82"/>
  <c r="H17" i="82"/>
  <c r="H16" i="82"/>
  <c r="H13" i="82"/>
  <c r="H12" i="82"/>
  <c r="H11" i="82"/>
  <c r="H10" i="82"/>
  <c r="H9" i="82"/>
  <c r="H8" i="82"/>
  <c r="G60" i="82"/>
  <c r="H30" i="82"/>
  <c r="H25" i="82"/>
  <c r="H14" i="82"/>
  <c r="H59" i="82"/>
  <c r="G58" i="82"/>
  <c r="H56" i="82"/>
  <c r="H55" i="82"/>
  <c r="H54" i="82"/>
  <c r="H53" i="82"/>
  <c r="H49" i="82"/>
  <c r="H48" i="82"/>
  <c r="H45" i="82"/>
  <c r="H44" i="82"/>
  <c r="H43" i="82"/>
  <c r="H42" i="82"/>
  <c r="H39" i="82"/>
  <c r="H38" i="82"/>
  <c r="H37" i="82"/>
  <c r="H36" i="82"/>
  <c r="H35" i="82"/>
  <c r="H34" i="82"/>
  <c r="H57" i="82"/>
  <c r="H51" i="82"/>
  <c r="H50" i="82"/>
  <c r="H40" i="82"/>
  <c r="H46" i="82"/>
  <c r="H31" i="82"/>
  <c r="C58" i="82"/>
  <c r="D56" i="82"/>
  <c r="D55" i="82"/>
  <c r="D54" i="82"/>
  <c r="D53" i="82"/>
  <c r="D49" i="82"/>
  <c r="D48" i="82"/>
  <c r="D45" i="82"/>
  <c r="D44" i="82"/>
  <c r="D43" i="82"/>
  <c r="D42" i="82"/>
  <c r="D39" i="82"/>
  <c r="D38" i="82"/>
  <c r="D37" i="82"/>
  <c r="D36" i="82"/>
  <c r="D35" i="82"/>
  <c r="D34" i="82"/>
  <c r="D30" i="82"/>
  <c r="D25" i="82"/>
  <c r="D14" i="82"/>
  <c r="D59" i="82"/>
  <c r="D29" i="82"/>
  <c r="D28" i="82"/>
  <c r="D27" i="82"/>
  <c r="D24" i="82"/>
  <c r="D23" i="82"/>
  <c r="D22" i="82"/>
  <c r="D21" i="82"/>
  <c r="D20" i="82"/>
  <c r="D19" i="82"/>
  <c r="D18" i="82"/>
  <c r="D17" i="82"/>
  <c r="D16" i="82"/>
  <c r="D13" i="82"/>
  <c r="D12" i="82"/>
  <c r="D11" i="82"/>
  <c r="D10" i="82"/>
  <c r="D9" i="82"/>
  <c r="D8" i="82"/>
  <c r="C60" i="82"/>
  <c r="D57" i="82"/>
  <c r="D51" i="82"/>
  <c r="D46" i="82"/>
  <c r="D40" i="82"/>
  <c r="D31" i="82"/>
  <c r="D50" i="82"/>
  <c r="I60" i="82"/>
  <c r="E59" i="82"/>
  <c r="E60" i="82" s="1"/>
  <c r="E58" i="82"/>
  <c r="F8" i="82"/>
  <c r="F9" i="82"/>
  <c r="F10" i="82"/>
  <c r="F11" i="82"/>
  <c r="F12" i="82"/>
  <c r="F13" i="82"/>
  <c r="F16" i="82"/>
  <c r="F17" i="82"/>
  <c r="F18" i="82"/>
  <c r="F19" i="82"/>
  <c r="F20" i="82"/>
  <c r="F21" i="82"/>
  <c r="F22" i="82"/>
  <c r="F23" i="82"/>
  <c r="F24" i="82"/>
  <c r="F27" i="82"/>
  <c r="F28" i="82"/>
  <c r="F29" i="82"/>
  <c r="J31" i="82"/>
  <c r="J37" i="82"/>
  <c r="J40" i="82"/>
  <c r="J44" i="82"/>
  <c r="F46" i="82"/>
  <c r="J49" i="82"/>
  <c r="F51" i="82"/>
  <c r="J55" i="82"/>
  <c r="F31" i="82"/>
  <c r="J34" i="82"/>
  <c r="J35" i="82"/>
  <c r="J36" i="82"/>
  <c r="J38" i="82"/>
  <c r="J39" i="82"/>
  <c r="F40" i="82"/>
  <c r="J42" i="82"/>
  <c r="J43" i="82"/>
  <c r="J45" i="82"/>
  <c r="J46" i="82"/>
  <c r="J48" i="82"/>
  <c r="F50" i="82"/>
  <c r="J50" i="82"/>
  <c r="J51" i="82"/>
  <c r="J53" i="82"/>
  <c r="J54" i="82"/>
  <c r="J56" i="82"/>
  <c r="F57" i="82"/>
  <c r="J57" i="82"/>
  <c r="I58" i="82"/>
  <c r="J58" i="82"/>
  <c r="J59" i="82"/>
  <c r="H60" i="81"/>
  <c r="H63" i="81" s="1"/>
  <c r="K63" i="81"/>
  <c r="K61" i="81"/>
  <c r="K60" i="81"/>
  <c r="K58" i="81"/>
  <c r="K57" i="81"/>
  <c r="K56" i="81"/>
  <c r="K55" i="81"/>
  <c r="K54" i="81"/>
  <c r="K52" i="81"/>
  <c r="K50" i="81"/>
  <c r="K49" i="81"/>
  <c r="K48" i="81"/>
  <c r="K47" i="81"/>
  <c r="K46" i="81"/>
  <c r="K45" i="81"/>
  <c r="K44" i="81"/>
  <c r="K43" i="81"/>
  <c r="K42" i="81"/>
  <c r="K41" i="81"/>
  <c r="K40" i="81"/>
  <c r="K39" i="81"/>
  <c r="K38" i="81"/>
  <c r="K37" i="81"/>
  <c r="K36" i="81"/>
  <c r="K35" i="81"/>
  <c r="K34" i="81"/>
  <c r="K33" i="81"/>
  <c r="K32" i="81"/>
  <c r="K31" i="81"/>
  <c r="K30" i="81"/>
  <c r="K29" i="81"/>
  <c r="K28" i="81"/>
  <c r="K27" i="81"/>
  <c r="K26" i="81"/>
  <c r="K20" i="81"/>
  <c r="J20" i="81"/>
  <c r="K19" i="81"/>
  <c r="K18" i="81"/>
  <c r="K17" i="81"/>
  <c r="K16" i="81"/>
  <c r="K15" i="81"/>
  <c r="K14" i="81"/>
  <c r="K13" i="81"/>
  <c r="K12" i="81"/>
  <c r="K11" i="81"/>
  <c r="K10" i="81"/>
  <c r="K9" i="81"/>
  <c r="G63" i="81"/>
  <c r="G60" i="81"/>
  <c r="G58" i="81"/>
  <c r="G52" i="81"/>
  <c r="G50" i="81"/>
  <c r="G20" i="81"/>
  <c r="F20" i="81"/>
  <c r="G19" i="81"/>
  <c r="G18" i="81"/>
  <c r="G17" i="81"/>
  <c r="G14" i="81"/>
  <c r="G11" i="81"/>
  <c r="G61" i="81"/>
  <c r="G57" i="81"/>
  <c r="G56" i="81"/>
  <c r="G55" i="81"/>
  <c r="G54" i="81"/>
  <c r="G49" i="81"/>
  <c r="G48" i="81"/>
  <c r="G47" i="81"/>
  <c r="G46" i="81"/>
  <c r="G45" i="81"/>
  <c r="G44" i="81"/>
  <c r="G43" i="81"/>
  <c r="G42" i="81"/>
  <c r="G41" i="81"/>
  <c r="G40" i="81"/>
  <c r="G39" i="81"/>
  <c r="G38" i="81"/>
  <c r="G37" i="81"/>
  <c r="G36" i="81"/>
  <c r="G35" i="81"/>
  <c r="G26" i="81"/>
  <c r="G30" i="81"/>
  <c r="G34" i="81"/>
  <c r="L99" i="75"/>
  <c r="L98" i="75"/>
  <c r="L91" i="75"/>
  <c r="L90" i="75"/>
  <c r="L89" i="75"/>
  <c r="L86" i="75"/>
  <c r="L88" i="75"/>
  <c r="L87" i="75"/>
  <c r="H144" i="11"/>
  <c r="D144" i="11"/>
  <c r="C88" i="11"/>
  <c r="H145" i="11"/>
  <c r="H145" i="10"/>
  <c r="H144" i="10"/>
  <c r="D144" i="10"/>
  <c r="C26" i="71"/>
  <c r="C25" i="71"/>
  <c r="C70" i="18" l="1"/>
  <c r="D70" i="18" s="1"/>
  <c r="M36" i="83"/>
  <c r="M46" i="83"/>
  <c r="M41" i="83"/>
  <c r="M51" i="83"/>
  <c r="Q46" i="83"/>
  <c r="J4" i="90"/>
  <c r="G3" i="91"/>
  <c r="AC8" i="91" s="1"/>
  <c r="G3" i="92"/>
  <c r="I3" i="88"/>
  <c r="AC9" i="88" s="1"/>
  <c r="I3" i="89"/>
  <c r="J4" i="93"/>
  <c r="G3" i="94"/>
  <c r="AC8" i="94" s="1"/>
  <c r="G3" i="95"/>
  <c r="I3" i="85"/>
  <c r="AC9" i="85" s="1"/>
  <c r="I3" i="86"/>
  <c r="J4" i="81"/>
  <c r="G3" i="83"/>
  <c r="AC8" i="83" s="1"/>
  <c r="G3" i="82"/>
  <c r="G63" i="112"/>
  <c r="G76" i="112" s="1"/>
  <c r="E77" i="112"/>
  <c r="I63" i="115"/>
  <c r="I76" i="115" s="1"/>
  <c r="I77" i="115" s="1"/>
  <c r="G77" i="115"/>
  <c r="G63" i="118"/>
  <c r="G76" i="118" s="1"/>
  <c r="E77" i="118"/>
  <c r="G77" i="103"/>
  <c r="I63" i="103"/>
  <c r="I76" i="103" s="1"/>
  <c r="I77" i="103" s="1"/>
  <c r="G63" i="106"/>
  <c r="G76" i="106" s="1"/>
  <c r="E77" i="106"/>
  <c r="I63" i="100"/>
  <c r="I76" i="100" s="1"/>
  <c r="I77" i="100" s="1"/>
  <c r="G77" i="100"/>
  <c r="I63" i="97"/>
  <c r="I76" i="97" s="1"/>
  <c r="I77" i="97" s="1"/>
  <c r="G77" i="97"/>
  <c r="Q51" i="83"/>
  <c r="Q36" i="83"/>
  <c r="Q56" i="83"/>
  <c r="O51" i="83"/>
  <c r="O36" i="83"/>
  <c r="K38" i="83"/>
  <c r="Q48" i="83"/>
  <c r="Q35" i="83"/>
  <c r="Q43" i="83"/>
  <c r="K43" i="83"/>
  <c r="K48" i="83"/>
  <c r="K35" i="83"/>
  <c r="C41" i="88"/>
  <c r="C46" i="88"/>
  <c r="G63" i="95"/>
  <c r="G76" i="95" s="1"/>
  <c r="E77" i="95"/>
  <c r="D60" i="93"/>
  <c r="D63" i="93" s="1"/>
  <c r="C7" i="94" s="1"/>
  <c r="C17" i="94" s="1"/>
  <c r="C26" i="94" s="1"/>
  <c r="D52" i="93"/>
  <c r="F60" i="93"/>
  <c r="F63" i="93" s="1"/>
  <c r="E7" i="94" s="1"/>
  <c r="E17" i="94" s="1"/>
  <c r="E26" i="94" s="1"/>
  <c r="F52" i="93"/>
  <c r="J60" i="93"/>
  <c r="J63" i="93" s="1"/>
  <c r="I7" i="94" s="1"/>
  <c r="I17" i="94" s="1"/>
  <c r="I26" i="94" s="1"/>
  <c r="J52" i="93"/>
  <c r="G53" i="94"/>
  <c r="G48" i="94"/>
  <c r="G43" i="94"/>
  <c r="G38" i="94"/>
  <c r="G35" i="94"/>
  <c r="G63" i="92"/>
  <c r="G76" i="92" s="1"/>
  <c r="E77" i="92"/>
  <c r="F60" i="90"/>
  <c r="F63" i="90" s="1"/>
  <c r="E7" i="91" s="1"/>
  <c r="E17" i="91" s="1"/>
  <c r="E26" i="91" s="1"/>
  <c r="F52" i="90"/>
  <c r="D60" i="90"/>
  <c r="D63" i="90" s="1"/>
  <c r="C7" i="91" s="1"/>
  <c r="C17" i="91" s="1"/>
  <c r="C26" i="91" s="1"/>
  <c r="D52" i="90"/>
  <c r="G53" i="91"/>
  <c r="G48" i="91"/>
  <c r="G43" i="91"/>
  <c r="G38" i="91"/>
  <c r="G35" i="91"/>
  <c r="J60" i="90"/>
  <c r="J63" i="90" s="1"/>
  <c r="I7" i="91" s="1"/>
  <c r="I17" i="91" s="1"/>
  <c r="I26" i="91" s="1"/>
  <c r="J52" i="90"/>
  <c r="G63" i="89"/>
  <c r="G76" i="89" s="1"/>
  <c r="E77" i="89"/>
  <c r="J60" i="87"/>
  <c r="J63" i="87" s="1"/>
  <c r="I7" i="88" s="1"/>
  <c r="I17" i="88" s="1"/>
  <c r="I26" i="88" s="1"/>
  <c r="J52" i="87"/>
  <c r="G53" i="88"/>
  <c r="G48" i="88"/>
  <c r="G43" i="88"/>
  <c r="G38" i="88"/>
  <c r="G35" i="88"/>
  <c r="F60" i="87"/>
  <c r="F63" i="87" s="1"/>
  <c r="E7" i="88" s="1"/>
  <c r="E17" i="88" s="1"/>
  <c r="E26" i="88" s="1"/>
  <c r="F52" i="87"/>
  <c r="D60" i="87"/>
  <c r="D63" i="87" s="1"/>
  <c r="C7" i="88" s="1"/>
  <c r="C17" i="88" s="1"/>
  <c r="C26" i="88" s="1"/>
  <c r="D52" i="87"/>
  <c r="Q53" i="88"/>
  <c r="Q48" i="88"/>
  <c r="Q43" i="88"/>
  <c r="Q38" i="88"/>
  <c r="Q35" i="88"/>
  <c r="M53" i="85"/>
  <c r="M43" i="85"/>
  <c r="M38" i="85"/>
  <c r="M48" i="85"/>
  <c r="M35" i="83"/>
  <c r="M38" i="83"/>
  <c r="M43" i="83"/>
  <c r="M53" i="83"/>
  <c r="O35" i="83"/>
  <c r="O53" i="83"/>
  <c r="O38" i="83"/>
  <c r="O48" i="83"/>
  <c r="G63" i="86"/>
  <c r="G76" i="86" s="1"/>
  <c r="E77" i="86"/>
  <c r="F60" i="84"/>
  <c r="F63" i="84" s="1"/>
  <c r="F52" i="84"/>
  <c r="J60" i="84"/>
  <c r="J63" i="84" s="1"/>
  <c r="J52" i="84"/>
  <c r="Q53" i="85"/>
  <c r="Q48" i="85"/>
  <c r="Q43" i="85"/>
  <c r="Q38" i="85"/>
  <c r="Q35" i="85"/>
  <c r="I53" i="85"/>
  <c r="I48" i="85"/>
  <c r="I43" i="85"/>
  <c r="I38" i="85"/>
  <c r="I35" i="85"/>
  <c r="E53" i="83"/>
  <c r="E48" i="83"/>
  <c r="E38" i="83"/>
  <c r="E35" i="83"/>
  <c r="E43" i="83"/>
  <c r="G63" i="82"/>
  <c r="G76" i="82" s="1"/>
  <c r="E77" i="82"/>
  <c r="F60" i="81"/>
  <c r="F63" i="81" s="1"/>
  <c r="F52" i="81"/>
  <c r="J60" i="81"/>
  <c r="J63" i="81" s="1"/>
  <c r="J52" i="81"/>
  <c r="M17" i="34"/>
  <c r="K7" i="34"/>
  <c r="K17" i="34" s="1"/>
  <c r="K26" i="34" s="1"/>
  <c r="M17" i="31"/>
  <c r="K7" i="31"/>
  <c r="K17" i="31" s="1"/>
  <c r="K26" i="31" s="1"/>
  <c r="M17" i="28"/>
  <c r="K7" i="28"/>
  <c r="K17" i="28" s="1"/>
  <c r="K26" i="28" s="1"/>
  <c r="M17" i="25"/>
  <c r="K7" i="25"/>
  <c r="K17" i="25" s="1"/>
  <c r="K26" i="25" s="1"/>
  <c r="AA6" i="34"/>
  <c r="Y6" i="34"/>
  <c r="W6" i="34"/>
  <c r="U6" i="34"/>
  <c r="AA6" i="31"/>
  <c r="Y6" i="31"/>
  <c r="W6" i="31"/>
  <c r="U6" i="31"/>
  <c r="AA6" i="28"/>
  <c r="Y6" i="28"/>
  <c r="W6" i="28"/>
  <c r="U6" i="28"/>
  <c r="AA6" i="25"/>
  <c r="Y6" i="25"/>
  <c r="W6" i="25"/>
  <c r="U6" i="25"/>
  <c r="AA6" i="22"/>
  <c r="Y6" i="22"/>
  <c r="W6" i="22"/>
  <c r="U6" i="22"/>
  <c r="K31" i="19"/>
  <c r="Q33" i="19"/>
  <c r="Q32" i="19"/>
  <c r="Q31" i="19"/>
  <c r="Q30" i="19"/>
  <c r="Q29" i="19"/>
  <c r="Q28" i="19"/>
  <c r="Q27" i="19"/>
  <c r="O33" i="19"/>
  <c r="O32" i="19"/>
  <c r="O31" i="19"/>
  <c r="O30" i="19"/>
  <c r="O29" i="19"/>
  <c r="O28" i="19"/>
  <c r="O27" i="19"/>
  <c r="M33" i="19"/>
  <c r="M32" i="19"/>
  <c r="M31" i="19"/>
  <c r="M30" i="19"/>
  <c r="M29" i="19"/>
  <c r="M28" i="19"/>
  <c r="M27" i="19"/>
  <c r="K33" i="19"/>
  <c r="K32" i="19"/>
  <c r="K30" i="19"/>
  <c r="K29" i="19"/>
  <c r="K28" i="19"/>
  <c r="K27" i="19"/>
  <c r="Q25" i="19"/>
  <c r="Q24" i="19"/>
  <c r="Q23" i="19"/>
  <c r="Q22" i="19"/>
  <c r="Q21" i="19"/>
  <c r="Q20" i="19"/>
  <c r="Q19" i="19"/>
  <c r="Q18" i="19"/>
  <c r="O25" i="19"/>
  <c r="O24" i="19"/>
  <c r="O23" i="19"/>
  <c r="O22" i="19"/>
  <c r="O21" i="19"/>
  <c r="O20" i="19"/>
  <c r="O19" i="19"/>
  <c r="O18" i="19"/>
  <c r="M25" i="19"/>
  <c r="M24" i="19"/>
  <c r="M23" i="19"/>
  <c r="M22" i="19"/>
  <c r="M21" i="19"/>
  <c r="M20" i="19"/>
  <c r="M19" i="19"/>
  <c r="M18" i="19"/>
  <c r="K25" i="19"/>
  <c r="K24" i="19"/>
  <c r="K23" i="19"/>
  <c r="K22" i="19"/>
  <c r="K21" i="19"/>
  <c r="K20" i="19"/>
  <c r="K19" i="19"/>
  <c r="K18" i="19"/>
  <c r="Q16" i="19"/>
  <c r="Q15" i="19"/>
  <c r="Q14" i="19"/>
  <c r="Q13" i="19"/>
  <c r="Q12" i="19"/>
  <c r="Q11" i="19"/>
  <c r="Q10" i="19"/>
  <c r="Q9" i="19"/>
  <c r="Q8" i="19"/>
  <c r="Q7" i="19"/>
  <c r="O16" i="19"/>
  <c r="O15" i="19"/>
  <c r="O14" i="19"/>
  <c r="O13" i="19"/>
  <c r="O12" i="19"/>
  <c r="O11" i="19"/>
  <c r="O10" i="19"/>
  <c r="O9" i="19"/>
  <c r="O8" i="19"/>
  <c r="O7" i="19"/>
  <c r="M16" i="19"/>
  <c r="M15" i="19"/>
  <c r="M14" i="19"/>
  <c r="M13" i="19"/>
  <c r="M12" i="19"/>
  <c r="M11" i="19"/>
  <c r="M10" i="19"/>
  <c r="M9" i="19"/>
  <c r="M8" i="19"/>
  <c r="M7" i="19"/>
  <c r="K16" i="19"/>
  <c r="K15" i="19"/>
  <c r="K14" i="19"/>
  <c r="K13" i="19"/>
  <c r="K12" i="19"/>
  <c r="K11" i="19"/>
  <c r="K10" i="19"/>
  <c r="K9" i="19"/>
  <c r="K8" i="19"/>
  <c r="K7" i="19"/>
  <c r="AA6" i="19"/>
  <c r="Y6" i="19"/>
  <c r="W6" i="19"/>
  <c r="U6" i="19"/>
  <c r="E86" i="6"/>
  <c r="E86" i="5"/>
  <c r="E99" i="6"/>
  <c r="E99" i="5"/>
  <c r="I3" i="83" l="1"/>
  <c r="AC9" i="83" s="1"/>
  <c r="I3" i="82"/>
  <c r="I3" i="94"/>
  <c r="AC9" i="94" s="1"/>
  <c r="I3" i="95"/>
  <c r="I3" i="91"/>
  <c r="AC9" i="91" s="1"/>
  <c r="I3" i="92"/>
  <c r="M26" i="28"/>
  <c r="M26" i="34"/>
  <c r="M26" i="31"/>
  <c r="M26" i="25"/>
  <c r="Q17" i="28"/>
  <c r="Q26" i="28" s="1"/>
  <c r="Q17" i="25"/>
  <c r="Q26" i="25" s="1"/>
  <c r="O17" i="25"/>
  <c r="O26" i="25" s="1"/>
  <c r="O17" i="31"/>
  <c r="O26" i="31" s="1"/>
  <c r="Q17" i="31"/>
  <c r="Q26" i="31" s="1"/>
  <c r="O17" i="34"/>
  <c r="O26" i="34" s="1"/>
  <c r="O17" i="28"/>
  <c r="O26" i="28" s="1"/>
  <c r="Q17" i="34"/>
  <c r="Q26" i="34" s="1"/>
  <c r="G77" i="118"/>
  <c r="I63" i="118"/>
  <c r="I76" i="118" s="1"/>
  <c r="I77" i="118" s="1"/>
  <c r="G77" i="112"/>
  <c r="I63" i="112"/>
  <c r="I76" i="112" s="1"/>
  <c r="I77" i="112" s="1"/>
  <c r="I63" i="106"/>
  <c r="I76" i="106" s="1"/>
  <c r="I77" i="106" s="1"/>
  <c r="G77" i="106"/>
  <c r="I63" i="95"/>
  <c r="I76" i="95" s="1"/>
  <c r="I77" i="95" s="1"/>
  <c r="G77" i="95"/>
  <c r="E35" i="94"/>
  <c r="E53" i="94"/>
  <c r="E48" i="94"/>
  <c r="E43" i="94"/>
  <c r="E38" i="94"/>
  <c r="I53" i="94"/>
  <c r="I48" i="94"/>
  <c r="I43" i="94"/>
  <c r="I38" i="94"/>
  <c r="I35" i="94"/>
  <c r="C53" i="94"/>
  <c r="C48" i="94"/>
  <c r="C43" i="94"/>
  <c r="C38" i="94"/>
  <c r="C35" i="94"/>
  <c r="I63" i="92"/>
  <c r="I76" i="92" s="1"/>
  <c r="I77" i="92" s="1"/>
  <c r="G77" i="92"/>
  <c r="C53" i="91"/>
  <c r="C48" i="91"/>
  <c r="C43" i="91"/>
  <c r="C38" i="91"/>
  <c r="C35" i="91"/>
  <c r="I53" i="91"/>
  <c r="I48" i="91"/>
  <c r="I43" i="91"/>
  <c r="I38" i="91"/>
  <c r="I35" i="91"/>
  <c r="E48" i="91"/>
  <c r="E38" i="91"/>
  <c r="E53" i="91"/>
  <c r="E43" i="91"/>
  <c r="E35" i="91"/>
  <c r="I63" i="89"/>
  <c r="I76" i="89" s="1"/>
  <c r="I77" i="89" s="1"/>
  <c r="G77" i="89"/>
  <c r="E53" i="88"/>
  <c r="E48" i="88"/>
  <c r="E43" i="88"/>
  <c r="E38" i="88"/>
  <c r="E35" i="88"/>
  <c r="C53" i="88"/>
  <c r="C48" i="88"/>
  <c r="C43" i="88"/>
  <c r="C38" i="88"/>
  <c r="C35" i="88"/>
  <c r="I53" i="88"/>
  <c r="I48" i="88"/>
  <c r="I43" i="88"/>
  <c r="I38" i="88"/>
  <c r="I35" i="88"/>
  <c r="I63" i="86"/>
  <c r="I76" i="86" s="1"/>
  <c r="I77" i="86" s="1"/>
  <c r="G77" i="86"/>
  <c r="I63" i="82"/>
  <c r="I76" i="82" s="1"/>
  <c r="I77" i="82" s="1"/>
  <c r="G77" i="82"/>
  <c r="E125" i="6"/>
  <c r="E125" i="5"/>
  <c r="I27" i="34" l="1"/>
  <c r="G27" i="34"/>
  <c r="E27" i="34"/>
  <c r="C27" i="34"/>
  <c r="I27" i="31"/>
  <c r="G27" i="31"/>
  <c r="E27" i="31"/>
  <c r="C27" i="31"/>
  <c r="I27" i="28"/>
  <c r="G27" i="28"/>
  <c r="E27" i="28"/>
  <c r="C27" i="28"/>
  <c r="I27" i="25"/>
  <c r="G27" i="25"/>
  <c r="F27" i="25"/>
  <c r="E27" i="25"/>
  <c r="C27" i="25"/>
  <c r="I27" i="22"/>
  <c r="G27" i="22"/>
  <c r="E27" i="22"/>
  <c r="C27" i="22"/>
  <c r="O30" i="36"/>
  <c r="N30" i="36"/>
  <c r="O30" i="33"/>
  <c r="N30" i="33"/>
  <c r="O30" i="30"/>
  <c r="N30" i="30"/>
  <c r="O30" i="27"/>
  <c r="N30" i="27"/>
  <c r="O30" i="24"/>
  <c r="N30" i="24"/>
  <c r="O30" i="21"/>
  <c r="N30" i="21"/>
  <c r="I11" i="22" l="1"/>
  <c r="I53" i="25"/>
  <c r="G53" i="25"/>
  <c r="E53" i="25"/>
  <c r="C53" i="25"/>
  <c r="I48" i="25"/>
  <c r="G48" i="25"/>
  <c r="E48" i="25"/>
  <c r="C48" i="25"/>
  <c r="I43" i="25"/>
  <c r="G43" i="25"/>
  <c r="E43" i="25"/>
  <c r="C43" i="25"/>
  <c r="I38" i="25"/>
  <c r="G38" i="25"/>
  <c r="E38" i="25"/>
  <c r="C38" i="25"/>
  <c r="I53" i="28"/>
  <c r="G53" i="28"/>
  <c r="E53" i="28"/>
  <c r="C53" i="28"/>
  <c r="I48" i="28"/>
  <c r="G48" i="28"/>
  <c r="E48" i="28"/>
  <c r="C48" i="28"/>
  <c r="I43" i="28"/>
  <c r="G43" i="28"/>
  <c r="E43" i="28"/>
  <c r="C43" i="28"/>
  <c r="I38" i="28"/>
  <c r="G38" i="28"/>
  <c r="E38" i="28"/>
  <c r="C38" i="28"/>
  <c r="I53" i="31"/>
  <c r="G53" i="31"/>
  <c r="E53" i="31"/>
  <c r="C53" i="31"/>
  <c r="I48" i="31"/>
  <c r="G48" i="31"/>
  <c r="E48" i="31"/>
  <c r="C48" i="31"/>
  <c r="I43" i="31"/>
  <c r="G43" i="31"/>
  <c r="E43" i="31"/>
  <c r="C43" i="31"/>
  <c r="I38" i="31"/>
  <c r="G38" i="31"/>
  <c r="E38" i="31"/>
  <c r="C38" i="31"/>
  <c r="I53" i="34"/>
  <c r="G53" i="34"/>
  <c r="E53" i="34"/>
  <c r="C53" i="34"/>
  <c r="I48" i="34"/>
  <c r="G48" i="34"/>
  <c r="E48" i="34"/>
  <c r="C48" i="34"/>
  <c r="I43" i="34"/>
  <c r="G43" i="34"/>
  <c r="E43" i="34"/>
  <c r="C43" i="34"/>
  <c r="I38" i="34"/>
  <c r="G38" i="34"/>
  <c r="E38" i="34"/>
  <c r="C38" i="34"/>
  <c r="A2" i="33"/>
  <c r="A2" i="30"/>
  <c r="A2" i="27"/>
  <c r="A2" i="24"/>
  <c r="A2" i="21"/>
  <c r="A2" i="36"/>
  <c r="A2" i="16"/>
  <c r="J5" i="13"/>
  <c r="G4" i="18" l="1"/>
  <c r="F30" i="18"/>
  <c r="M17" i="18"/>
  <c r="M18" i="18"/>
  <c r="M19" i="18"/>
  <c r="M20" i="18"/>
  <c r="M21" i="18"/>
  <c r="M22" i="18"/>
  <c r="M23" i="18"/>
  <c r="M24" i="18"/>
  <c r="M25" i="18"/>
  <c r="M26" i="18"/>
  <c r="O17" i="18"/>
  <c r="O18" i="18"/>
  <c r="O19" i="18"/>
  <c r="O20" i="18"/>
  <c r="O21" i="18"/>
  <c r="O22" i="18"/>
  <c r="O23" i="18"/>
  <c r="O24" i="18"/>
  <c r="O25" i="18"/>
  <c r="O26" i="18"/>
  <c r="N19" i="18" l="1"/>
  <c r="N23" i="18"/>
  <c r="N24" i="18"/>
  <c r="N20" i="18"/>
  <c r="N26" i="18"/>
  <c r="N17" i="18"/>
  <c r="N21" i="18"/>
  <c r="N25" i="18"/>
  <c r="N18" i="18"/>
  <c r="N22" i="18"/>
  <c r="H102" i="5" l="1"/>
  <c r="Q134" i="79"/>
  <c r="J134" i="79"/>
  <c r="Q121" i="79"/>
  <c r="J121" i="79"/>
  <c r="N48" i="78"/>
  <c r="J48" i="78"/>
  <c r="F48" i="78"/>
  <c r="N42" i="78"/>
  <c r="J42" i="78"/>
  <c r="F42" i="78"/>
  <c r="L127" i="76"/>
  <c r="L128" i="76" s="1"/>
  <c r="L130" i="76" s="1"/>
  <c r="S80" i="76"/>
  <c r="Q80" i="76"/>
  <c r="O80" i="76"/>
  <c r="M80" i="76"/>
  <c r="K80" i="76"/>
  <c r="I80" i="76"/>
  <c r="G80" i="76"/>
  <c r="Q75" i="76"/>
  <c r="O75" i="76"/>
  <c r="M75" i="76"/>
  <c r="K75" i="76"/>
  <c r="I75" i="76"/>
  <c r="G75" i="76"/>
  <c r="S74" i="76"/>
  <c r="Q72" i="76"/>
  <c r="O72" i="76"/>
  <c r="M72" i="76"/>
  <c r="K72" i="76"/>
  <c r="I72" i="76"/>
  <c r="G72" i="76"/>
  <c r="S71" i="76"/>
  <c r="M53" i="76"/>
  <c r="L69" i="75" l="1"/>
  <c r="L70" i="75"/>
  <c r="L71" i="75"/>
  <c r="L72" i="75"/>
  <c r="L73" i="75"/>
  <c r="L54" i="75"/>
  <c r="L55" i="75"/>
  <c r="L56" i="75"/>
  <c r="L57" i="75"/>
  <c r="L78" i="75" l="1"/>
  <c r="L79" i="75"/>
  <c r="L80" i="75"/>
  <c r="L81" i="75"/>
  <c r="L82" i="75"/>
  <c r="L83" i="75"/>
  <c r="D22" i="8"/>
  <c r="C22" i="8"/>
  <c r="C23" i="8"/>
  <c r="C21" i="8"/>
  <c r="C20" i="8"/>
  <c r="C19" i="8"/>
  <c r="C17" i="8"/>
  <c r="C16" i="8"/>
  <c r="C7" i="8"/>
  <c r="C8" i="8"/>
  <c r="C9" i="8"/>
  <c r="C10" i="8"/>
  <c r="C11" i="8"/>
  <c r="C12" i="8"/>
  <c r="C13" i="8"/>
  <c r="C14" i="8"/>
  <c r="C15" i="8"/>
  <c r="C6" i="8"/>
  <c r="C59" i="8"/>
  <c r="D58" i="8"/>
  <c r="C57" i="8"/>
  <c r="C56" i="8"/>
  <c r="C55" i="8"/>
  <c r="C53" i="8"/>
  <c r="C52" i="8"/>
  <c r="C43" i="8"/>
  <c r="C44" i="8"/>
  <c r="C45" i="8"/>
  <c r="C46" i="8"/>
  <c r="C47" i="8"/>
  <c r="C48" i="8"/>
  <c r="C49" i="8"/>
  <c r="C50" i="8"/>
  <c r="C51" i="8"/>
  <c r="C42" i="8"/>
  <c r="D19" i="6"/>
  <c r="D19" i="5"/>
  <c r="I9" i="10" l="1"/>
  <c r="G74" i="10" s="1"/>
  <c r="A2" i="34"/>
  <c r="A2" i="31"/>
  <c r="A2" i="28"/>
  <c r="A2" i="22"/>
  <c r="A2" i="25"/>
  <c r="A2" i="19"/>
  <c r="G30" i="47"/>
  <c r="G30" i="44"/>
  <c r="G30" i="41"/>
  <c r="G30" i="38"/>
  <c r="G37" i="41"/>
  <c r="G37" i="44"/>
  <c r="G37" i="47"/>
  <c r="G37" i="38"/>
  <c r="G36" i="41"/>
  <c r="G36" i="44"/>
  <c r="G36" i="47"/>
  <c r="G36" i="38"/>
  <c r="G35" i="41"/>
  <c r="G35" i="44"/>
  <c r="G35" i="47"/>
  <c r="G35" i="38"/>
  <c r="G34" i="41"/>
  <c r="G34" i="44"/>
  <c r="G34" i="47"/>
  <c r="G34" i="38"/>
  <c r="G33" i="41"/>
  <c r="G33" i="44"/>
  <c r="G33" i="47"/>
  <c r="G33" i="38"/>
  <c r="G32" i="41"/>
  <c r="G32" i="44"/>
  <c r="G32" i="47"/>
  <c r="G32" i="38"/>
  <c r="G31" i="41"/>
  <c r="G31" i="44"/>
  <c r="G31" i="47"/>
  <c r="G31" i="38"/>
  <c r="G29" i="41"/>
  <c r="G29" i="44"/>
  <c r="G29" i="47"/>
  <c r="G29" i="38"/>
  <c r="D14" i="41"/>
  <c r="D14" i="44"/>
  <c r="D14" i="47"/>
  <c r="D25" i="41"/>
  <c r="D25" i="44"/>
  <c r="D25" i="47"/>
  <c r="D27" i="41"/>
  <c r="D27" i="44"/>
  <c r="D27" i="47"/>
  <c r="D28" i="41"/>
  <c r="D28" i="44"/>
  <c r="D28" i="47"/>
  <c r="G21" i="41" l="1"/>
  <c r="G21" i="44"/>
  <c r="G21" i="47"/>
  <c r="G21" i="38"/>
  <c r="G20" i="41"/>
  <c r="G20" i="44"/>
  <c r="G20" i="47"/>
  <c r="G20" i="38"/>
  <c r="G19" i="41"/>
  <c r="G19" i="44"/>
  <c r="G19" i="47"/>
  <c r="G19" i="38"/>
  <c r="G18" i="41"/>
  <c r="G18" i="44"/>
  <c r="G18" i="47"/>
  <c r="G18" i="38"/>
  <c r="G17" i="41"/>
  <c r="G17" i="44"/>
  <c r="G17" i="47"/>
  <c r="G17" i="38"/>
  <c r="G16" i="41"/>
  <c r="G16" i="44"/>
  <c r="G16" i="47"/>
  <c r="G16" i="38"/>
  <c r="G15" i="41"/>
  <c r="G15" i="44"/>
  <c r="G15" i="47"/>
  <c r="G15" i="38"/>
  <c r="G13" i="41"/>
  <c r="G13" i="44"/>
  <c r="G13" i="47"/>
  <c r="G13" i="38"/>
  <c r="G12" i="41"/>
  <c r="G12" i="44"/>
  <c r="G12" i="47"/>
  <c r="G12" i="38"/>
  <c r="G11" i="41"/>
  <c r="G11" i="44"/>
  <c r="G11" i="47"/>
  <c r="G11" i="38"/>
  <c r="G10" i="41"/>
  <c r="G10" i="44"/>
  <c r="G10" i="47"/>
  <c r="G10" i="38"/>
  <c r="G9" i="41"/>
  <c r="G9" i="44"/>
  <c r="G9" i="47"/>
  <c r="G9" i="38"/>
  <c r="G8" i="41"/>
  <c r="G8" i="44"/>
  <c r="G8" i="47"/>
  <c r="G8" i="38"/>
  <c r="S46" i="42"/>
  <c r="S46" i="45"/>
  <c r="S46" i="48"/>
  <c r="S46" i="39"/>
  <c r="P46" i="42"/>
  <c r="P46" i="45"/>
  <c r="P46" i="48"/>
  <c r="P46" i="39"/>
  <c r="M46" i="42"/>
  <c r="M46" i="45"/>
  <c r="M46" i="48"/>
  <c r="M46" i="39"/>
  <c r="J46" i="42"/>
  <c r="J46" i="45"/>
  <c r="J46" i="48"/>
  <c r="J46" i="39"/>
  <c r="G46" i="42"/>
  <c r="G46" i="45"/>
  <c r="G46" i="48"/>
  <c r="G46" i="39"/>
  <c r="D46" i="42"/>
  <c r="D46" i="45"/>
  <c r="D46" i="48"/>
  <c r="G28" i="47"/>
  <c r="G28" i="44"/>
  <c r="G28" i="41"/>
  <c r="G28" i="38"/>
  <c r="D28" i="38" s="1"/>
  <c r="G14" i="41"/>
  <c r="G14" i="44"/>
  <c r="G14" i="47"/>
  <c r="H14" i="6"/>
  <c r="G14" i="6"/>
  <c r="F14" i="6"/>
  <c r="E14" i="6"/>
  <c r="H14" i="5"/>
  <c r="G14" i="5"/>
  <c r="E14" i="5"/>
  <c r="D9" i="46"/>
  <c r="D9" i="43"/>
  <c r="D9" i="40"/>
  <c r="A35" i="42"/>
  <c r="A35" i="45"/>
  <c r="A35" i="48"/>
  <c r="J92" i="75"/>
  <c r="L92" i="75" s="1"/>
  <c r="H92" i="75"/>
  <c r="F92" i="75"/>
  <c r="J78" i="75"/>
  <c r="J79" i="75"/>
  <c r="J81" i="75"/>
  <c r="J82" i="75"/>
  <c r="J83" i="75"/>
  <c r="J84" i="75"/>
  <c r="J69" i="75"/>
  <c r="J71" i="75"/>
  <c r="J73" i="75"/>
  <c r="J74" i="75"/>
  <c r="J75" i="75"/>
  <c r="H78" i="75"/>
  <c r="H79" i="75"/>
  <c r="H81" i="75"/>
  <c r="H82" i="75"/>
  <c r="H83" i="75"/>
  <c r="H84" i="75"/>
  <c r="H69" i="75"/>
  <c r="H71" i="75"/>
  <c r="H73" i="75"/>
  <c r="H74" i="75"/>
  <c r="H75" i="75"/>
  <c r="F78" i="75"/>
  <c r="F79" i="75"/>
  <c r="F81" i="75"/>
  <c r="F82" i="75"/>
  <c r="F83" i="75"/>
  <c r="F84" i="75"/>
  <c r="F69" i="75"/>
  <c r="F71" i="75"/>
  <c r="F73" i="75"/>
  <c r="F74" i="75"/>
  <c r="F75" i="75"/>
  <c r="J57" i="75"/>
  <c r="J56" i="75"/>
  <c r="J55" i="75"/>
  <c r="J54" i="75"/>
  <c r="J49" i="75"/>
  <c r="J48" i="75"/>
  <c r="J47" i="75"/>
  <c r="J46" i="75"/>
  <c r="J45" i="75"/>
  <c r="J44" i="75"/>
  <c r="J43" i="75"/>
  <c r="J42" i="75"/>
  <c r="J41" i="75"/>
  <c r="J40" i="75"/>
  <c r="J39" i="75"/>
  <c r="J38" i="75"/>
  <c r="J37" i="75"/>
  <c r="J36" i="75"/>
  <c r="J35" i="75"/>
  <c r="J34" i="75"/>
  <c r="J33" i="75"/>
  <c r="J32" i="75"/>
  <c r="J31" i="75"/>
  <c r="J30" i="75"/>
  <c r="J29" i="75"/>
  <c r="J28" i="75"/>
  <c r="J27" i="75"/>
  <c r="J26" i="75"/>
  <c r="J16" i="75"/>
  <c r="J15" i="75"/>
  <c r="J13" i="75"/>
  <c r="J12" i="75"/>
  <c r="J10" i="75"/>
  <c r="H57" i="75"/>
  <c r="H56" i="75"/>
  <c r="H55" i="75"/>
  <c r="H54" i="75"/>
  <c r="H27" i="75"/>
  <c r="H28" i="75"/>
  <c r="H29" i="75"/>
  <c r="H30" i="75"/>
  <c r="H31" i="75"/>
  <c r="H32" i="75"/>
  <c r="H33" i="75"/>
  <c r="H34" i="75"/>
  <c r="H35" i="75"/>
  <c r="H36" i="75"/>
  <c r="H37" i="75"/>
  <c r="H38" i="75"/>
  <c r="H39" i="75"/>
  <c r="H40" i="75"/>
  <c r="H41" i="75"/>
  <c r="H42" i="75"/>
  <c r="H43" i="75"/>
  <c r="H44" i="75"/>
  <c r="H45" i="75"/>
  <c r="H46" i="75"/>
  <c r="H47" i="75"/>
  <c r="H48" i="75"/>
  <c r="H49" i="75"/>
  <c r="H26" i="75"/>
  <c r="H16" i="75"/>
  <c r="H15" i="75"/>
  <c r="H13" i="75"/>
  <c r="H12" i="75"/>
  <c r="H10" i="75"/>
  <c r="H9" i="75"/>
  <c r="F57" i="75"/>
  <c r="F56" i="75"/>
  <c r="F55" i="75"/>
  <c r="F54" i="75"/>
  <c r="F27" i="75"/>
  <c r="F28" i="75"/>
  <c r="F29" i="75"/>
  <c r="F30" i="75"/>
  <c r="F31" i="75"/>
  <c r="F32" i="75"/>
  <c r="F33" i="75"/>
  <c r="F34" i="75"/>
  <c r="F35" i="75"/>
  <c r="F36" i="75"/>
  <c r="F37" i="75"/>
  <c r="F38" i="75"/>
  <c r="F39" i="75"/>
  <c r="F40" i="75"/>
  <c r="F41" i="75"/>
  <c r="F42" i="75"/>
  <c r="F43" i="75"/>
  <c r="F44" i="75"/>
  <c r="F45" i="75"/>
  <c r="F46" i="75"/>
  <c r="F47" i="75"/>
  <c r="F48" i="75"/>
  <c r="F49" i="75"/>
  <c r="F26" i="75"/>
  <c r="F16" i="75"/>
  <c r="F15" i="75"/>
  <c r="F13" i="75"/>
  <c r="F12" i="75"/>
  <c r="F10" i="75"/>
  <c r="F9" i="75"/>
  <c r="D22" i="75" l="1"/>
  <c r="B79" i="75"/>
  <c r="B80" i="75"/>
  <c r="B81" i="75"/>
  <c r="B82" i="75"/>
  <c r="B83" i="75"/>
  <c r="B84" i="75"/>
  <c r="B77" i="75"/>
  <c r="B78" i="75"/>
  <c r="B67" i="75"/>
  <c r="B68" i="75"/>
  <c r="B69" i="75"/>
  <c r="B70" i="75"/>
  <c r="B71" i="75"/>
  <c r="B72" i="75"/>
  <c r="B73" i="75"/>
  <c r="B74" i="75"/>
  <c r="B75" i="75"/>
  <c r="B66" i="75"/>
  <c r="S15" i="75" l="1"/>
  <c r="L84" i="75"/>
  <c r="L77" i="75"/>
  <c r="L75" i="75"/>
  <c r="L74" i="75"/>
  <c r="F22" i="75"/>
  <c r="J22" i="75" l="1"/>
  <c r="H22" i="75"/>
  <c r="L58" i="75" l="1"/>
  <c r="S21" i="75"/>
  <c r="J4" i="75"/>
  <c r="F72" i="65" s="1"/>
  <c r="H4" i="75"/>
  <c r="F71" i="65" s="1"/>
  <c r="F4" i="75"/>
  <c r="F70" i="65" s="1"/>
  <c r="M61" i="75" l="1"/>
  <c r="M55" i="75"/>
  <c r="M29" i="75"/>
  <c r="M33" i="75"/>
  <c r="M37" i="75"/>
  <c r="M41" i="75"/>
  <c r="M45" i="75"/>
  <c r="M13" i="75"/>
  <c r="M17" i="75"/>
  <c r="M42" i="75"/>
  <c r="M14" i="75"/>
  <c r="M57" i="75"/>
  <c r="M27" i="75"/>
  <c r="M35" i="75"/>
  <c r="M43" i="75"/>
  <c r="M15" i="75"/>
  <c r="M56" i="75"/>
  <c r="M32" i="75"/>
  <c r="M36" i="75"/>
  <c r="M44" i="75"/>
  <c r="M12" i="75"/>
  <c r="M58" i="75"/>
  <c r="M54" i="75"/>
  <c r="M30" i="75"/>
  <c r="M34" i="75"/>
  <c r="M38" i="75"/>
  <c r="M46" i="75"/>
  <c r="M18" i="75"/>
  <c r="M31" i="75"/>
  <c r="M39" i="75"/>
  <c r="M47" i="75"/>
  <c r="M26" i="75"/>
  <c r="M9" i="75"/>
  <c r="M28" i="75"/>
  <c r="M40" i="75"/>
  <c r="M48" i="75"/>
  <c r="M16" i="75"/>
  <c r="J58" i="75" l="1"/>
  <c r="H58" i="75"/>
  <c r="F58" i="75"/>
  <c r="D58" i="75"/>
  <c r="J50" i="75"/>
  <c r="H50" i="75"/>
  <c r="F50" i="75"/>
  <c r="D50" i="75"/>
  <c r="J19" i="75"/>
  <c r="H19" i="75"/>
  <c r="F19" i="75"/>
  <c r="D19" i="75"/>
  <c r="J18" i="75"/>
  <c r="S25" i="75" s="1"/>
  <c r="H18" i="75"/>
  <c r="F18" i="75"/>
  <c r="S24" i="75" s="1"/>
  <c r="D18" i="75"/>
  <c r="J17" i="75"/>
  <c r="H17" i="75"/>
  <c r="F17" i="75"/>
  <c r="D17" i="75"/>
  <c r="J14" i="75"/>
  <c r="H14" i="75"/>
  <c r="F14" i="75"/>
  <c r="D14" i="75"/>
  <c r="J11" i="75"/>
  <c r="H11" i="75"/>
  <c r="F11" i="75"/>
  <c r="D11" i="75"/>
  <c r="D23" i="75" l="1"/>
  <c r="S32" i="75"/>
  <c r="E12" i="75"/>
  <c r="S23" i="75"/>
  <c r="S26" i="75" s="1"/>
  <c r="K22" i="75"/>
  <c r="I22" i="75"/>
  <c r="L22" i="75" s="1"/>
  <c r="G57" i="75"/>
  <c r="G22" i="75"/>
  <c r="E57" i="75"/>
  <c r="E22" i="75"/>
  <c r="E11" i="75"/>
  <c r="E23" i="75"/>
  <c r="E9" i="75"/>
  <c r="E16" i="75"/>
  <c r="E17" i="75"/>
  <c r="E13" i="75"/>
  <c r="E10" i="75"/>
  <c r="E14" i="75"/>
  <c r="E15" i="75"/>
  <c r="E18" i="75"/>
  <c r="I10" i="75"/>
  <c r="I14" i="75"/>
  <c r="I27" i="75"/>
  <c r="I35" i="75"/>
  <c r="I43" i="75"/>
  <c r="I11" i="75"/>
  <c r="I15" i="75"/>
  <c r="I19" i="75"/>
  <c r="L19" i="75" s="1"/>
  <c r="I28" i="75"/>
  <c r="I32" i="75"/>
  <c r="I36" i="75"/>
  <c r="I40" i="75"/>
  <c r="I44" i="75"/>
  <c r="I48" i="75"/>
  <c r="I54" i="75"/>
  <c r="I58" i="75"/>
  <c r="I13" i="75"/>
  <c r="I17" i="75"/>
  <c r="I30" i="75"/>
  <c r="I34" i="75"/>
  <c r="I42" i="75"/>
  <c r="I50" i="75"/>
  <c r="I56" i="75"/>
  <c r="I12" i="75"/>
  <c r="I16" i="75"/>
  <c r="I29" i="75"/>
  <c r="I33" i="75"/>
  <c r="I37" i="75"/>
  <c r="I41" i="75"/>
  <c r="I45" i="75"/>
  <c r="I49" i="75"/>
  <c r="I55" i="75"/>
  <c r="I9" i="75"/>
  <c r="I26" i="75"/>
  <c r="I38" i="75"/>
  <c r="I46" i="75"/>
  <c r="I61" i="75"/>
  <c r="I18" i="75"/>
  <c r="I31" i="75"/>
  <c r="I39" i="75"/>
  <c r="I47" i="75"/>
  <c r="I57" i="75"/>
  <c r="E28" i="75"/>
  <c r="E32" i="75"/>
  <c r="E36" i="75"/>
  <c r="E40" i="75"/>
  <c r="E44" i="75"/>
  <c r="E48" i="75"/>
  <c r="K12" i="75"/>
  <c r="K16" i="75"/>
  <c r="K29" i="75"/>
  <c r="K33" i="75"/>
  <c r="K37" i="75"/>
  <c r="K41" i="75"/>
  <c r="K45" i="75"/>
  <c r="K49" i="75"/>
  <c r="K55" i="75"/>
  <c r="K9" i="75"/>
  <c r="K13" i="75"/>
  <c r="K17" i="75"/>
  <c r="K26" i="75"/>
  <c r="K30" i="75"/>
  <c r="K34" i="75"/>
  <c r="K38" i="75"/>
  <c r="K42" i="75"/>
  <c r="K46" i="75"/>
  <c r="K50" i="75"/>
  <c r="K56" i="75"/>
  <c r="K15" i="75"/>
  <c r="K19" i="75"/>
  <c r="K32" i="75"/>
  <c r="K36" i="75"/>
  <c r="K44" i="75"/>
  <c r="K54" i="75"/>
  <c r="K58" i="75"/>
  <c r="K10" i="75"/>
  <c r="K14" i="75"/>
  <c r="K18" i="75"/>
  <c r="K27" i="75"/>
  <c r="K31" i="75"/>
  <c r="K35" i="75"/>
  <c r="K39" i="75"/>
  <c r="K43" i="75"/>
  <c r="K47" i="75"/>
  <c r="K57" i="75"/>
  <c r="K11" i="75"/>
  <c r="K28" i="75"/>
  <c r="K40" i="75"/>
  <c r="K48" i="75"/>
  <c r="H20" i="75"/>
  <c r="H60" i="75" s="1"/>
  <c r="H63" i="75" s="1"/>
  <c r="E29" i="75"/>
  <c r="E33" i="75"/>
  <c r="E37" i="75"/>
  <c r="E41" i="75"/>
  <c r="E45" i="75"/>
  <c r="E49" i="75"/>
  <c r="E26" i="75"/>
  <c r="E30" i="75"/>
  <c r="E34" i="75"/>
  <c r="E38" i="75"/>
  <c r="E42" i="75"/>
  <c r="E46" i="75"/>
  <c r="E19" i="75"/>
  <c r="D20" i="75"/>
  <c r="E61" i="75" s="1"/>
  <c r="E27" i="75"/>
  <c r="E31" i="75"/>
  <c r="E35" i="75"/>
  <c r="E39" i="75"/>
  <c r="E43" i="75"/>
  <c r="E47" i="75"/>
  <c r="E58" i="75"/>
  <c r="G11" i="75"/>
  <c r="G14" i="75"/>
  <c r="G17" i="75"/>
  <c r="G18" i="75"/>
  <c r="G19" i="75"/>
  <c r="F20" i="75"/>
  <c r="J20" i="75"/>
  <c r="K20" i="75" s="1"/>
  <c r="G26" i="75"/>
  <c r="G27" i="75"/>
  <c r="G28" i="75"/>
  <c r="G29" i="75"/>
  <c r="G30" i="75"/>
  <c r="G31" i="75"/>
  <c r="G32" i="75"/>
  <c r="G33" i="75"/>
  <c r="G34" i="75"/>
  <c r="G35" i="75"/>
  <c r="G36" i="75"/>
  <c r="G37" i="75"/>
  <c r="G38" i="75"/>
  <c r="G39" i="75"/>
  <c r="G40" i="75"/>
  <c r="G41" i="75"/>
  <c r="G42" i="75"/>
  <c r="G43" i="75"/>
  <c r="G44" i="75"/>
  <c r="G45" i="75"/>
  <c r="G46" i="75"/>
  <c r="G47" i="75"/>
  <c r="G48" i="75"/>
  <c r="G49" i="75"/>
  <c r="E50" i="75"/>
  <c r="G58" i="75"/>
  <c r="G20" i="75"/>
  <c r="E54" i="75"/>
  <c r="E55" i="75"/>
  <c r="E56" i="75"/>
  <c r="G9" i="75"/>
  <c r="G10" i="75"/>
  <c r="G12" i="75"/>
  <c r="G13" i="75"/>
  <c r="G15" i="75"/>
  <c r="G16" i="75"/>
  <c r="G50" i="75"/>
  <c r="G54" i="75"/>
  <c r="G55" i="75"/>
  <c r="G56" i="75"/>
  <c r="H51" i="5"/>
  <c r="S12" i="75" l="1"/>
  <c r="M10" i="75"/>
  <c r="I63" i="75"/>
  <c r="H66" i="75"/>
  <c r="I60" i="75"/>
  <c r="I20" i="75"/>
  <c r="E20" i="75"/>
  <c r="H52" i="75"/>
  <c r="I52" i="75" s="1"/>
  <c r="D52" i="75"/>
  <c r="E52" i="75" s="1"/>
  <c r="D60" i="75"/>
  <c r="K61" i="75"/>
  <c r="J52" i="75"/>
  <c r="K52" i="75" s="1"/>
  <c r="J60" i="75"/>
  <c r="F52" i="75"/>
  <c r="G52" i="75" s="1"/>
  <c r="G61" i="75"/>
  <c r="F60" i="75"/>
  <c r="M22" i="75" l="1"/>
  <c r="J63" i="75"/>
  <c r="K60" i="75"/>
  <c r="F63" i="75"/>
  <c r="G60" i="75"/>
  <c r="D63" i="75"/>
  <c r="E60" i="75"/>
  <c r="E63" i="75" l="1"/>
  <c r="D66" i="75"/>
  <c r="K63" i="75"/>
  <c r="J66" i="75"/>
  <c r="G63" i="75"/>
  <c r="F66" i="75"/>
  <c r="C19" i="71"/>
  <c r="K13" i="41"/>
  <c r="K13" i="44"/>
  <c r="K13" i="47"/>
  <c r="K15" i="38"/>
  <c r="G14" i="38" s="1"/>
  <c r="D14" i="38" s="1"/>
  <c r="C3" i="34" l="1"/>
  <c r="AC6" i="34" s="1"/>
  <c r="C3" i="31"/>
  <c r="AC6" i="31" s="1"/>
  <c r="C3" i="28"/>
  <c r="AC6" i="28" s="1"/>
  <c r="C3" i="25"/>
  <c r="AC6" i="25" s="1"/>
  <c r="C3" i="22"/>
  <c r="AC6" i="22" s="1"/>
  <c r="E53" i="8" l="1"/>
  <c r="E17" i="8"/>
  <c r="F61" i="59" l="1"/>
  <c r="F60" i="59"/>
  <c r="F59" i="59"/>
  <c r="F55" i="59"/>
  <c r="F54" i="59"/>
  <c r="F53" i="59"/>
  <c r="F49" i="59"/>
  <c r="F48" i="59"/>
  <c r="F47" i="59"/>
  <c r="F43" i="59"/>
  <c r="F42" i="59"/>
  <c r="F41" i="59"/>
  <c r="F37" i="59"/>
  <c r="F36" i="59"/>
  <c r="F35" i="59"/>
  <c r="F30" i="59"/>
  <c r="F29" i="59"/>
  <c r="F28" i="59"/>
  <c r="F24" i="59"/>
  <c r="F23" i="59"/>
  <c r="F22" i="59"/>
  <c r="F18" i="59"/>
  <c r="F17" i="59"/>
  <c r="F16" i="59"/>
  <c r="F12" i="59"/>
  <c r="F11" i="59"/>
  <c r="F10" i="59"/>
  <c r="F6" i="59"/>
  <c r="F5" i="59"/>
  <c r="F4" i="59"/>
  <c r="D16" i="37" l="1"/>
  <c r="D17" i="40"/>
  <c r="D17" i="43"/>
  <c r="D17" i="46"/>
  <c r="D16" i="40"/>
  <c r="D16" i="43"/>
  <c r="D16" i="46"/>
  <c r="M16" i="18"/>
  <c r="M15" i="18"/>
  <c r="M14" i="18"/>
  <c r="M13" i="18"/>
  <c r="M12" i="18"/>
  <c r="M11" i="18"/>
  <c r="M10" i="18"/>
  <c r="M9" i="18"/>
  <c r="M8" i="18"/>
  <c r="E28" i="18"/>
  <c r="M7" i="18"/>
  <c r="I13" i="12"/>
  <c r="G13" i="12"/>
  <c r="E13" i="12"/>
  <c r="H7" i="80" s="1"/>
  <c r="D5" i="75"/>
  <c r="C6" i="80"/>
  <c r="C13" i="12"/>
  <c r="Q13" i="12"/>
  <c r="J72" i="75" s="1"/>
  <c r="O13" i="12"/>
  <c r="H72" i="75" s="1"/>
  <c r="M13" i="12"/>
  <c r="K13" i="12"/>
  <c r="F72" i="75" s="1"/>
  <c r="F19" i="8"/>
  <c r="G19" i="8"/>
  <c r="H19" i="8"/>
  <c r="I19" i="8"/>
  <c r="G15" i="8"/>
  <c r="G14" i="8"/>
  <c r="G13" i="8"/>
  <c r="G12" i="8"/>
  <c r="G11" i="8"/>
  <c r="G10" i="8"/>
  <c r="G9" i="8"/>
  <c r="G8" i="8"/>
  <c r="G7" i="8"/>
  <c r="G6" i="8"/>
  <c r="H15" i="8"/>
  <c r="H14" i="8"/>
  <c r="H13" i="8"/>
  <c r="H12" i="8"/>
  <c r="H11" i="8"/>
  <c r="H10" i="8"/>
  <c r="H9" i="8"/>
  <c r="H8" i="8"/>
  <c r="H7" i="8"/>
  <c r="H6" i="8"/>
  <c r="I15" i="8"/>
  <c r="I14" i="8"/>
  <c r="I13" i="8"/>
  <c r="I12" i="8"/>
  <c r="I11" i="8"/>
  <c r="I10" i="8"/>
  <c r="I9" i="8"/>
  <c r="I8" i="8"/>
  <c r="I7" i="8"/>
  <c r="I6" i="8"/>
  <c r="F15" i="8"/>
  <c r="F14" i="8"/>
  <c r="F13" i="8"/>
  <c r="F12" i="8"/>
  <c r="F11" i="8"/>
  <c r="F10" i="8"/>
  <c r="F9" i="8"/>
  <c r="F8" i="8"/>
  <c r="F7" i="8"/>
  <c r="F6" i="8"/>
  <c r="J14" i="6"/>
  <c r="D131" i="10"/>
  <c r="C27" i="71"/>
  <c r="F27" i="71"/>
  <c r="F58" i="8"/>
  <c r="G58" i="8"/>
  <c r="H58" i="8"/>
  <c r="I59" i="8"/>
  <c r="H59" i="8"/>
  <c r="G59" i="8"/>
  <c r="F59" i="8"/>
  <c r="H57" i="8"/>
  <c r="G57" i="8"/>
  <c r="E57" i="8"/>
  <c r="I56" i="8"/>
  <c r="H56" i="8"/>
  <c r="G56" i="8"/>
  <c r="F56" i="8"/>
  <c r="I55" i="8"/>
  <c r="H55" i="8"/>
  <c r="G55" i="8"/>
  <c r="F55" i="8"/>
  <c r="H52" i="8"/>
  <c r="G52" i="8"/>
  <c r="E52" i="8"/>
  <c r="I42" i="8"/>
  <c r="H42" i="8"/>
  <c r="G42" i="8"/>
  <c r="F42" i="8"/>
  <c r="I51" i="8"/>
  <c r="H51" i="8"/>
  <c r="G51" i="8"/>
  <c r="F51" i="8"/>
  <c r="I50" i="8"/>
  <c r="H50" i="8"/>
  <c r="G50" i="8"/>
  <c r="F50" i="8"/>
  <c r="I49" i="8"/>
  <c r="H49" i="8"/>
  <c r="G49" i="8"/>
  <c r="F49" i="8"/>
  <c r="I48" i="8"/>
  <c r="H48" i="8"/>
  <c r="G48" i="8"/>
  <c r="F48" i="8"/>
  <c r="I47" i="8"/>
  <c r="H47" i="8"/>
  <c r="G47" i="8"/>
  <c r="F47" i="8"/>
  <c r="I46" i="8"/>
  <c r="H46" i="8"/>
  <c r="G46" i="8"/>
  <c r="F46" i="8"/>
  <c r="I45" i="8"/>
  <c r="H45" i="8"/>
  <c r="G45" i="8"/>
  <c r="F45" i="8"/>
  <c r="I44" i="8"/>
  <c r="H44" i="8"/>
  <c r="G44" i="8"/>
  <c r="F44" i="8"/>
  <c r="I43" i="8"/>
  <c r="H43" i="8"/>
  <c r="G43" i="8"/>
  <c r="F43" i="8"/>
  <c r="I23" i="8"/>
  <c r="H23" i="8"/>
  <c r="G23" i="8"/>
  <c r="F23" i="8"/>
  <c r="H22" i="8"/>
  <c r="G22" i="8"/>
  <c r="F22" i="8"/>
  <c r="H21" i="8"/>
  <c r="G21" i="8"/>
  <c r="E21" i="8"/>
  <c r="I20" i="8"/>
  <c r="H20" i="8"/>
  <c r="G20" i="8"/>
  <c r="F20" i="8"/>
  <c r="G16" i="8"/>
  <c r="H16" i="8"/>
  <c r="D131" i="11"/>
  <c r="H130" i="11"/>
  <c r="I82" i="11"/>
  <c r="K82" i="11" s="1"/>
  <c r="I81" i="11"/>
  <c r="K81" i="11" s="1"/>
  <c r="I80" i="11"/>
  <c r="K80" i="11" s="1"/>
  <c r="I79" i="11"/>
  <c r="K79" i="11" s="1"/>
  <c r="I78" i="11"/>
  <c r="K78" i="11" s="1"/>
  <c r="I77" i="11"/>
  <c r="K77" i="11" s="1"/>
  <c r="I67" i="11"/>
  <c r="I69" i="11" s="1"/>
  <c r="I57" i="11"/>
  <c r="I59" i="11" s="1"/>
  <c r="I47" i="11"/>
  <c r="I49" i="11" s="1"/>
  <c r="I37" i="11"/>
  <c r="I39" i="11" s="1"/>
  <c r="E29" i="11"/>
  <c r="I28" i="11"/>
  <c r="E20" i="11"/>
  <c r="I19" i="11"/>
  <c r="E10" i="11"/>
  <c r="I9" i="11"/>
  <c r="H123" i="10"/>
  <c r="H130" i="10" s="1"/>
  <c r="G25" i="8" l="1"/>
  <c r="G54" i="8"/>
  <c r="G61" i="8" s="1"/>
  <c r="H6" i="80"/>
  <c r="I4" i="18"/>
  <c r="O8" i="18"/>
  <c r="O10" i="18"/>
  <c r="O11" i="18"/>
  <c r="O13" i="18"/>
  <c r="O14" i="18"/>
  <c r="O16" i="18"/>
  <c r="O7" i="18"/>
  <c r="O9" i="18"/>
  <c r="O12" i="18"/>
  <c r="O15" i="18"/>
  <c r="N7" i="18"/>
  <c r="H28" i="18"/>
  <c r="N8" i="18"/>
  <c r="N9" i="18"/>
  <c r="N10" i="18"/>
  <c r="N11" i="18"/>
  <c r="N12" i="18"/>
  <c r="N13" i="18"/>
  <c r="N14" i="18"/>
  <c r="N15" i="18"/>
  <c r="N16" i="18"/>
  <c r="H8" i="80"/>
  <c r="H9" i="80" s="1"/>
  <c r="C29" i="11"/>
  <c r="G76" i="11"/>
  <c r="I76" i="11" s="1"/>
  <c r="K76" i="11" s="1"/>
  <c r="C20" i="11"/>
  <c r="G75" i="11"/>
  <c r="I75" i="11" s="1"/>
  <c r="K75" i="11" s="1"/>
  <c r="C10" i="11"/>
  <c r="G74" i="11"/>
  <c r="I74" i="11" s="1"/>
  <c r="B2" i="18"/>
  <c r="A2" i="14"/>
  <c r="A2" i="12" s="1"/>
  <c r="B2" i="75"/>
  <c r="P40" i="75" s="1"/>
  <c r="D11" i="13"/>
  <c r="C7" i="80"/>
  <c r="G62" i="8"/>
  <c r="J83" i="11"/>
  <c r="J109" i="11" l="1"/>
  <c r="K109" i="11"/>
  <c r="C112" i="11" s="1"/>
  <c r="M28" i="18"/>
  <c r="H30" i="18" s="1"/>
  <c r="C30" i="18" s="1"/>
  <c r="I83" i="11"/>
  <c r="G83" i="11"/>
  <c r="K74" i="11"/>
  <c r="G88" i="11" s="1"/>
  <c r="F69" i="65" l="1"/>
  <c r="C8" i="80"/>
  <c r="L7" i="75"/>
  <c r="S11" i="75" s="1"/>
  <c r="K83" i="11"/>
  <c r="C86" i="11" s="1"/>
  <c r="C88" i="10"/>
  <c r="E29" i="10" l="1"/>
  <c r="I28" i="10"/>
  <c r="E20" i="10"/>
  <c r="I19" i="10"/>
  <c r="E10" i="10"/>
  <c r="C10" i="10"/>
  <c r="L29" i="73"/>
  <c r="C20" i="10" l="1"/>
  <c r="G75" i="10"/>
  <c r="C29" i="10"/>
  <c r="G76" i="10"/>
  <c r="C52" i="73"/>
  <c r="C43" i="73"/>
  <c r="D44" i="46"/>
  <c r="D44" i="43"/>
  <c r="D44" i="40"/>
  <c r="V25" i="68"/>
  <c r="A29" i="68" s="1"/>
  <c r="V24" i="68"/>
  <c r="A28" i="68" s="1"/>
  <c r="V23" i="68"/>
  <c r="A27" i="68" s="1"/>
  <c r="V22" i="68"/>
  <c r="A26" i="68" s="1"/>
  <c r="N2" i="46" a="1"/>
  <c r="N2" i="46" s="1"/>
  <c r="T25" i="68" s="1"/>
  <c r="N2" i="43" a="1"/>
  <c r="N2" i="43" s="1"/>
  <c r="T24" i="68" s="1"/>
  <c r="N2" i="40" a="1"/>
  <c r="N2" i="40" s="1"/>
  <c r="T23" i="68" s="1"/>
  <c r="N2" i="37" a="1"/>
  <c r="N2" i="37" s="1"/>
  <c r="T22" i="68" s="1"/>
  <c r="H122" i="6" l="1"/>
  <c r="G133" i="6" s="1"/>
  <c r="C64" i="71"/>
  <c r="B115" i="6" s="1"/>
  <c r="E122" i="6" s="1"/>
  <c r="F74" i="6"/>
  <c r="G70" i="8" s="1"/>
  <c r="E74" i="6"/>
  <c r="F70" i="8" s="1"/>
  <c r="D74" i="6"/>
  <c r="E70" i="8" s="1"/>
  <c r="E111" i="6"/>
  <c r="E110" i="6"/>
  <c r="E109" i="6"/>
  <c r="E108" i="6"/>
  <c r="E107" i="6"/>
  <c r="E106" i="6"/>
  <c r="E105" i="6"/>
  <c r="E104" i="6"/>
  <c r="E103" i="6"/>
  <c r="E102" i="6"/>
  <c r="E101" i="6"/>
  <c r="K92" i="6"/>
  <c r="H73" i="6"/>
  <c r="I69" i="8" s="1"/>
  <c r="H72" i="6"/>
  <c r="I68" i="8" s="1"/>
  <c r="H71" i="6"/>
  <c r="I67" i="8" s="1"/>
  <c r="H70" i="6"/>
  <c r="I66" i="8" s="1"/>
  <c r="F59" i="6"/>
  <c r="G56" i="6"/>
  <c r="F56" i="6"/>
  <c r="D55" i="6"/>
  <c r="D54" i="6"/>
  <c r="D53" i="6"/>
  <c r="D52" i="6"/>
  <c r="E59" i="8" s="1"/>
  <c r="H51" i="6"/>
  <c r="D49" i="6"/>
  <c r="D48" i="6"/>
  <c r="E47" i="6"/>
  <c r="D46" i="6"/>
  <c r="D45" i="6"/>
  <c r="D44" i="6"/>
  <c r="D43" i="6"/>
  <c r="D42" i="6"/>
  <c r="G70" i="71"/>
  <c r="E70" i="71"/>
  <c r="C70" i="71"/>
  <c r="I66" i="71"/>
  <c r="G66" i="71"/>
  <c r="C66" i="71"/>
  <c r="H39" i="6"/>
  <c r="G39" i="6"/>
  <c r="F39" i="6"/>
  <c r="E39" i="6"/>
  <c r="D38" i="6"/>
  <c r="E56" i="8" s="1"/>
  <c r="D37" i="6"/>
  <c r="E55" i="8" s="1"/>
  <c r="F34" i="6"/>
  <c r="D32" i="6"/>
  <c r="D30" i="6"/>
  <c r="D29" i="6"/>
  <c r="D28" i="6"/>
  <c r="D27" i="6"/>
  <c r="D26" i="6"/>
  <c r="D25" i="6"/>
  <c r="D24" i="6"/>
  <c r="D23" i="6"/>
  <c r="D22" i="6"/>
  <c r="D21" i="6"/>
  <c r="D20" i="6"/>
  <c r="D18" i="6"/>
  <c r="E4" i="18"/>
  <c r="J13" i="6"/>
  <c r="K13" i="6" s="1"/>
  <c r="D13" i="6"/>
  <c r="E51" i="8" s="1"/>
  <c r="J12" i="6"/>
  <c r="K12" i="6" s="1"/>
  <c r="D12" i="6"/>
  <c r="E50" i="8" s="1"/>
  <c r="J11" i="6"/>
  <c r="K11" i="6" s="1"/>
  <c r="D11" i="6"/>
  <c r="E49" i="8" s="1"/>
  <c r="J10" i="6"/>
  <c r="K10" i="6" s="1"/>
  <c r="D10" i="6"/>
  <c r="E48" i="8" s="1"/>
  <c r="J9" i="6"/>
  <c r="K9" i="6" s="1"/>
  <c r="D9" i="6"/>
  <c r="E47" i="8" s="1"/>
  <c r="J8" i="6"/>
  <c r="K8" i="6" s="1"/>
  <c r="D8" i="6"/>
  <c r="E46" i="8" s="1"/>
  <c r="J7" i="6"/>
  <c r="K7" i="6" s="1"/>
  <c r="D7" i="6"/>
  <c r="J6" i="6"/>
  <c r="K6" i="6" s="1"/>
  <c r="D6" i="6"/>
  <c r="E44" i="8" s="1"/>
  <c r="J5" i="6"/>
  <c r="K5" i="6" s="1"/>
  <c r="D5" i="6"/>
  <c r="E43" i="8" s="1"/>
  <c r="J4" i="6"/>
  <c r="K4" i="6" s="1"/>
  <c r="D4" i="6"/>
  <c r="K92" i="5"/>
  <c r="F74" i="5"/>
  <c r="G34" i="8" s="1"/>
  <c r="K122" i="6" l="1"/>
  <c r="E59" i="59"/>
  <c r="G59" i="59" s="1"/>
  <c r="E42" i="59"/>
  <c r="G42" i="59" s="1"/>
  <c r="E55" i="59"/>
  <c r="G55" i="59" s="1"/>
  <c r="E41" i="59"/>
  <c r="G41" i="59" s="1"/>
  <c r="E48" i="59"/>
  <c r="G48" i="59" s="1"/>
  <c r="E54" i="59"/>
  <c r="G54" i="59" s="1"/>
  <c r="E37" i="59"/>
  <c r="G37" i="59" s="1"/>
  <c r="E53" i="59"/>
  <c r="G53" i="59" s="1"/>
  <c r="E36" i="59"/>
  <c r="G36" i="59" s="1"/>
  <c r="E49" i="59"/>
  <c r="G49" i="59" s="1"/>
  <c r="E35" i="59"/>
  <c r="G35" i="59" s="1"/>
  <c r="E61" i="59"/>
  <c r="G61" i="59" s="1"/>
  <c r="E47" i="59"/>
  <c r="G47" i="59" s="1"/>
  <c r="E60" i="59"/>
  <c r="G60" i="59" s="1"/>
  <c r="E43" i="59"/>
  <c r="G43" i="59" s="1"/>
  <c r="E45" i="8"/>
  <c r="H143" i="11"/>
  <c r="H146" i="11" s="1"/>
  <c r="H147" i="11" s="1"/>
  <c r="H152" i="11" s="1"/>
  <c r="D143" i="11"/>
  <c r="D146" i="11" s="1"/>
  <c r="G132" i="6"/>
  <c r="E132" i="6"/>
  <c r="E123" i="6"/>
  <c r="J88" i="75"/>
  <c r="H88" i="75"/>
  <c r="F88" i="75"/>
  <c r="D88" i="75"/>
  <c r="E42" i="8"/>
  <c r="D14" i="6"/>
  <c r="H99" i="75"/>
  <c r="F99" i="75"/>
  <c r="J99" i="75"/>
  <c r="D99" i="75"/>
  <c r="H123" i="6"/>
  <c r="G129" i="6" s="1"/>
  <c r="H91" i="75"/>
  <c r="F91" i="75"/>
  <c r="J91" i="75"/>
  <c r="D91" i="75"/>
  <c r="F60" i="6"/>
  <c r="F65" i="6" s="1"/>
  <c r="D51" i="6"/>
  <c r="E58" i="8" s="1"/>
  <c r="I58" i="8"/>
  <c r="D47" i="6"/>
  <c r="Q32" i="12"/>
  <c r="Q55" i="12"/>
  <c r="O50" i="12"/>
  <c r="M45" i="12"/>
  <c r="M40" i="12"/>
  <c r="O55" i="12"/>
  <c r="M50" i="12"/>
  <c r="K45" i="12"/>
  <c r="K40" i="12"/>
  <c r="M55" i="12"/>
  <c r="K50" i="12"/>
  <c r="Q45" i="12"/>
  <c r="Q40" i="12"/>
  <c r="K55" i="12"/>
  <c r="Q50" i="12"/>
  <c r="O45" i="12"/>
  <c r="O40" i="12"/>
  <c r="K32" i="12"/>
  <c r="M32" i="12"/>
  <c r="O32" i="12"/>
  <c r="E112" i="6"/>
  <c r="D33" i="6" s="1"/>
  <c r="H33" i="6" s="1"/>
  <c r="K89" i="6"/>
  <c r="G57" i="6"/>
  <c r="D39" i="6"/>
  <c r="F57" i="6"/>
  <c r="H73" i="5"/>
  <c r="I33" i="8" s="1"/>
  <c r="H72" i="5"/>
  <c r="I32" i="8" s="1"/>
  <c r="H71" i="5"/>
  <c r="H70" i="5"/>
  <c r="E74" i="5"/>
  <c r="F34" i="8" s="1"/>
  <c r="D74" i="5"/>
  <c r="E34" i="8" s="1"/>
  <c r="J133" i="6" l="1"/>
  <c r="G65" i="6"/>
  <c r="H65" i="6" s="1"/>
  <c r="D34" i="6"/>
  <c r="E42" i="73"/>
  <c r="I30" i="8"/>
  <c r="C33" i="73"/>
  <c r="I31" i="8"/>
  <c r="E124" i="6"/>
  <c r="E126" i="6" s="1"/>
  <c r="E98" i="6" s="1"/>
  <c r="K123" i="6"/>
  <c r="D56" i="6"/>
  <c r="D57" i="6" s="1"/>
  <c r="H124" i="6"/>
  <c r="H126" i="6" s="1"/>
  <c r="D59" i="6"/>
  <c r="G25" i="71"/>
  <c r="E25" i="71"/>
  <c r="P12" i="5"/>
  <c r="I21" i="71"/>
  <c r="G21" i="71"/>
  <c r="C21" i="71"/>
  <c r="D55" i="5"/>
  <c r="D54" i="5"/>
  <c r="D53" i="5"/>
  <c r="D52" i="5"/>
  <c r="E23" i="8" s="1"/>
  <c r="D49" i="5"/>
  <c r="D48" i="5"/>
  <c r="D47" i="5"/>
  <c r="D46" i="5"/>
  <c r="D45" i="5"/>
  <c r="D44" i="5"/>
  <c r="D43" i="5"/>
  <c r="D38" i="5"/>
  <c r="E20" i="8" s="1"/>
  <c r="D37" i="5"/>
  <c r="E19" i="8" s="1"/>
  <c r="D20" i="5"/>
  <c r="D21" i="5"/>
  <c r="D22" i="5"/>
  <c r="D23" i="5"/>
  <c r="D24" i="5"/>
  <c r="D25" i="5"/>
  <c r="D26" i="5"/>
  <c r="D27" i="5"/>
  <c r="D28" i="5"/>
  <c r="D29" i="5"/>
  <c r="D30" i="5"/>
  <c r="D32" i="5"/>
  <c r="D18" i="5"/>
  <c r="D5" i="5"/>
  <c r="E7" i="8" s="1"/>
  <c r="D6" i="5"/>
  <c r="E8" i="8" s="1"/>
  <c r="D7" i="5"/>
  <c r="D8" i="5"/>
  <c r="E10" i="8" s="1"/>
  <c r="D9" i="5"/>
  <c r="E11" i="8" s="1"/>
  <c r="D10" i="5"/>
  <c r="E12" i="8" s="1"/>
  <c r="D11" i="5"/>
  <c r="E13" i="8" s="1"/>
  <c r="D12" i="5"/>
  <c r="E14" i="8" s="1"/>
  <c r="D13" i="5"/>
  <c r="E15" i="8" s="1"/>
  <c r="D4" i="5"/>
  <c r="P23" i="6" l="1"/>
  <c r="D128" i="11"/>
  <c r="H149" i="11"/>
  <c r="G154" i="11" s="1"/>
  <c r="E24" i="59"/>
  <c r="G24" i="59" s="1"/>
  <c r="E10" i="59"/>
  <c r="G10" i="59" s="1"/>
  <c r="E23" i="59"/>
  <c r="G23" i="59" s="1"/>
  <c r="E6" i="59"/>
  <c r="G6" i="59" s="1"/>
  <c r="E16" i="59"/>
  <c r="G16" i="59" s="1"/>
  <c r="E22" i="59"/>
  <c r="G22" i="59" s="1"/>
  <c r="E5" i="59"/>
  <c r="G5" i="59" s="1"/>
  <c r="E4" i="59"/>
  <c r="G4" i="59" s="1"/>
  <c r="E17" i="59"/>
  <c r="G17" i="59" s="1"/>
  <c r="E30" i="59"/>
  <c r="G30" i="59" s="1"/>
  <c r="E18" i="59"/>
  <c r="G18" i="59" s="1"/>
  <c r="E29" i="59"/>
  <c r="G29" i="59" s="1"/>
  <c r="E12" i="59"/>
  <c r="G12" i="59" s="1"/>
  <c r="E28" i="59"/>
  <c r="G28" i="59" s="1"/>
  <c r="E11" i="59"/>
  <c r="G11" i="59" s="1"/>
  <c r="P7" i="6"/>
  <c r="E14" i="71" s="1"/>
  <c r="D6" i="61" s="1"/>
  <c r="G29" i="11"/>
  <c r="G20" i="11"/>
  <c r="D142" i="11"/>
  <c r="D149" i="11"/>
  <c r="G10" i="11"/>
  <c r="C4" i="18"/>
  <c r="L27" i="18" s="1"/>
  <c r="E9" i="8"/>
  <c r="H143" i="10"/>
  <c r="H146" i="10" s="1"/>
  <c r="H147" i="10" s="1"/>
  <c r="H152" i="10" s="1"/>
  <c r="D143" i="10"/>
  <c r="D146" i="10" s="1"/>
  <c r="D14" i="5"/>
  <c r="E6" i="8"/>
  <c r="H31" i="6"/>
  <c r="J57" i="6"/>
  <c r="J56" i="6"/>
  <c r="C85" i="11"/>
  <c r="B2" i="73"/>
  <c r="E54" i="73"/>
  <c r="C54" i="73"/>
  <c r="C45" i="73"/>
  <c r="E45" i="73"/>
  <c r="E36" i="73"/>
  <c r="G31" i="6" l="1"/>
  <c r="I231" i="122"/>
  <c r="I232" i="122" s="1"/>
  <c r="G89" i="11"/>
  <c r="I160" i="11"/>
  <c r="I161" i="11" s="1"/>
  <c r="H150" i="11"/>
  <c r="H153" i="11"/>
  <c r="L7" i="18"/>
  <c r="L17" i="18"/>
  <c r="L18" i="18"/>
  <c r="L15" i="18"/>
  <c r="L16" i="18"/>
  <c r="L8" i="18"/>
  <c r="L21" i="18"/>
  <c r="L22" i="18"/>
  <c r="L19" i="18"/>
  <c r="L20" i="18"/>
  <c r="L9" i="18"/>
  <c r="L25" i="18"/>
  <c r="L26" i="18"/>
  <c r="L23" i="18"/>
  <c r="L24" i="18"/>
  <c r="L14" i="18"/>
  <c r="L12" i="18"/>
  <c r="L10" i="18"/>
  <c r="L11" i="18"/>
  <c r="L13" i="18"/>
  <c r="I53" i="8"/>
  <c r="I54" i="8" s="1"/>
  <c r="G85" i="11"/>
  <c r="G86" i="11"/>
  <c r="C90" i="71"/>
  <c r="K85" i="11"/>
  <c r="K86" i="11"/>
  <c r="C87" i="11"/>
  <c r="C89" i="11" s="1"/>
  <c r="C90" i="11" s="1"/>
  <c r="H231" i="122" l="1"/>
  <c r="H53" i="8"/>
  <c r="H54" i="8" s="1"/>
  <c r="H61" i="8" s="1"/>
  <c r="H62" i="8" s="1"/>
  <c r="F54" i="8"/>
  <c r="G34" i="6"/>
  <c r="G59" i="6"/>
  <c r="J132" i="6"/>
  <c r="J129" i="6"/>
  <c r="E17" i="16"/>
  <c r="E19" i="16"/>
  <c r="G22" i="16"/>
  <c r="G16" i="16"/>
  <c r="E7" i="16"/>
  <c r="I57" i="36"/>
  <c r="G57" i="36"/>
  <c r="E57" i="36"/>
  <c r="C57" i="36"/>
  <c r="I50" i="36"/>
  <c r="G50" i="36"/>
  <c r="E50" i="36"/>
  <c r="C50" i="36"/>
  <c r="I46" i="36"/>
  <c r="G46" i="36"/>
  <c r="E46" i="36"/>
  <c r="C46" i="36"/>
  <c r="I40" i="36"/>
  <c r="I51" i="36" s="1"/>
  <c r="I59" i="36" s="1"/>
  <c r="G40" i="36"/>
  <c r="G51" i="36" s="1"/>
  <c r="G59" i="36" s="1"/>
  <c r="E40" i="36"/>
  <c r="E51" i="36" s="1"/>
  <c r="E59" i="36" s="1"/>
  <c r="C40" i="36"/>
  <c r="C51" i="36" s="1"/>
  <c r="C59" i="36" s="1"/>
  <c r="F36" i="36"/>
  <c r="F34" i="36"/>
  <c r="I30" i="36"/>
  <c r="G30" i="36"/>
  <c r="E30" i="36"/>
  <c r="C30" i="36"/>
  <c r="F29" i="36"/>
  <c r="F27" i="36"/>
  <c r="I25" i="36"/>
  <c r="G25" i="36"/>
  <c r="E25" i="36"/>
  <c r="C25" i="36"/>
  <c r="F23" i="36"/>
  <c r="F22" i="36"/>
  <c r="F21" i="36"/>
  <c r="F19" i="36"/>
  <c r="F18" i="36"/>
  <c r="F17" i="36"/>
  <c r="I14" i="36"/>
  <c r="I31" i="36" s="1"/>
  <c r="G14" i="36"/>
  <c r="G31" i="36" s="1"/>
  <c r="H30" i="36" s="1"/>
  <c r="E14" i="36"/>
  <c r="E31" i="36" s="1"/>
  <c r="C14" i="36"/>
  <c r="C31" i="36" s="1"/>
  <c r="F13" i="36"/>
  <c r="F12" i="36"/>
  <c r="F11" i="36"/>
  <c r="F10" i="36"/>
  <c r="F9" i="36"/>
  <c r="F8" i="36"/>
  <c r="J58" i="35"/>
  <c r="H58" i="35"/>
  <c r="F58" i="35"/>
  <c r="D58" i="35"/>
  <c r="J50" i="35"/>
  <c r="H50" i="35"/>
  <c r="F50" i="35"/>
  <c r="D50" i="35"/>
  <c r="M19" i="35"/>
  <c r="J19" i="35"/>
  <c r="H19" i="35"/>
  <c r="F19" i="35"/>
  <c r="D19" i="35"/>
  <c r="J18" i="35"/>
  <c r="K63" i="35" s="1"/>
  <c r="H18" i="35"/>
  <c r="I61" i="35" s="1"/>
  <c r="F18" i="35"/>
  <c r="G63" i="35" s="1"/>
  <c r="D18" i="35"/>
  <c r="E61" i="35" s="1"/>
  <c r="J17" i="35"/>
  <c r="I17" i="35"/>
  <c r="H17" i="35"/>
  <c r="F17" i="35"/>
  <c r="D17" i="35"/>
  <c r="I15" i="35"/>
  <c r="J14" i="35"/>
  <c r="H14" i="35"/>
  <c r="F14" i="35"/>
  <c r="D14" i="35"/>
  <c r="J11" i="35"/>
  <c r="H11" i="35"/>
  <c r="F11" i="35"/>
  <c r="D11" i="35"/>
  <c r="F4" i="35"/>
  <c r="I57" i="33"/>
  <c r="G57" i="33"/>
  <c r="E57" i="33"/>
  <c r="C57" i="33"/>
  <c r="I50" i="33"/>
  <c r="G50" i="33"/>
  <c r="E50" i="33"/>
  <c r="C50" i="33"/>
  <c r="I46" i="33"/>
  <c r="G46" i="33"/>
  <c r="E46" i="33"/>
  <c r="C46" i="33"/>
  <c r="I40" i="33"/>
  <c r="I51" i="33" s="1"/>
  <c r="I59" i="33" s="1"/>
  <c r="G40" i="33"/>
  <c r="G51" i="33" s="1"/>
  <c r="G59" i="33" s="1"/>
  <c r="E40" i="33"/>
  <c r="E51" i="33" s="1"/>
  <c r="E59" i="33" s="1"/>
  <c r="C40" i="33"/>
  <c r="C51" i="33" s="1"/>
  <c r="C59" i="33" s="1"/>
  <c r="I30" i="33"/>
  <c r="G30" i="33"/>
  <c r="E30" i="33"/>
  <c r="C30" i="33"/>
  <c r="I25" i="33"/>
  <c r="G25" i="33"/>
  <c r="E25" i="33"/>
  <c r="C25" i="33"/>
  <c r="I14" i="33"/>
  <c r="I31" i="33" s="1"/>
  <c r="G14" i="33"/>
  <c r="G31" i="33" s="1"/>
  <c r="E14" i="33"/>
  <c r="E31" i="33" s="1"/>
  <c r="C14" i="33"/>
  <c r="C31" i="33" s="1"/>
  <c r="J58" i="32"/>
  <c r="H58" i="32"/>
  <c r="F58" i="32"/>
  <c r="D58" i="32"/>
  <c r="J50" i="32"/>
  <c r="H50" i="32"/>
  <c r="F50" i="32"/>
  <c r="D50" i="32"/>
  <c r="M19" i="32"/>
  <c r="J19" i="32"/>
  <c r="H19" i="32"/>
  <c r="F19" i="32"/>
  <c r="D19" i="32"/>
  <c r="J18" i="32"/>
  <c r="K63" i="32" s="1"/>
  <c r="H18" i="32"/>
  <c r="I61" i="32" s="1"/>
  <c r="F18" i="32"/>
  <c r="G63" i="32" s="1"/>
  <c r="D18" i="32"/>
  <c r="E57" i="32" s="1"/>
  <c r="J17" i="32"/>
  <c r="H17" i="32"/>
  <c r="F17" i="32"/>
  <c r="D17" i="32"/>
  <c r="J14" i="32"/>
  <c r="H14" i="32"/>
  <c r="F14" i="32"/>
  <c r="D14" i="32"/>
  <c r="J11" i="32"/>
  <c r="H11" i="32"/>
  <c r="F11" i="32"/>
  <c r="D11" i="32"/>
  <c r="F4" i="32"/>
  <c r="I57" i="30"/>
  <c r="G57" i="30"/>
  <c r="E57" i="30"/>
  <c r="C57" i="30"/>
  <c r="I50" i="30"/>
  <c r="G50" i="30"/>
  <c r="E50" i="30"/>
  <c r="C50" i="30"/>
  <c r="I46" i="30"/>
  <c r="G46" i="30"/>
  <c r="E46" i="30"/>
  <c r="C46" i="30"/>
  <c r="I40" i="30"/>
  <c r="I51" i="30" s="1"/>
  <c r="I59" i="30" s="1"/>
  <c r="G40" i="30"/>
  <c r="G51" i="30" s="1"/>
  <c r="G59" i="30" s="1"/>
  <c r="E40" i="30"/>
  <c r="E51" i="30" s="1"/>
  <c r="E59" i="30" s="1"/>
  <c r="C40" i="30"/>
  <c r="C51" i="30" s="1"/>
  <c r="C59" i="30" s="1"/>
  <c r="I30" i="30"/>
  <c r="G30" i="30"/>
  <c r="E30" i="30"/>
  <c r="C30" i="30"/>
  <c r="I25" i="30"/>
  <c r="G25" i="30"/>
  <c r="E25" i="30"/>
  <c r="C25" i="30"/>
  <c r="I14" i="30"/>
  <c r="I31" i="30" s="1"/>
  <c r="G14" i="30"/>
  <c r="G31" i="30" s="1"/>
  <c r="E14" i="30"/>
  <c r="E31" i="30" s="1"/>
  <c r="F9" i="30" s="1"/>
  <c r="C14" i="30"/>
  <c r="C31" i="30" s="1"/>
  <c r="J58" i="29"/>
  <c r="H58" i="29"/>
  <c r="F58" i="29"/>
  <c r="D58" i="29"/>
  <c r="J50" i="29"/>
  <c r="H50" i="29"/>
  <c r="F50" i="29"/>
  <c r="D50" i="29"/>
  <c r="M19" i="29"/>
  <c r="J19" i="29"/>
  <c r="H19" i="29"/>
  <c r="F19" i="29"/>
  <c r="D19" i="29"/>
  <c r="J18" i="29"/>
  <c r="K63" i="29" s="1"/>
  <c r="H18" i="29"/>
  <c r="I61" i="29" s="1"/>
  <c r="F18" i="29"/>
  <c r="G63" i="29" s="1"/>
  <c r="D18" i="29"/>
  <c r="E60" i="29" s="1"/>
  <c r="J17" i="29"/>
  <c r="H17" i="29"/>
  <c r="F17" i="29"/>
  <c r="D17" i="29"/>
  <c r="J14" i="29"/>
  <c r="H14" i="29"/>
  <c r="F14" i="29"/>
  <c r="D14" i="29"/>
  <c r="J11" i="29"/>
  <c r="H11" i="29"/>
  <c r="F11" i="29"/>
  <c r="D11" i="29"/>
  <c r="F4" i="29"/>
  <c r="I57" i="27"/>
  <c r="G57" i="27"/>
  <c r="E57" i="27"/>
  <c r="C57" i="27"/>
  <c r="I50" i="27"/>
  <c r="G50" i="27"/>
  <c r="E50" i="27"/>
  <c r="C50" i="27"/>
  <c r="I46" i="27"/>
  <c r="G46" i="27"/>
  <c r="E46" i="27"/>
  <c r="C46" i="27"/>
  <c r="I40" i="27"/>
  <c r="I51" i="27" s="1"/>
  <c r="I59" i="27" s="1"/>
  <c r="G40" i="27"/>
  <c r="G51" i="27" s="1"/>
  <c r="G59" i="27" s="1"/>
  <c r="E40" i="27"/>
  <c r="E51" i="27" s="1"/>
  <c r="E59" i="27" s="1"/>
  <c r="C40" i="27"/>
  <c r="C51" i="27" s="1"/>
  <c r="C59" i="27" s="1"/>
  <c r="I30" i="27"/>
  <c r="G30" i="27"/>
  <c r="E30" i="27"/>
  <c r="C30" i="27"/>
  <c r="F29" i="27"/>
  <c r="F27" i="27"/>
  <c r="I25" i="27"/>
  <c r="G25" i="27"/>
  <c r="E25" i="27"/>
  <c r="C25" i="27"/>
  <c r="F23" i="27"/>
  <c r="F22" i="27"/>
  <c r="F21" i="27"/>
  <c r="F19" i="27"/>
  <c r="F18" i="27"/>
  <c r="F17" i="27"/>
  <c r="I14" i="27"/>
  <c r="I31" i="27" s="1"/>
  <c r="G14" i="27"/>
  <c r="G31" i="27" s="1"/>
  <c r="E14" i="27"/>
  <c r="E31" i="27" s="1"/>
  <c r="C14" i="27"/>
  <c r="C31" i="27" s="1"/>
  <c r="F13" i="27"/>
  <c r="F12" i="27"/>
  <c r="F11" i="27"/>
  <c r="F10" i="27"/>
  <c r="F9" i="27"/>
  <c r="F8" i="27"/>
  <c r="A61" i="27"/>
  <c r="C3" i="27"/>
  <c r="C4" i="27"/>
  <c r="E4" i="27"/>
  <c r="G4" i="27"/>
  <c r="I4" i="27"/>
  <c r="C5" i="27"/>
  <c r="E5" i="27"/>
  <c r="G5" i="27"/>
  <c r="I5" i="27"/>
  <c r="C6" i="27"/>
  <c r="E6" i="27"/>
  <c r="G6" i="27"/>
  <c r="I6" i="27"/>
  <c r="J58" i="26"/>
  <c r="H58" i="26"/>
  <c r="F58" i="26"/>
  <c r="D58" i="26"/>
  <c r="J50" i="26"/>
  <c r="H50" i="26"/>
  <c r="F50" i="26"/>
  <c r="D50" i="26"/>
  <c r="M19" i="26"/>
  <c r="J19" i="26"/>
  <c r="H19" i="26"/>
  <c r="F19" i="26"/>
  <c r="D19" i="26"/>
  <c r="J18" i="26"/>
  <c r="K63" i="26" s="1"/>
  <c r="H18" i="26"/>
  <c r="I61" i="26" s="1"/>
  <c r="F18" i="26"/>
  <c r="G63" i="26" s="1"/>
  <c r="D18" i="26"/>
  <c r="E61" i="26" s="1"/>
  <c r="J17" i="26"/>
  <c r="H17" i="26"/>
  <c r="F17" i="26"/>
  <c r="D17" i="26"/>
  <c r="J14" i="26"/>
  <c r="H14" i="26"/>
  <c r="F14" i="26"/>
  <c r="D14" i="26"/>
  <c r="J11" i="26"/>
  <c r="H11" i="26"/>
  <c r="F11" i="26"/>
  <c r="D11" i="26"/>
  <c r="F4" i="26"/>
  <c r="I57" i="24"/>
  <c r="G57" i="24"/>
  <c r="E57" i="24"/>
  <c r="C57" i="24"/>
  <c r="I50" i="24"/>
  <c r="G50" i="24"/>
  <c r="E50" i="24"/>
  <c r="C50" i="24"/>
  <c r="I46" i="24"/>
  <c r="G46" i="24"/>
  <c r="E46" i="24"/>
  <c r="C46" i="24"/>
  <c r="I40" i="24"/>
  <c r="I51" i="24" s="1"/>
  <c r="I59" i="24" s="1"/>
  <c r="G40" i="24"/>
  <c r="G51" i="24" s="1"/>
  <c r="G59" i="24" s="1"/>
  <c r="E40" i="24"/>
  <c r="E51" i="24" s="1"/>
  <c r="E59" i="24" s="1"/>
  <c r="C40" i="24"/>
  <c r="C51" i="24" s="1"/>
  <c r="C59" i="24" s="1"/>
  <c r="I30" i="24"/>
  <c r="G30" i="24"/>
  <c r="E30" i="24"/>
  <c r="C30" i="24"/>
  <c r="I25" i="24"/>
  <c r="G25" i="24"/>
  <c r="E25" i="24"/>
  <c r="C25" i="24"/>
  <c r="I14" i="24"/>
  <c r="I31" i="24" s="1"/>
  <c r="G14" i="24"/>
  <c r="G31" i="24" s="1"/>
  <c r="E14" i="24"/>
  <c r="E31" i="24" s="1"/>
  <c r="C14" i="24"/>
  <c r="C31" i="24" s="1"/>
  <c r="J58" i="23"/>
  <c r="H58" i="23"/>
  <c r="F58" i="23"/>
  <c r="D58" i="23"/>
  <c r="J50" i="23"/>
  <c r="H50" i="23"/>
  <c r="F50" i="23"/>
  <c r="D50" i="23"/>
  <c r="M19" i="23"/>
  <c r="J19" i="23"/>
  <c r="H19" i="23"/>
  <c r="F19" i="23"/>
  <c r="D19" i="23"/>
  <c r="J18" i="23"/>
  <c r="K63" i="23" s="1"/>
  <c r="H18" i="23"/>
  <c r="I61" i="23" s="1"/>
  <c r="F18" i="23"/>
  <c r="G63" i="23" s="1"/>
  <c r="D18" i="23"/>
  <c r="E60" i="23" s="1"/>
  <c r="J17" i="23"/>
  <c r="H17" i="23"/>
  <c r="F17" i="23"/>
  <c r="D17" i="23"/>
  <c r="J14" i="23"/>
  <c r="H14" i="23"/>
  <c r="F14" i="23"/>
  <c r="D14" i="23"/>
  <c r="J11" i="23"/>
  <c r="H11" i="23"/>
  <c r="F11" i="23"/>
  <c r="D11" i="23"/>
  <c r="F4" i="23"/>
  <c r="C76" i="21"/>
  <c r="I57" i="21"/>
  <c r="G57" i="21"/>
  <c r="E57" i="21"/>
  <c r="C57" i="21"/>
  <c r="I50" i="21"/>
  <c r="G50" i="21"/>
  <c r="E50" i="21"/>
  <c r="C50" i="21"/>
  <c r="I46" i="21"/>
  <c r="G46" i="21"/>
  <c r="E46" i="21"/>
  <c r="C46" i="21"/>
  <c r="I40" i="21"/>
  <c r="I51" i="21" s="1"/>
  <c r="I59" i="21" s="1"/>
  <c r="G40" i="21"/>
  <c r="G51" i="21" s="1"/>
  <c r="G59" i="21" s="1"/>
  <c r="E40" i="21"/>
  <c r="C40" i="21"/>
  <c r="C51" i="21" s="1"/>
  <c r="C59" i="21" s="1"/>
  <c r="I30" i="21"/>
  <c r="G30" i="21"/>
  <c r="E30" i="21"/>
  <c r="C30" i="21"/>
  <c r="I25" i="21"/>
  <c r="G25" i="21"/>
  <c r="E25" i="21"/>
  <c r="C25" i="21"/>
  <c r="I14" i="21"/>
  <c r="I31" i="21" s="1"/>
  <c r="G14" i="21"/>
  <c r="G31" i="21" s="1"/>
  <c r="E14" i="21"/>
  <c r="E31" i="21" s="1"/>
  <c r="C14" i="21"/>
  <c r="H232" i="122" l="1"/>
  <c r="H239" i="122"/>
  <c r="H240" i="122" s="1"/>
  <c r="G60" i="6"/>
  <c r="D127" i="11"/>
  <c r="H4" i="26"/>
  <c r="E3" i="25"/>
  <c r="AC7" i="25" s="1"/>
  <c r="E3" i="27"/>
  <c r="H4" i="23"/>
  <c r="E3" i="22"/>
  <c r="AC7" i="22" s="1"/>
  <c r="H4" i="35"/>
  <c r="E3" i="34"/>
  <c r="AC7" i="34" s="1"/>
  <c r="H4" i="32"/>
  <c r="E3" i="31"/>
  <c r="AC7" i="31" s="1"/>
  <c r="H4" i="29"/>
  <c r="E3" i="28"/>
  <c r="AC7" i="28" s="1"/>
  <c r="I17" i="32"/>
  <c r="I16" i="32"/>
  <c r="I9" i="35"/>
  <c r="I15" i="32"/>
  <c r="G13" i="29"/>
  <c r="G9" i="32"/>
  <c r="I9" i="32"/>
  <c r="G12" i="32"/>
  <c r="G9" i="29"/>
  <c r="I12" i="32"/>
  <c r="I10" i="32"/>
  <c r="I11" i="32"/>
  <c r="I13" i="32"/>
  <c r="I14" i="32"/>
  <c r="G10" i="26"/>
  <c r="E12" i="29"/>
  <c r="E10" i="26"/>
  <c r="E13" i="26"/>
  <c r="E14" i="26"/>
  <c r="E15" i="26"/>
  <c r="E9" i="26"/>
  <c r="E11" i="26"/>
  <c r="E12" i="26"/>
  <c r="E16" i="26"/>
  <c r="I10" i="26"/>
  <c r="I13" i="26"/>
  <c r="G16" i="29"/>
  <c r="G12" i="29"/>
  <c r="G10" i="29"/>
  <c r="G15" i="29"/>
  <c r="I11" i="35"/>
  <c r="G15" i="32"/>
  <c r="E12" i="35"/>
  <c r="E9" i="35"/>
  <c r="I15" i="23"/>
  <c r="I12" i="23"/>
  <c r="I16" i="23"/>
  <c r="I9" i="23"/>
  <c r="I13" i="23"/>
  <c r="I14" i="23"/>
  <c r="I10" i="23"/>
  <c r="I11" i="23"/>
  <c r="E16" i="32"/>
  <c r="E14" i="32"/>
  <c r="E15" i="35"/>
  <c r="I18" i="23"/>
  <c r="I30" i="35"/>
  <c r="I38" i="35"/>
  <c r="I46" i="35"/>
  <c r="I31" i="35"/>
  <c r="I39" i="35"/>
  <c r="I47" i="35"/>
  <c r="I26" i="35"/>
  <c r="I34" i="35"/>
  <c r="I42" i="35"/>
  <c r="I12" i="35"/>
  <c r="I14" i="35"/>
  <c r="I19" i="35"/>
  <c r="I27" i="35"/>
  <c r="I35" i="35"/>
  <c r="I43" i="35"/>
  <c r="E11" i="32"/>
  <c r="E13" i="32"/>
  <c r="E15" i="32"/>
  <c r="E10" i="32"/>
  <c r="E12" i="32"/>
  <c r="E9" i="32"/>
  <c r="E17" i="32"/>
  <c r="G10" i="35"/>
  <c r="G13" i="35"/>
  <c r="G16" i="35"/>
  <c r="I28" i="35"/>
  <c r="I32" i="35"/>
  <c r="I36" i="35"/>
  <c r="I40" i="35"/>
  <c r="I44" i="35"/>
  <c r="I18" i="35"/>
  <c r="I20" i="35"/>
  <c r="I29" i="35"/>
  <c r="I33" i="35"/>
  <c r="I37" i="35"/>
  <c r="I41" i="35"/>
  <c r="I45" i="35"/>
  <c r="E19" i="32"/>
  <c r="E27" i="32"/>
  <c r="E35" i="32"/>
  <c r="E42" i="32"/>
  <c r="E48" i="32"/>
  <c r="E54" i="32"/>
  <c r="E61" i="32"/>
  <c r="E30" i="32"/>
  <c r="E36" i="32"/>
  <c r="E43" i="32"/>
  <c r="I50" i="32"/>
  <c r="E56" i="32"/>
  <c r="E63" i="32"/>
  <c r="E20" i="32"/>
  <c r="E31" i="32"/>
  <c r="E38" i="32"/>
  <c r="E46" i="32"/>
  <c r="E50" i="32"/>
  <c r="I58" i="32"/>
  <c r="E18" i="32"/>
  <c r="I19" i="32"/>
  <c r="E26" i="32"/>
  <c r="E32" i="32"/>
  <c r="E40" i="32"/>
  <c r="E47" i="32"/>
  <c r="E52" i="32"/>
  <c r="E58" i="32"/>
  <c r="I10" i="29"/>
  <c r="I11" i="29"/>
  <c r="I12" i="29"/>
  <c r="I18" i="29"/>
  <c r="I52" i="29"/>
  <c r="I60" i="29"/>
  <c r="I20" i="29"/>
  <c r="I9" i="29"/>
  <c r="I13" i="29"/>
  <c r="D20" i="32"/>
  <c r="D60" i="32" s="1"/>
  <c r="D63" i="32" s="1"/>
  <c r="E28" i="32"/>
  <c r="E34" i="32"/>
  <c r="E39" i="32"/>
  <c r="E44" i="32"/>
  <c r="E55" i="32"/>
  <c r="E60" i="32"/>
  <c r="E15" i="29"/>
  <c r="E9" i="29"/>
  <c r="G13" i="26"/>
  <c r="G16" i="26"/>
  <c r="G12" i="26"/>
  <c r="G15" i="26"/>
  <c r="I16" i="26"/>
  <c r="I17" i="26"/>
  <c r="I9" i="26"/>
  <c r="I11" i="26"/>
  <c r="I12" i="26"/>
  <c r="I14" i="26"/>
  <c r="I15" i="26"/>
  <c r="G9" i="26"/>
  <c r="E17" i="26"/>
  <c r="E10" i="23"/>
  <c r="E11" i="23"/>
  <c r="E13" i="23"/>
  <c r="E14" i="23"/>
  <c r="E16" i="23"/>
  <c r="E17" i="23"/>
  <c r="E9" i="23"/>
  <c r="G10" i="23"/>
  <c r="E12" i="23"/>
  <c r="G13" i="23"/>
  <c r="E15" i="23"/>
  <c r="G16" i="23"/>
  <c r="G9" i="23"/>
  <c r="G12" i="23"/>
  <c r="G15" i="23"/>
  <c r="E20" i="35"/>
  <c r="I48" i="35"/>
  <c r="E50" i="35"/>
  <c r="I54" i="35"/>
  <c r="I56" i="35"/>
  <c r="E58" i="35"/>
  <c r="E63" i="35"/>
  <c r="E10" i="35"/>
  <c r="E11" i="35"/>
  <c r="E13" i="35"/>
  <c r="E14" i="35"/>
  <c r="E16" i="35"/>
  <c r="E17" i="35"/>
  <c r="E19" i="35"/>
  <c r="H20" i="35"/>
  <c r="H60" i="35" s="1"/>
  <c r="E27" i="35"/>
  <c r="E29" i="35"/>
  <c r="E31" i="35"/>
  <c r="E33" i="35"/>
  <c r="E35" i="35"/>
  <c r="E37" i="35"/>
  <c r="E39" i="35"/>
  <c r="E41" i="35"/>
  <c r="E43" i="35"/>
  <c r="E45" i="35"/>
  <c r="E47" i="35"/>
  <c r="E49" i="35"/>
  <c r="E52" i="35"/>
  <c r="E55" i="35"/>
  <c r="E57" i="35"/>
  <c r="E60" i="35"/>
  <c r="I63" i="35"/>
  <c r="I49" i="35"/>
  <c r="I52" i="35"/>
  <c r="I55" i="35"/>
  <c r="I57" i="35"/>
  <c r="I60" i="35"/>
  <c r="G9" i="35"/>
  <c r="I10" i="35"/>
  <c r="G12" i="35"/>
  <c r="I13" i="35"/>
  <c r="G15" i="35"/>
  <c r="I16" i="35"/>
  <c r="E18" i="35"/>
  <c r="D20" i="35"/>
  <c r="D52" i="35" s="1"/>
  <c r="E26" i="35"/>
  <c r="E28" i="35"/>
  <c r="E30" i="35"/>
  <c r="E32" i="35"/>
  <c r="E34" i="35"/>
  <c r="E36" i="35"/>
  <c r="E38" i="35"/>
  <c r="E40" i="35"/>
  <c r="E42" i="35"/>
  <c r="E44" i="35"/>
  <c r="E46" i="35"/>
  <c r="E48" i="35"/>
  <c r="I50" i="35"/>
  <c r="E54" i="35"/>
  <c r="E56" i="35"/>
  <c r="I58" i="35"/>
  <c r="H20" i="32"/>
  <c r="H60" i="32" s="1"/>
  <c r="G64" i="33" s="1"/>
  <c r="I63" i="32"/>
  <c r="G10" i="32"/>
  <c r="G13" i="32"/>
  <c r="G16" i="32"/>
  <c r="I18" i="32"/>
  <c r="I20" i="32"/>
  <c r="E29" i="32"/>
  <c r="E33" i="32"/>
  <c r="E37" i="32"/>
  <c r="E41" i="32"/>
  <c r="E45" i="32"/>
  <c r="E49" i="32"/>
  <c r="I52" i="32"/>
  <c r="I60" i="32"/>
  <c r="E37" i="29"/>
  <c r="E57" i="29"/>
  <c r="I16" i="29"/>
  <c r="E18" i="29"/>
  <c r="D20" i="29"/>
  <c r="D60" i="29" s="1"/>
  <c r="E26" i="29"/>
  <c r="E30" i="29"/>
  <c r="E34" i="29"/>
  <c r="E38" i="29"/>
  <c r="E42" i="29"/>
  <c r="E46" i="29"/>
  <c r="I50" i="29"/>
  <c r="E54" i="29"/>
  <c r="I58" i="29"/>
  <c r="E61" i="29"/>
  <c r="E33" i="29"/>
  <c r="E41" i="29"/>
  <c r="E45" i="29"/>
  <c r="I14" i="29"/>
  <c r="I15" i="29"/>
  <c r="I17" i="29"/>
  <c r="I19" i="29"/>
  <c r="E20" i="29"/>
  <c r="E27" i="29"/>
  <c r="E31" i="29"/>
  <c r="E35" i="29"/>
  <c r="E39" i="29"/>
  <c r="E43" i="29"/>
  <c r="E47" i="29"/>
  <c r="E50" i="29"/>
  <c r="E55" i="29"/>
  <c r="E58" i="29"/>
  <c r="E63" i="29"/>
  <c r="E29" i="29"/>
  <c r="E49" i="29"/>
  <c r="E10" i="29"/>
  <c r="E11" i="29"/>
  <c r="E13" i="29"/>
  <c r="E14" i="29"/>
  <c r="E16" i="29"/>
  <c r="E17" i="29"/>
  <c r="E19" i="29"/>
  <c r="H20" i="29"/>
  <c r="H60" i="29" s="1"/>
  <c r="G64" i="30" s="1"/>
  <c r="E28" i="29"/>
  <c r="E32" i="29"/>
  <c r="E36" i="29"/>
  <c r="E40" i="29"/>
  <c r="E44" i="29"/>
  <c r="E48" i="29"/>
  <c r="E52" i="29"/>
  <c r="E56" i="29"/>
  <c r="I63" i="29"/>
  <c r="I19" i="26"/>
  <c r="E20" i="26"/>
  <c r="I26" i="26"/>
  <c r="I28" i="26"/>
  <c r="I30" i="26"/>
  <c r="I32" i="26"/>
  <c r="I34" i="26"/>
  <c r="I36" i="26"/>
  <c r="I38" i="26"/>
  <c r="I40" i="26"/>
  <c r="I42" i="26"/>
  <c r="I44" i="26"/>
  <c r="I46" i="26"/>
  <c r="I48" i="26"/>
  <c r="E50" i="26"/>
  <c r="E55" i="26"/>
  <c r="E58" i="26"/>
  <c r="E63" i="26"/>
  <c r="E19" i="26"/>
  <c r="H20" i="26"/>
  <c r="H60" i="26" s="1"/>
  <c r="E27" i="26"/>
  <c r="E29" i="26"/>
  <c r="E31" i="26"/>
  <c r="E33" i="26"/>
  <c r="E35" i="26"/>
  <c r="E37" i="26"/>
  <c r="E39" i="26"/>
  <c r="E41" i="26"/>
  <c r="E43" i="26"/>
  <c r="E45" i="26"/>
  <c r="E47" i="26"/>
  <c r="E49" i="26"/>
  <c r="E52" i="26"/>
  <c r="E56" i="26"/>
  <c r="E60" i="26"/>
  <c r="I63" i="26"/>
  <c r="I18" i="26"/>
  <c r="I20" i="26"/>
  <c r="I27" i="26"/>
  <c r="I29" i="26"/>
  <c r="I31" i="26"/>
  <c r="I33" i="26"/>
  <c r="I35" i="26"/>
  <c r="I37" i="26"/>
  <c r="I39" i="26"/>
  <c r="I41" i="26"/>
  <c r="I43" i="26"/>
  <c r="I45" i="26"/>
  <c r="I47" i="26"/>
  <c r="I49" i="26"/>
  <c r="I52" i="26"/>
  <c r="E57" i="26"/>
  <c r="I60" i="26"/>
  <c r="E18" i="26"/>
  <c r="D20" i="26"/>
  <c r="D60" i="26" s="1"/>
  <c r="C64" i="27" s="1"/>
  <c r="E26" i="26"/>
  <c r="E28" i="26"/>
  <c r="E30" i="26"/>
  <c r="E32" i="26"/>
  <c r="E34" i="26"/>
  <c r="E36" i="26"/>
  <c r="E38" i="26"/>
  <c r="E40" i="26"/>
  <c r="E42" i="26"/>
  <c r="E44" i="26"/>
  <c r="E46" i="26"/>
  <c r="E48" i="26"/>
  <c r="I50" i="26"/>
  <c r="E54" i="26"/>
  <c r="I58" i="26"/>
  <c r="I20" i="23"/>
  <c r="E29" i="23"/>
  <c r="E33" i="23"/>
  <c r="E37" i="23"/>
  <c r="E41" i="23"/>
  <c r="E45" i="23"/>
  <c r="E49" i="23"/>
  <c r="I52" i="23"/>
  <c r="E57" i="23"/>
  <c r="I60" i="23"/>
  <c r="E18" i="23"/>
  <c r="D20" i="23"/>
  <c r="D60" i="23" s="1"/>
  <c r="C64" i="24" s="1"/>
  <c r="E26" i="23"/>
  <c r="E30" i="23"/>
  <c r="E34" i="23"/>
  <c r="E38" i="23"/>
  <c r="E42" i="23"/>
  <c r="E46" i="23"/>
  <c r="I50" i="23"/>
  <c r="E54" i="23"/>
  <c r="I58" i="23"/>
  <c r="E61" i="23"/>
  <c r="I17" i="23"/>
  <c r="I19" i="23"/>
  <c r="E20" i="23"/>
  <c r="E27" i="23"/>
  <c r="E31" i="23"/>
  <c r="E35" i="23"/>
  <c r="E39" i="23"/>
  <c r="E43" i="23"/>
  <c r="E47" i="23"/>
  <c r="E50" i="23"/>
  <c r="E55" i="23"/>
  <c r="E58" i="23"/>
  <c r="E63" i="23"/>
  <c r="E19" i="23"/>
  <c r="H20" i="23"/>
  <c r="H60" i="23" s="1"/>
  <c r="E28" i="23"/>
  <c r="E32" i="23"/>
  <c r="E36" i="23"/>
  <c r="E40" i="23"/>
  <c r="E44" i="23"/>
  <c r="E48" i="23"/>
  <c r="E52" i="23"/>
  <c r="E56" i="23"/>
  <c r="I63" i="23"/>
  <c r="C58" i="36"/>
  <c r="D56" i="36"/>
  <c r="D55" i="36"/>
  <c r="D54" i="36"/>
  <c r="D53" i="36"/>
  <c r="D49" i="36"/>
  <c r="D48" i="36"/>
  <c r="D45" i="36"/>
  <c r="D44" i="36"/>
  <c r="D43" i="36"/>
  <c r="D42" i="36"/>
  <c r="D39" i="36"/>
  <c r="D38" i="36"/>
  <c r="D37" i="36"/>
  <c r="D36" i="36"/>
  <c r="D35" i="36"/>
  <c r="D34" i="36"/>
  <c r="D29" i="36"/>
  <c r="D28" i="36"/>
  <c r="D27" i="36"/>
  <c r="D24" i="36"/>
  <c r="D23" i="36"/>
  <c r="D22" i="36"/>
  <c r="D21" i="36"/>
  <c r="D20" i="36"/>
  <c r="D19" i="36"/>
  <c r="D18" i="36"/>
  <c r="D17" i="36"/>
  <c r="D16" i="36"/>
  <c r="D13" i="36"/>
  <c r="D12" i="36"/>
  <c r="D11" i="36"/>
  <c r="D10" i="36"/>
  <c r="D9" i="36"/>
  <c r="D8" i="36"/>
  <c r="C60" i="36"/>
  <c r="D57" i="36"/>
  <c r="D51" i="36"/>
  <c r="D50" i="36"/>
  <c r="D46" i="36"/>
  <c r="D40" i="36"/>
  <c r="D59" i="36"/>
  <c r="H14" i="36"/>
  <c r="D25" i="36"/>
  <c r="G60" i="36"/>
  <c r="H57" i="36"/>
  <c r="H51" i="36"/>
  <c r="H50" i="36"/>
  <c r="H46" i="36"/>
  <c r="H40" i="36"/>
  <c r="H59" i="36"/>
  <c r="G58" i="36"/>
  <c r="H56" i="36"/>
  <c r="H55" i="36"/>
  <c r="H54" i="36"/>
  <c r="H53" i="36"/>
  <c r="H49" i="36"/>
  <c r="H48" i="36"/>
  <c r="H45" i="36"/>
  <c r="H44" i="36"/>
  <c r="H43" i="36"/>
  <c r="H42" i="36"/>
  <c r="H39" i="36"/>
  <c r="H38" i="36"/>
  <c r="H37" i="36"/>
  <c r="H36" i="36"/>
  <c r="H35" i="36"/>
  <c r="H34" i="36"/>
  <c r="H29" i="36"/>
  <c r="H28" i="36"/>
  <c r="H27" i="36"/>
  <c r="H24" i="36"/>
  <c r="H23" i="36"/>
  <c r="H22" i="36"/>
  <c r="H21" i="36"/>
  <c r="H20" i="36"/>
  <c r="H19" i="36"/>
  <c r="H18" i="36"/>
  <c r="H17" i="36"/>
  <c r="H16" i="36"/>
  <c r="H13" i="36"/>
  <c r="H12" i="36"/>
  <c r="H11" i="36"/>
  <c r="H10" i="36"/>
  <c r="H9" i="36"/>
  <c r="H8" i="36"/>
  <c r="D14" i="36"/>
  <c r="I60" i="36"/>
  <c r="J59" i="36"/>
  <c r="J58" i="36"/>
  <c r="I58" i="36"/>
  <c r="J57" i="36"/>
  <c r="J56" i="36"/>
  <c r="J55" i="36"/>
  <c r="J54" i="36"/>
  <c r="J53" i="36"/>
  <c r="J51" i="36"/>
  <c r="J50" i="36"/>
  <c r="J49" i="36"/>
  <c r="J48" i="36"/>
  <c r="J46" i="36"/>
  <c r="J45" i="36"/>
  <c r="J44" i="36"/>
  <c r="J43" i="36"/>
  <c r="J42" i="36"/>
  <c r="J40" i="36"/>
  <c r="J39" i="36"/>
  <c r="J38" i="36"/>
  <c r="J37" i="36"/>
  <c r="J36" i="36"/>
  <c r="J35" i="36"/>
  <c r="J34" i="36"/>
  <c r="J31" i="36"/>
  <c r="J30" i="36"/>
  <c r="J29" i="36"/>
  <c r="J28" i="36"/>
  <c r="J27" i="36"/>
  <c r="J25" i="36"/>
  <c r="J24" i="36"/>
  <c r="J23" i="36"/>
  <c r="J22" i="36"/>
  <c r="J21" i="36"/>
  <c r="J20" i="36"/>
  <c r="J19" i="36"/>
  <c r="J18" i="36"/>
  <c r="J17" i="36"/>
  <c r="J16" i="36"/>
  <c r="J14" i="36"/>
  <c r="J13" i="36"/>
  <c r="J12" i="36"/>
  <c r="J11" i="36"/>
  <c r="J10" i="36"/>
  <c r="J9" i="36"/>
  <c r="J8" i="36"/>
  <c r="D30" i="36"/>
  <c r="H25" i="36"/>
  <c r="H31" i="36"/>
  <c r="F59" i="36"/>
  <c r="F57" i="36"/>
  <c r="F51" i="36"/>
  <c r="F50" i="36"/>
  <c r="F46" i="36"/>
  <c r="F40" i="36"/>
  <c r="F31" i="36"/>
  <c r="F30" i="36"/>
  <c r="F25" i="36"/>
  <c r="F14" i="36"/>
  <c r="E58" i="36"/>
  <c r="F56" i="36"/>
  <c r="F55" i="36"/>
  <c r="F54" i="36"/>
  <c r="F53" i="36"/>
  <c r="F49" i="36"/>
  <c r="F48" i="36"/>
  <c r="F44" i="36"/>
  <c r="F43" i="36"/>
  <c r="F42" i="36"/>
  <c r="F39" i="36"/>
  <c r="F38" i="36"/>
  <c r="E60" i="36"/>
  <c r="F45" i="36"/>
  <c r="F37" i="36"/>
  <c r="F35" i="36"/>
  <c r="F16" i="36"/>
  <c r="F20" i="36"/>
  <c r="F24" i="36"/>
  <c r="F28" i="36"/>
  <c r="D31" i="36"/>
  <c r="D60" i="35"/>
  <c r="C64" i="36" s="1"/>
  <c r="K10" i="35"/>
  <c r="K11" i="35"/>
  <c r="K12" i="35"/>
  <c r="K13" i="35"/>
  <c r="G14" i="35"/>
  <c r="K14" i="35"/>
  <c r="K15" i="35"/>
  <c r="G17" i="35"/>
  <c r="K17" i="35"/>
  <c r="G18" i="35"/>
  <c r="K18" i="35"/>
  <c r="G19" i="35"/>
  <c r="K19" i="35"/>
  <c r="F20" i="35"/>
  <c r="J20" i="35"/>
  <c r="G26" i="35"/>
  <c r="G27" i="35"/>
  <c r="G28" i="35"/>
  <c r="G29" i="35"/>
  <c r="G30" i="35"/>
  <c r="G31" i="35"/>
  <c r="G32" i="35"/>
  <c r="G33" i="35"/>
  <c r="G34" i="35"/>
  <c r="G35" i="35"/>
  <c r="G36" i="35"/>
  <c r="G37" i="35"/>
  <c r="G38" i="35"/>
  <c r="G39" i="35"/>
  <c r="G40" i="35"/>
  <c r="G41" i="35"/>
  <c r="G42" i="35"/>
  <c r="G43" i="35"/>
  <c r="G44" i="35"/>
  <c r="G45" i="35"/>
  <c r="G46" i="35"/>
  <c r="G47" i="35"/>
  <c r="G48" i="35"/>
  <c r="G49" i="35"/>
  <c r="G54" i="35"/>
  <c r="G55" i="35"/>
  <c r="G56" i="35"/>
  <c r="G57" i="35"/>
  <c r="G61" i="35"/>
  <c r="K9" i="35"/>
  <c r="G11" i="35"/>
  <c r="K16" i="35"/>
  <c r="G20" i="35"/>
  <c r="K20" i="35"/>
  <c r="K26" i="35"/>
  <c r="K27" i="35"/>
  <c r="K28" i="35"/>
  <c r="K29" i="35"/>
  <c r="K30" i="35"/>
  <c r="K31" i="35"/>
  <c r="K32" i="35"/>
  <c r="K33" i="35"/>
  <c r="K34" i="35"/>
  <c r="K35" i="35"/>
  <c r="K36" i="35"/>
  <c r="K37" i="35"/>
  <c r="K38" i="35"/>
  <c r="K39" i="35"/>
  <c r="K40" i="35"/>
  <c r="K41" i="35"/>
  <c r="K42" i="35"/>
  <c r="K43" i="35"/>
  <c r="K44" i="35"/>
  <c r="K45" i="35"/>
  <c r="K46" i="35"/>
  <c r="K47" i="35"/>
  <c r="K48" i="35"/>
  <c r="K49" i="35"/>
  <c r="G50" i="35"/>
  <c r="K50" i="35"/>
  <c r="G52" i="35"/>
  <c r="K52" i="35"/>
  <c r="K54" i="35"/>
  <c r="K55" i="35"/>
  <c r="K56" i="35"/>
  <c r="K57" i="35"/>
  <c r="G58" i="35"/>
  <c r="K58" i="35"/>
  <c r="G60" i="35"/>
  <c r="K60" i="35"/>
  <c r="K61" i="35"/>
  <c r="F59" i="33"/>
  <c r="E58" i="33"/>
  <c r="F55" i="33"/>
  <c r="F53" i="33"/>
  <c r="F48" i="33"/>
  <c r="F45" i="33"/>
  <c r="F44" i="33"/>
  <c r="F39" i="33"/>
  <c r="F38" i="33"/>
  <c r="F35" i="33"/>
  <c r="F27" i="33"/>
  <c r="F24" i="33"/>
  <c r="F20" i="33"/>
  <c r="F17" i="33"/>
  <c r="F11" i="33"/>
  <c r="F57" i="33"/>
  <c r="F51" i="33"/>
  <c r="F50" i="33"/>
  <c r="F46" i="33"/>
  <c r="F40" i="33"/>
  <c r="F31" i="33"/>
  <c r="F30" i="33"/>
  <c r="F25" i="33"/>
  <c r="F14" i="33"/>
  <c r="F56" i="33"/>
  <c r="F54" i="33"/>
  <c r="F49" i="33"/>
  <c r="F43" i="33"/>
  <c r="F37" i="33"/>
  <c r="F34" i="33"/>
  <c r="F29" i="33"/>
  <c r="F22" i="33"/>
  <c r="F18" i="33"/>
  <c r="F12" i="33"/>
  <c r="F9" i="33"/>
  <c r="E60" i="33"/>
  <c r="F42" i="33"/>
  <c r="F36" i="33"/>
  <c r="F28" i="33"/>
  <c r="F23" i="33"/>
  <c r="F21" i="33"/>
  <c r="F19" i="33"/>
  <c r="F16" i="33"/>
  <c r="F13" i="33"/>
  <c r="F10" i="33"/>
  <c r="F8" i="33"/>
  <c r="H40" i="33"/>
  <c r="G60" i="33"/>
  <c r="H57" i="33"/>
  <c r="H51" i="33"/>
  <c r="H50" i="33"/>
  <c r="H46" i="33"/>
  <c r="H31" i="33"/>
  <c r="H14" i="33"/>
  <c r="H59" i="33"/>
  <c r="G58" i="33"/>
  <c r="H56" i="33"/>
  <c r="H55" i="33"/>
  <c r="H54" i="33"/>
  <c r="H53" i="33"/>
  <c r="H49" i="33"/>
  <c r="H48" i="33"/>
  <c r="H45" i="33"/>
  <c r="H44" i="33"/>
  <c r="H43" i="33"/>
  <c r="H42" i="33"/>
  <c r="H39" i="33"/>
  <c r="H38" i="33"/>
  <c r="H37" i="33"/>
  <c r="H36" i="33"/>
  <c r="H35" i="33"/>
  <c r="H34" i="33"/>
  <c r="H29" i="33"/>
  <c r="H28" i="33"/>
  <c r="H27" i="33"/>
  <c r="H24" i="33"/>
  <c r="H23" i="33"/>
  <c r="H22" i="33"/>
  <c r="H21" i="33"/>
  <c r="H20" i="33"/>
  <c r="H19" i="33"/>
  <c r="H18" i="33"/>
  <c r="H17" i="33"/>
  <c r="H16" i="33"/>
  <c r="H13" i="33"/>
  <c r="H12" i="33"/>
  <c r="H11" i="33"/>
  <c r="H10" i="33"/>
  <c r="H9" i="33"/>
  <c r="H8" i="33"/>
  <c r="H30" i="33"/>
  <c r="H25" i="33"/>
  <c r="I60" i="33"/>
  <c r="J59" i="33"/>
  <c r="J58" i="33"/>
  <c r="I58" i="33"/>
  <c r="J57" i="33"/>
  <c r="J56" i="33"/>
  <c r="J55" i="33"/>
  <c r="J54" i="33"/>
  <c r="J53" i="33"/>
  <c r="J51" i="33"/>
  <c r="J50" i="33"/>
  <c r="J49" i="33"/>
  <c r="J48" i="33"/>
  <c r="J46" i="33"/>
  <c r="J45" i="33"/>
  <c r="J44" i="33"/>
  <c r="J43" i="33"/>
  <c r="J42" i="33"/>
  <c r="J40" i="33"/>
  <c r="J39" i="33"/>
  <c r="J38" i="33"/>
  <c r="J37" i="33"/>
  <c r="J36" i="33"/>
  <c r="J35" i="33"/>
  <c r="J34" i="33"/>
  <c r="J31" i="33"/>
  <c r="J30" i="33"/>
  <c r="J29" i="33"/>
  <c r="J28" i="33"/>
  <c r="J27" i="33"/>
  <c r="J25" i="33"/>
  <c r="J24" i="33"/>
  <c r="J23" i="33"/>
  <c r="J22" i="33"/>
  <c r="J21" i="33"/>
  <c r="J20" i="33"/>
  <c r="J19" i="33"/>
  <c r="J18" i="33"/>
  <c r="J17" i="33"/>
  <c r="J16" i="33"/>
  <c r="J14" i="33"/>
  <c r="J13" i="33"/>
  <c r="J12" i="33"/>
  <c r="J11" i="33"/>
  <c r="J10" i="33"/>
  <c r="J9" i="33"/>
  <c r="J8" i="33"/>
  <c r="C58" i="33"/>
  <c r="D56" i="33"/>
  <c r="D55" i="33"/>
  <c r="D54" i="33"/>
  <c r="D53" i="33"/>
  <c r="D49" i="33"/>
  <c r="D48" i="33"/>
  <c r="D45" i="33"/>
  <c r="D44" i="33"/>
  <c r="D43" i="33"/>
  <c r="D42" i="33"/>
  <c r="D39" i="33"/>
  <c r="D38" i="33"/>
  <c r="D37" i="33"/>
  <c r="D36" i="33"/>
  <c r="D35" i="33"/>
  <c r="D34" i="33"/>
  <c r="D29" i="33"/>
  <c r="D28" i="33"/>
  <c r="D27" i="33"/>
  <c r="D24" i="33"/>
  <c r="D23" i="33"/>
  <c r="D22" i="33"/>
  <c r="D21" i="33"/>
  <c r="D20" i="33"/>
  <c r="D19" i="33"/>
  <c r="D18" i="33"/>
  <c r="D17" i="33"/>
  <c r="D16" i="33"/>
  <c r="D13" i="33"/>
  <c r="D12" i="33"/>
  <c r="D11" i="33"/>
  <c r="D10" i="33"/>
  <c r="D9" i="33"/>
  <c r="D8" i="33"/>
  <c r="C60" i="33"/>
  <c r="D57" i="33"/>
  <c r="D51" i="33"/>
  <c r="D50" i="33"/>
  <c r="D31" i="33"/>
  <c r="D30" i="33"/>
  <c r="D14" i="33"/>
  <c r="D46" i="33"/>
  <c r="D40" i="33"/>
  <c r="D25" i="33"/>
  <c r="D59" i="33"/>
  <c r="G27" i="32"/>
  <c r="G28" i="32"/>
  <c r="G30" i="32"/>
  <c r="G31" i="32"/>
  <c r="G33" i="32"/>
  <c r="G34" i="32"/>
  <c r="G35" i="32"/>
  <c r="G36" i="32"/>
  <c r="G37" i="32"/>
  <c r="G39" i="32"/>
  <c r="G40" i="32"/>
  <c r="G41" i="32"/>
  <c r="G42" i="32"/>
  <c r="G43" i="32"/>
  <c r="G44" i="32"/>
  <c r="G45" i="32"/>
  <c r="G46" i="32"/>
  <c r="G47" i="32"/>
  <c r="G48" i="32"/>
  <c r="G49" i="32"/>
  <c r="G54" i="32"/>
  <c r="G55" i="32"/>
  <c r="G57" i="32"/>
  <c r="G61" i="32"/>
  <c r="K9" i="32"/>
  <c r="K10" i="32"/>
  <c r="G11" i="32"/>
  <c r="K11" i="32"/>
  <c r="K12" i="32"/>
  <c r="K13" i="32"/>
  <c r="G14" i="32"/>
  <c r="K14" i="32"/>
  <c r="K15" i="32"/>
  <c r="K16" i="32"/>
  <c r="G17" i="32"/>
  <c r="K17" i="32"/>
  <c r="G18" i="32"/>
  <c r="K18" i="32"/>
  <c r="G19" i="32"/>
  <c r="K19" i="32"/>
  <c r="F20" i="32"/>
  <c r="J20" i="32"/>
  <c r="I26" i="32"/>
  <c r="I27" i="32"/>
  <c r="I28" i="32"/>
  <c r="I29" i="32"/>
  <c r="I30" i="32"/>
  <c r="I31" i="32"/>
  <c r="I32" i="32"/>
  <c r="I33" i="32"/>
  <c r="I34" i="32"/>
  <c r="I35" i="32"/>
  <c r="I36" i="32"/>
  <c r="I37" i="32"/>
  <c r="I38" i="32"/>
  <c r="I39" i="32"/>
  <c r="I40" i="32"/>
  <c r="I41" i="32"/>
  <c r="I42" i="32"/>
  <c r="I43" i="32"/>
  <c r="I44" i="32"/>
  <c r="I45" i="32"/>
  <c r="I46" i="32"/>
  <c r="I47" i="32"/>
  <c r="I48" i="32"/>
  <c r="I49" i="32"/>
  <c r="I54" i="32"/>
  <c r="I55" i="32"/>
  <c r="I56" i="32"/>
  <c r="I57" i="32"/>
  <c r="G26" i="32"/>
  <c r="G29" i="32"/>
  <c r="G32" i="32"/>
  <c r="G38" i="32"/>
  <c r="G56" i="32"/>
  <c r="G20" i="32"/>
  <c r="K20" i="32"/>
  <c r="K26" i="32"/>
  <c r="K27" i="32"/>
  <c r="K28" i="32"/>
  <c r="K29" i="32"/>
  <c r="K30" i="32"/>
  <c r="K31" i="32"/>
  <c r="K32" i="32"/>
  <c r="K33" i="32"/>
  <c r="K34" i="32"/>
  <c r="K35" i="32"/>
  <c r="K36" i="32"/>
  <c r="K37" i="32"/>
  <c r="K38" i="32"/>
  <c r="K39" i="32"/>
  <c r="K40" i="32"/>
  <c r="K41" i="32"/>
  <c r="K42" i="32"/>
  <c r="K43" i="32"/>
  <c r="K44" i="32"/>
  <c r="K45" i="32"/>
  <c r="K46" i="32"/>
  <c r="K47" i="32"/>
  <c r="K48" i="32"/>
  <c r="K49" i="32"/>
  <c r="G50" i="32"/>
  <c r="K50" i="32"/>
  <c r="G52" i="32"/>
  <c r="K52" i="32"/>
  <c r="K54" i="32"/>
  <c r="K55" i="32"/>
  <c r="K56" i="32"/>
  <c r="K57" i="32"/>
  <c r="G58" i="32"/>
  <c r="K58" i="32"/>
  <c r="G60" i="32"/>
  <c r="K60" i="32"/>
  <c r="K61" i="32"/>
  <c r="I60" i="30"/>
  <c r="J59" i="30"/>
  <c r="J58" i="30"/>
  <c r="I58" i="30"/>
  <c r="J57" i="30"/>
  <c r="J56" i="30"/>
  <c r="J55" i="30"/>
  <c r="J54" i="30"/>
  <c r="J53" i="30"/>
  <c r="J51" i="30"/>
  <c r="J50" i="30"/>
  <c r="J49" i="30"/>
  <c r="J48" i="30"/>
  <c r="J46" i="30"/>
  <c r="J45" i="30"/>
  <c r="J44" i="30"/>
  <c r="J43" i="30"/>
  <c r="J42" i="30"/>
  <c r="J40" i="30"/>
  <c r="J39" i="30"/>
  <c r="J38" i="30"/>
  <c r="J37" i="30"/>
  <c r="J36" i="30"/>
  <c r="J35" i="30"/>
  <c r="J34" i="30"/>
  <c r="J31" i="30"/>
  <c r="J30" i="30"/>
  <c r="J29" i="30"/>
  <c r="J28" i="30"/>
  <c r="J27" i="30"/>
  <c r="J25" i="30"/>
  <c r="J24" i="30"/>
  <c r="J23" i="30"/>
  <c r="J22" i="30"/>
  <c r="J21" i="30"/>
  <c r="J20" i="30"/>
  <c r="J19" i="30"/>
  <c r="J18" i="30"/>
  <c r="J17" i="30"/>
  <c r="J16" i="30"/>
  <c r="J14" i="30"/>
  <c r="J13" i="30"/>
  <c r="J12" i="30"/>
  <c r="J11" i="30"/>
  <c r="J10" i="30"/>
  <c r="J9" i="30"/>
  <c r="J8" i="30"/>
  <c r="F59" i="30"/>
  <c r="F39" i="30"/>
  <c r="F36" i="30"/>
  <c r="F27" i="30"/>
  <c r="F20" i="30"/>
  <c r="F11" i="30"/>
  <c r="F57" i="30"/>
  <c r="F51" i="30"/>
  <c r="F50" i="30"/>
  <c r="F46" i="30"/>
  <c r="F40" i="30"/>
  <c r="F31" i="30"/>
  <c r="F30" i="30"/>
  <c r="F25" i="30"/>
  <c r="F14" i="30"/>
  <c r="E58" i="30"/>
  <c r="F56" i="30"/>
  <c r="F55" i="30"/>
  <c r="F54" i="30"/>
  <c r="F53" i="30"/>
  <c r="F49" i="30"/>
  <c r="F44" i="30"/>
  <c r="F42" i="30"/>
  <c r="F38" i="30"/>
  <c r="F34" i="30"/>
  <c r="F29" i="30"/>
  <c r="F22" i="30"/>
  <c r="F19" i="30"/>
  <c r="F16" i="30"/>
  <c r="F13" i="30"/>
  <c r="E60" i="30"/>
  <c r="F48" i="30"/>
  <c r="F45" i="30"/>
  <c r="F43" i="30"/>
  <c r="F37" i="30"/>
  <c r="F35" i="30"/>
  <c r="F28" i="30"/>
  <c r="F24" i="30"/>
  <c r="F23" i="30"/>
  <c r="F21" i="30"/>
  <c r="F18" i="30"/>
  <c r="F17" i="30"/>
  <c r="F12" i="30"/>
  <c r="F10" i="30"/>
  <c r="F8" i="30"/>
  <c r="H40" i="30"/>
  <c r="H30" i="30"/>
  <c r="G60" i="30"/>
  <c r="H57" i="30"/>
  <c r="H51" i="30"/>
  <c r="H46" i="30"/>
  <c r="H31" i="30"/>
  <c r="H59" i="30"/>
  <c r="G58" i="30"/>
  <c r="H56" i="30"/>
  <c r="H55" i="30"/>
  <c r="H54" i="30"/>
  <c r="H53" i="30"/>
  <c r="H49" i="30"/>
  <c r="H48" i="30"/>
  <c r="H45" i="30"/>
  <c r="H44" i="30"/>
  <c r="H43" i="30"/>
  <c r="H42" i="30"/>
  <c r="H39" i="30"/>
  <c r="H38" i="30"/>
  <c r="H37" i="30"/>
  <c r="H36" i="30"/>
  <c r="H35" i="30"/>
  <c r="H34" i="30"/>
  <c r="H29" i="30"/>
  <c r="H28" i="30"/>
  <c r="H27" i="30"/>
  <c r="H24" i="30"/>
  <c r="H23" i="30"/>
  <c r="H22" i="30"/>
  <c r="H21" i="30"/>
  <c r="H20" i="30"/>
  <c r="H19" i="30"/>
  <c r="H18" i="30"/>
  <c r="H17" i="30"/>
  <c r="H16" i="30"/>
  <c r="H13" i="30"/>
  <c r="H12" i="30"/>
  <c r="H11" i="30"/>
  <c r="H10" i="30"/>
  <c r="H9" i="30"/>
  <c r="H8" i="30"/>
  <c r="H50" i="30"/>
  <c r="H25" i="30"/>
  <c r="H14" i="30"/>
  <c r="C58" i="30"/>
  <c r="D56" i="30"/>
  <c r="D55" i="30"/>
  <c r="D54" i="30"/>
  <c r="D53" i="30"/>
  <c r="D49" i="30"/>
  <c r="D48" i="30"/>
  <c r="D45" i="30"/>
  <c r="D44" i="30"/>
  <c r="D43" i="30"/>
  <c r="D42" i="30"/>
  <c r="D39" i="30"/>
  <c r="D38" i="30"/>
  <c r="D37" i="30"/>
  <c r="D36" i="30"/>
  <c r="D35" i="30"/>
  <c r="D34" i="30"/>
  <c r="D29" i="30"/>
  <c r="D28" i="30"/>
  <c r="D27" i="30"/>
  <c r="D24" i="30"/>
  <c r="D23" i="30"/>
  <c r="D22" i="30"/>
  <c r="D21" i="30"/>
  <c r="D20" i="30"/>
  <c r="D19" i="30"/>
  <c r="D18" i="30"/>
  <c r="D17" i="30"/>
  <c r="D16" i="30"/>
  <c r="D13" i="30"/>
  <c r="D12" i="30"/>
  <c r="D11" i="30"/>
  <c r="D10" i="30"/>
  <c r="D9" i="30"/>
  <c r="D8" i="30"/>
  <c r="D51" i="30"/>
  <c r="D46" i="30"/>
  <c r="D14" i="30"/>
  <c r="C60" i="30"/>
  <c r="D57" i="30"/>
  <c r="D50" i="30"/>
  <c r="D25" i="30"/>
  <c r="D59" i="30"/>
  <c r="D40" i="30"/>
  <c r="D31" i="30"/>
  <c r="D30" i="30"/>
  <c r="G26" i="29"/>
  <c r="G27" i="29"/>
  <c r="G29" i="29"/>
  <c r="G30" i="29"/>
  <c r="G31" i="29"/>
  <c r="G33" i="29"/>
  <c r="G34" i="29"/>
  <c r="G36" i="29"/>
  <c r="G37" i="29"/>
  <c r="G39" i="29"/>
  <c r="G40" i="29"/>
  <c r="G42" i="29"/>
  <c r="G43" i="29"/>
  <c r="G45" i="29"/>
  <c r="G46" i="29"/>
  <c r="G47" i="29"/>
  <c r="G48" i="29"/>
  <c r="G54" i="29"/>
  <c r="G56" i="29"/>
  <c r="K9" i="29"/>
  <c r="K10" i="29"/>
  <c r="G11" i="29"/>
  <c r="K11" i="29"/>
  <c r="K12" i="29"/>
  <c r="K13" i="29"/>
  <c r="G14" i="29"/>
  <c r="K14" i="29"/>
  <c r="K15" i="29"/>
  <c r="K16" i="29"/>
  <c r="G17" i="29"/>
  <c r="K17" i="29"/>
  <c r="G18" i="29"/>
  <c r="K18" i="29"/>
  <c r="G19" i="29"/>
  <c r="K19" i="29"/>
  <c r="F20" i="29"/>
  <c r="J20" i="29"/>
  <c r="I26" i="29"/>
  <c r="I27" i="29"/>
  <c r="I28" i="29"/>
  <c r="I29" i="29"/>
  <c r="I30" i="29"/>
  <c r="I31" i="29"/>
  <c r="I32" i="29"/>
  <c r="I33" i="29"/>
  <c r="I34" i="29"/>
  <c r="I35" i="29"/>
  <c r="I36" i="29"/>
  <c r="I37" i="29"/>
  <c r="I38" i="29"/>
  <c r="I39" i="29"/>
  <c r="I40" i="29"/>
  <c r="I41" i="29"/>
  <c r="I42" i="29"/>
  <c r="I43" i="29"/>
  <c r="I44" i="29"/>
  <c r="I45" i="29"/>
  <c r="I46" i="29"/>
  <c r="I47" i="29"/>
  <c r="I48" i="29"/>
  <c r="I49" i="29"/>
  <c r="I54" i="29"/>
  <c r="I55" i="29"/>
  <c r="I56" i="29"/>
  <c r="I57" i="29"/>
  <c r="G28" i="29"/>
  <c r="G32" i="29"/>
  <c r="G35" i="29"/>
  <c r="G38" i="29"/>
  <c r="G41" i="29"/>
  <c r="G44" i="29"/>
  <c r="G49" i="29"/>
  <c r="G55" i="29"/>
  <c r="G57" i="29"/>
  <c r="G61" i="29"/>
  <c r="G20" i="29"/>
  <c r="K20" i="29"/>
  <c r="K26" i="29"/>
  <c r="K27" i="29"/>
  <c r="K28" i="29"/>
  <c r="K29" i="29"/>
  <c r="K30" i="29"/>
  <c r="K31" i="29"/>
  <c r="K32" i="29"/>
  <c r="K33" i="29"/>
  <c r="K34" i="29"/>
  <c r="K35" i="29"/>
  <c r="K36" i="29"/>
  <c r="K37" i="29"/>
  <c r="K38" i="29"/>
  <c r="K39" i="29"/>
  <c r="K40" i="29"/>
  <c r="K41" i="29"/>
  <c r="K42" i="29"/>
  <c r="K43" i="29"/>
  <c r="K44" i="29"/>
  <c r="K45" i="29"/>
  <c r="K46" i="29"/>
  <c r="K47" i="29"/>
  <c r="K48" i="29"/>
  <c r="K49" i="29"/>
  <c r="G50" i="29"/>
  <c r="K50" i="29"/>
  <c r="G52" i="29"/>
  <c r="K52" i="29"/>
  <c r="K54" i="29"/>
  <c r="K55" i="29"/>
  <c r="K56" i="29"/>
  <c r="K57" i="29"/>
  <c r="G58" i="29"/>
  <c r="K58" i="29"/>
  <c r="G60" i="29"/>
  <c r="K60" i="29"/>
  <c r="K61" i="29"/>
  <c r="H38" i="27"/>
  <c r="H29" i="27"/>
  <c r="H21" i="27"/>
  <c r="H18" i="27"/>
  <c r="H10" i="27"/>
  <c r="G60" i="27"/>
  <c r="H39" i="27"/>
  <c r="H22" i="27"/>
  <c r="H19" i="27"/>
  <c r="H16" i="27"/>
  <c r="H11" i="27"/>
  <c r="H8" i="27"/>
  <c r="H57" i="27"/>
  <c r="H59" i="27"/>
  <c r="G58" i="27"/>
  <c r="H56" i="27"/>
  <c r="H55" i="27"/>
  <c r="H54" i="27"/>
  <c r="H53" i="27"/>
  <c r="H49" i="27"/>
  <c r="H48" i="27"/>
  <c r="H45" i="27"/>
  <c r="H44" i="27"/>
  <c r="H43" i="27"/>
  <c r="H42" i="27"/>
  <c r="H37" i="27"/>
  <c r="H36" i="27"/>
  <c r="H35" i="27"/>
  <c r="H34" i="27"/>
  <c r="H28" i="27"/>
  <c r="H27" i="27"/>
  <c r="H24" i="27"/>
  <c r="H23" i="27"/>
  <c r="H20" i="27"/>
  <c r="H17" i="27"/>
  <c r="H13" i="27"/>
  <c r="H12" i="27"/>
  <c r="H9" i="27"/>
  <c r="H51" i="27"/>
  <c r="H50" i="27"/>
  <c r="H46" i="27"/>
  <c r="H40" i="27"/>
  <c r="H30" i="27"/>
  <c r="H25" i="27"/>
  <c r="C58" i="27"/>
  <c r="D56" i="27"/>
  <c r="D55" i="27"/>
  <c r="D54" i="27"/>
  <c r="D53" i="27"/>
  <c r="D49" i="27"/>
  <c r="D48" i="27"/>
  <c r="D45" i="27"/>
  <c r="D44" i="27"/>
  <c r="D43" i="27"/>
  <c r="D42" i="27"/>
  <c r="D39" i="27"/>
  <c r="D38" i="27"/>
  <c r="D37" i="27"/>
  <c r="D36" i="27"/>
  <c r="D35" i="27"/>
  <c r="D34" i="27"/>
  <c r="D29" i="27"/>
  <c r="D28" i="27"/>
  <c r="D27" i="27"/>
  <c r="D24" i="27"/>
  <c r="D23" i="27"/>
  <c r="D22" i="27"/>
  <c r="D21" i="27"/>
  <c r="D20" i="27"/>
  <c r="D19" i="27"/>
  <c r="D18" i="27"/>
  <c r="D17" i="27"/>
  <c r="D16" i="27"/>
  <c r="D13" i="27"/>
  <c r="D12" i="27"/>
  <c r="D11" i="27"/>
  <c r="D10" i="27"/>
  <c r="D9" i="27"/>
  <c r="D8" i="27"/>
  <c r="C60" i="27"/>
  <c r="D57" i="27"/>
  <c r="D51" i="27"/>
  <c r="D50" i="27"/>
  <c r="D46" i="27"/>
  <c r="D40" i="27"/>
  <c r="D59" i="27"/>
  <c r="D31" i="27"/>
  <c r="H14" i="27"/>
  <c r="D25" i="27"/>
  <c r="I60" i="27"/>
  <c r="J59" i="27"/>
  <c r="J58" i="27"/>
  <c r="I58" i="27"/>
  <c r="J57" i="27"/>
  <c r="J56" i="27"/>
  <c r="J55" i="27"/>
  <c r="J54" i="27"/>
  <c r="J53" i="27"/>
  <c r="J51" i="27"/>
  <c r="J50" i="27"/>
  <c r="J49" i="27"/>
  <c r="J48" i="27"/>
  <c r="J46" i="27"/>
  <c r="J45" i="27"/>
  <c r="J44" i="27"/>
  <c r="J43" i="27"/>
  <c r="J42" i="27"/>
  <c r="J40" i="27"/>
  <c r="J39" i="27"/>
  <c r="J38" i="27"/>
  <c r="J37" i="27"/>
  <c r="J36" i="27"/>
  <c r="J35" i="27"/>
  <c r="J34" i="27"/>
  <c r="J31" i="27"/>
  <c r="J30" i="27"/>
  <c r="J29" i="27"/>
  <c r="J28" i="27"/>
  <c r="J27" i="27"/>
  <c r="J25" i="27"/>
  <c r="J24" i="27"/>
  <c r="J23" i="27"/>
  <c r="J22" i="27"/>
  <c r="J21" i="27"/>
  <c r="J20" i="27"/>
  <c r="J19" i="27"/>
  <c r="J18" i="27"/>
  <c r="J17" i="27"/>
  <c r="J16" i="27"/>
  <c r="J14" i="27"/>
  <c r="J13" i="27"/>
  <c r="J12" i="27"/>
  <c r="J11" i="27"/>
  <c r="J10" i="27"/>
  <c r="J9" i="27"/>
  <c r="J8" i="27"/>
  <c r="D14" i="27"/>
  <c r="D30" i="27"/>
  <c r="H31" i="27"/>
  <c r="F59" i="27"/>
  <c r="F57" i="27"/>
  <c r="F51" i="27"/>
  <c r="F50" i="27"/>
  <c r="F46" i="27"/>
  <c r="F40" i="27"/>
  <c r="F31" i="27"/>
  <c r="F30" i="27"/>
  <c r="F25" i="27"/>
  <c r="F14" i="27"/>
  <c r="E58" i="27"/>
  <c r="F55" i="27"/>
  <c r="F53" i="27"/>
  <c r="F48" i="27"/>
  <c r="F44" i="27"/>
  <c r="F42" i="27"/>
  <c r="F38" i="27"/>
  <c r="F37" i="27"/>
  <c r="F35" i="27"/>
  <c r="E60" i="27"/>
  <c r="F56" i="27"/>
  <c r="F54" i="27"/>
  <c r="F49" i="27"/>
  <c r="F45" i="27"/>
  <c r="F43" i="27"/>
  <c r="F39" i="27"/>
  <c r="F36" i="27"/>
  <c r="F34" i="27"/>
  <c r="F16" i="27"/>
  <c r="F20" i="27"/>
  <c r="F24" i="27"/>
  <c r="F28" i="27"/>
  <c r="K9" i="26"/>
  <c r="K10" i="26"/>
  <c r="K11" i="26"/>
  <c r="K12" i="26"/>
  <c r="K13" i="26"/>
  <c r="G14" i="26"/>
  <c r="K14" i="26"/>
  <c r="K15" i="26"/>
  <c r="K16" i="26"/>
  <c r="G17" i="26"/>
  <c r="K17" i="26"/>
  <c r="G18" i="26"/>
  <c r="K18" i="26"/>
  <c r="G19" i="26"/>
  <c r="K19" i="26"/>
  <c r="F20" i="26"/>
  <c r="J20" i="26"/>
  <c r="I54" i="26"/>
  <c r="I55" i="26"/>
  <c r="I56" i="26"/>
  <c r="I57" i="26"/>
  <c r="G26" i="26"/>
  <c r="G27" i="26"/>
  <c r="G28" i="26"/>
  <c r="G29" i="26"/>
  <c r="G30" i="26"/>
  <c r="G31" i="26"/>
  <c r="G32" i="26"/>
  <c r="G33" i="26"/>
  <c r="G34" i="26"/>
  <c r="G35" i="26"/>
  <c r="G36" i="26"/>
  <c r="G37" i="26"/>
  <c r="G38" i="26"/>
  <c r="G39" i="26"/>
  <c r="G40" i="26"/>
  <c r="G41" i="26"/>
  <c r="G42" i="26"/>
  <c r="G43" i="26"/>
  <c r="G44" i="26"/>
  <c r="G45" i="26"/>
  <c r="G46" i="26"/>
  <c r="G47" i="26"/>
  <c r="G48" i="26"/>
  <c r="G49" i="26"/>
  <c r="G54" i="26"/>
  <c r="G55" i="26"/>
  <c r="G56" i="26"/>
  <c r="G57" i="26"/>
  <c r="G61" i="26"/>
  <c r="G11" i="26"/>
  <c r="G20" i="26"/>
  <c r="K20" i="26"/>
  <c r="K26" i="26"/>
  <c r="K27" i="26"/>
  <c r="K28" i="26"/>
  <c r="K29" i="26"/>
  <c r="K30" i="26"/>
  <c r="K31" i="26"/>
  <c r="K32" i="26"/>
  <c r="K33" i="26"/>
  <c r="K34" i="26"/>
  <c r="K35" i="26"/>
  <c r="K36" i="26"/>
  <c r="K37" i="26"/>
  <c r="K38" i="26"/>
  <c r="K39" i="26"/>
  <c r="K40" i="26"/>
  <c r="K41" i="26"/>
  <c r="K42" i="26"/>
  <c r="K43" i="26"/>
  <c r="K44" i="26"/>
  <c r="K45" i="26"/>
  <c r="K46" i="26"/>
  <c r="K47" i="26"/>
  <c r="K48" i="26"/>
  <c r="K49" i="26"/>
  <c r="G50" i="26"/>
  <c r="K50" i="26"/>
  <c r="G52" i="26"/>
  <c r="K52" i="26"/>
  <c r="K54" i="26"/>
  <c r="K55" i="26"/>
  <c r="K56" i="26"/>
  <c r="K57" i="26"/>
  <c r="G58" i="26"/>
  <c r="K58" i="26"/>
  <c r="G60" i="26"/>
  <c r="K60" i="26"/>
  <c r="K61" i="26"/>
  <c r="C58" i="24"/>
  <c r="D56" i="24"/>
  <c r="D55" i="24"/>
  <c r="D54" i="24"/>
  <c r="D53" i="24"/>
  <c r="D49" i="24"/>
  <c r="D48" i="24"/>
  <c r="D45" i="24"/>
  <c r="D44" i="24"/>
  <c r="D43" i="24"/>
  <c r="D42" i="24"/>
  <c r="D39" i="24"/>
  <c r="D38" i="24"/>
  <c r="D37" i="24"/>
  <c r="D36" i="24"/>
  <c r="D35" i="24"/>
  <c r="D34" i="24"/>
  <c r="D29" i="24"/>
  <c r="D28" i="24"/>
  <c r="D27" i="24"/>
  <c r="D24" i="24"/>
  <c r="D23" i="24"/>
  <c r="D22" i="24"/>
  <c r="D21" i="24"/>
  <c r="D20" i="24"/>
  <c r="D19" i="24"/>
  <c r="D18" i="24"/>
  <c r="D17" i="24"/>
  <c r="D16" i="24"/>
  <c r="D13" i="24"/>
  <c r="D12" i="24"/>
  <c r="D11" i="24"/>
  <c r="D10" i="24"/>
  <c r="D9" i="24"/>
  <c r="D8" i="24"/>
  <c r="D31" i="24"/>
  <c r="D30" i="24"/>
  <c r="C60" i="24"/>
  <c r="D14" i="24"/>
  <c r="D59" i="24"/>
  <c r="D57" i="24"/>
  <c r="D51" i="24"/>
  <c r="D50" i="24"/>
  <c r="D46" i="24"/>
  <c r="D40" i="24"/>
  <c r="D25" i="24"/>
  <c r="F59" i="24"/>
  <c r="F14" i="24"/>
  <c r="F49" i="24"/>
  <c r="F45" i="24"/>
  <c r="F43" i="24"/>
  <c r="F38" i="24"/>
  <c r="F36" i="24"/>
  <c r="F35" i="24"/>
  <c r="F29" i="24"/>
  <c r="F24" i="24"/>
  <c r="F21" i="24"/>
  <c r="F20" i="24"/>
  <c r="F18" i="24"/>
  <c r="F13" i="24"/>
  <c r="F11" i="24"/>
  <c r="F10" i="24"/>
  <c r="F57" i="24"/>
  <c r="F51" i="24"/>
  <c r="F50" i="24"/>
  <c r="F46" i="24"/>
  <c r="F40" i="24"/>
  <c r="F31" i="24"/>
  <c r="F30" i="24"/>
  <c r="F25" i="24"/>
  <c r="E58" i="24"/>
  <c r="F56" i="24"/>
  <c r="F54" i="24"/>
  <c r="F44" i="24"/>
  <c r="F39" i="24"/>
  <c r="F28" i="24"/>
  <c r="F23" i="24"/>
  <c r="F19" i="24"/>
  <c r="F9" i="24"/>
  <c r="E60" i="24"/>
  <c r="F55" i="24"/>
  <c r="F53" i="24"/>
  <c r="F48" i="24"/>
  <c r="F42" i="24"/>
  <c r="F37" i="24"/>
  <c r="F34" i="24"/>
  <c r="F27" i="24"/>
  <c r="F22" i="24"/>
  <c r="F17" i="24"/>
  <c r="F16" i="24"/>
  <c r="F12" i="24"/>
  <c r="F8" i="24"/>
  <c r="H11" i="24"/>
  <c r="H9" i="24"/>
  <c r="H8" i="24"/>
  <c r="H40" i="24"/>
  <c r="H25" i="24"/>
  <c r="H14" i="24"/>
  <c r="G60" i="24"/>
  <c r="H50" i="24"/>
  <c r="H46" i="24"/>
  <c r="H31" i="24"/>
  <c r="H59" i="24"/>
  <c r="G58" i="24"/>
  <c r="H56" i="24"/>
  <c r="H55" i="24"/>
  <c r="H54" i="24"/>
  <c r="H53" i="24"/>
  <c r="H49" i="24"/>
  <c r="H48" i="24"/>
  <c r="H45" i="24"/>
  <c r="H44" i="24"/>
  <c r="H43" i="24"/>
  <c r="H42" i="24"/>
  <c r="H39" i="24"/>
  <c r="H38" i="24"/>
  <c r="H37" i="24"/>
  <c r="H36" i="24"/>
  <c r="H35" i="24"/>
  <c r="H34" i="24"/>
  <c r="H29" i="24"/>
  <c r="H28" i="24"/>
  <c r="H27" i="24"/>
  <c r="H24" i="24"/>
  <c r="H23" i="24"/>
  <c r="H22" i="24"/>
  <c r="H21" i="24"/>
  <c r="H20" i="24"/>
  <c r="H19" i="24"/>
  <c r="H18" i="24"/>
  <c r="H17" i="24"/>
  <c r="H16" i="24"/>
  <c r="H13" i="24"/>
  <c r="H12" i="24"/>
  <c r="H10" i="24"/>
  <c r="H57" i="24"/>
  <c r="H51" i="24"/>
  <c r="H30" i="24"/>
  <c r="I60" i="24"/>
  <c r="J59" i="24"/>
  <c r="J58" i="24"/>
  <c r="J12" i="24"/>
  <c r="J10" i="24"/>
  <c r="J9" i="24"/>
  <c r="J8" i="24"/>
  <c r="I58" i="24"/>
  <c r="J57" i="24"/>
  <c r="J56" i="24"/>
  <c r="J55" i="24"/>
  <c r="J54" i="24"/>
  <c r="J53" i="24"/>
  <c r="J51" i="24"/>
  <c r="J50" i="24"/>
  <c r="J49" i="24"/>
  <c r="J48" i="24"/>
  <c r="J46" i="24"/>
  <c r="J45" i="24"/>
  <c r="J44" i="24"/>
  <c r="J43" i="24"/>
  <c r="J42" i="24"/>
  <c r="J40" i="24"/>
  <c r="J39" i="24"/>
  <c r="J38" i="24"/>
  <c r="J37" i="24"/>
  <c r="J36" i="24"/>
  <c r="J35" i="24"/>
  <c r="J34" i="24"/>
  <c r="J31" i="24"/>
  <c r="J30" i="24"/>
  <c r="J29" i="24"/>
  <c r="J28" i="24"/>
  <c r="J27" i="24"/>
  <c r="J25" i="24"/>
  <c r="J24" i="24"/>
  <c r="J23" i="24"/>
  <c r="J22" i="24"/>
  <c r="J21" i="24"/>
  <c r="J20" i="24"/>
  <c r="J19" i="24"/>
  <c r="J18" i="24"/>
  <c r="J17" i="24"/>
  <c r="J16" i="24"/>
  <c r="J14" i="24"/>
  <c r="J13" i="24"/>
  <c r="J11" i="24"/>
  <c r="K9" i="23"/>
  <c r="K10" i="23"/>
  <c r="G11" i="23"/>
  <c r="K11" i="23"/>
  <c r="K12" i="23"/>
  <c r="K13" i="23"/>
  <c r="G14" i="23"/>
  <c r="K14" i="23"/>
  <c r="K15" i="23"/>
  <c r="K16" i="23"/>
  <c r="G17" i="23"/>
  <c r="K17" i="23"/>
  <c r="G18" i="23"/>
  <c r="K18" i="23"/>
  <c r="G19" i="23"/>
  <c r="K19" i="23"/>
  <c r="F20" i="23"/>
  <c r="J20" i="23"/>
  <c r="I26" i="23"/>
  <c r="I27" i="23"/>
  <c r="I28" i="23"/>
  <c r="I29" i="23"/>
  <c r="I30" i="23"/>
  <c r="I31" i="23"/>
  <c r="I32" i="23"/>
  <c r="I33" i="23"/>
  <c r="I34" i="23"/>
  <c r="I35" i="23"/>
  <c r="I36" i="23"/>
  <c r="I37" i="23"/>
  <c r="I38" i="23"/>
  <c r="I39" i="23"/>
  <c r="I40" i="23"/>
  <c r="I41" i="23"/>
  <c r="I42" i="23"/>
  <c r="I43" i="23"/>
  <c r="I44" i="23"/>
  <c r="I45" i="23"/>
  <c r="I46" i="23"/>
  <c r="I47" i="23"/>
  <c r="I48" i="23"/>
  <c r="I49" i="23"/>
  <c r="I54" i="23"/>
  <c r="I55" i="23"/>
  <c r="I56" i="23"/>
  <c r="I57" i="23"/>
  <c r="G26" i="23"/>
  <c r="G27" i="23"/>
  <c r="G28" i="23"/>
  <c r="G29" i="23"/>
  <c r="G30" i="23"/>
  <c r="G31" i="23"/>
  <c r="G32" i="23"/>
  <c r="G33" i="23"/>
  <c r="G34" i="23"/>
  <c r="G35" i="23"/>
  <c r="G36" i="23"/>
  <c r="G37" i="23"/>
  <c r="G38" i="23"/>
  <c r="G39" i="23"/>
  <c r="G40" i="23"/>
  <c r="G41" i="23"/>
  <c r="G42" i="23"/>
  <c r="G43" i="23"/>
  <c r="G44" i="23"/>
  <c r="G45" i="23"/>
  <c r="G46" i="23"/>
  <c r="G47" i="23"/>
  <c r="G48" i="23"/>
  <c r="G49" i="23"/>
  <c r="G54" i="23"/>
  <c r="G55" i="23"/>
  <c r="G56" i="23"/>
  <c r="G57" i="23"/>
  <c r="G61" i="23"/>
  <c r="G20" i="23"/>
  <c r="K20" i="23"/>
  <c r="K26" i="23"/>
  <c r="K27" i="23"/>
  <c r="K28" i="23"/>
  <c r="K29" i="23"/>
  <c r="K30" i="23"/>
  <c r="K31" i="23"/>
  <c r="K32" i="23"/>
  <c r="K33" i="23"/>
  <c r="K34" i="23"/>
  <c r="K35" i="23"/>
  <c r="K36" i="23"/>
  <c r="K37" i="23"/>
  <c r="K38" i="23"/>
  <c r="K39" i="23"/>
  <c r="K40" i="23"/>
  <c r="K41" i="23"/>
  <c r="K42" i="23"/>
  <c r="K43" i="23"/>
  <c r="K44" i="23"/>
  <c r="K45" i="23"/>
  <c r="K46" i="23"/>
  <c r="K47" i="23"/>
  <c r="K48" i="23"/>
  <c r="K49" i="23"/>
  <c r="G50" i="23"/>
  <c r="K50" i="23"/>
  <c r="G52" i="23"/>
  <c r="K52" i="23"/>
  <c r="K54" i="23"/>
  <c r="K55" i="23"/>
  <c r="K56" i="23"/>
  <c r="K57" i="23"/>
  <c r="G58" i="23"/>
  <c r="K58" i="23"/>
  <c r="G60" i="23"/>
  <c r="K60" i="23"/>
  <c r="K61" i="23"/>
  <c r="E63" i="21"/>
  <c r="E76" i="21" s="1"/>
  <c r="C77" i="21"/>
  <c r="E51" i="21"/>
  <c r="E59" i="21" s="1"/>
  <c r="C31" i="21"/>
  <c r="C60" i="21" s="1"/>
  <c r="D21" i="21"/>
  <c r="D8" i="21"/>
  <c r="H57" i="21"/>
  <c r="H51" i="21"/>
  <c r="H50" i="21"/>
  <c r="H46" i="21"/>
  <c r="H40" i="21"/>
  <c r="H31" i="21"/>
  <c r="H30" i="21"/>
  <c r="H25" i="21"/>
  <c r="H14" i="21"/>
  <c r="H56" i="21"/>
  <c r="H48" i="21"/>
  <c r="H45" i="21"/>
  <c r="H43" i="21"/>
  <c r="H24" i="21"/>
  <c r="H19" i="21"/>
  <c r="H11" i="21"/>
  <c r="H8" i="21"/>
  <c r="H59" i="21"/>
  <c r="G58" i="21"/>
  <c r="H54" i="21"/>
  <c r="H53" i="21"/>
  <c r="H49" i="21"/>
  <c r="H44" i="21"/>
  <c r="H42" i="21"/>
  <c r="H39" i="21"/>
  <c r="H38" i="21"/>
  <c r="H36" i="21"/>
  <c r="H35" i="21"/>
  <c r="H34" i="21"/>
  <c r="H29" i="21"/>
  <c r="H27" i="21"/>
  <c r="H23" i="21"/>
  <c r="H22" i="21"/>
  <c r="H20" i="21"/>
  <c r="H18" i="21"/>
  <c r="H17" i="21"/>
  <c r="H12" i="21"/>
  <c r="H9" i="21"/>
  <c r="G60" i="21"/>
  <c r="H55" i="21"/>
  <c r="H37" i="21"/>
  <c r="H28" i="21"/>
  <c r="H21" i="21"/>
  <c r="H16" i="21"/>
  <c r="H13" i="21"/>
  <c r="H10" i="21"/>
  <c r="E58" i="21"/>
  <c r="F56" i="21"/>
  <c r="F55" i="21"/>
  <c r="F54" i="21"/>
  <c r="F53" i="21"/>
  <c r="F49" i="21"/>
  <c r="F48" i="21"/>
  <c r="F45" i="21"/>
  <c r="F44" i="21"/>
  <c r="F43" i="21"/>
  <c r="F42" i="21"/>
  <c r="F39" i="21"/>
  <c r="F38" i="21"/>
  <c r="F37" i="21"/>
  <c r="F36" i="21"/>
  <c r="F35" i="21"/>
  <c r="F34" i="21"/>
  <c r="F29" i="21"/>
  <c r="F28" i="21"/>
  <c r="F27" i="21"/>
  <c r="F24" i="21"/>
  <c r="F23" i="21"/>
  <c r="F22" i="21"/>
  <c r="F21" i="21"/>
  <c r="F20" i="21"/>
  <c r="F19" i="21"/>
  <c r="F18" i="21"/>
  <c r="F17" i="21"/>
  <c r="F16" i="21"/>
  <c r="F13" i="21"/>
  <c r="F12" i="21"/>
  <c r="F11" i="21"/>
  <c r="F10" i="21"/>
  <c r="F9" i="21"/>
  <c r="F8" i="21"/>
  <c r="F59" i="21"/>
  <c r="F57" i="21"/>
  <c r="F51" i="21"/>
  <c r="F50" i="21"/>
  <c r="F46" i="21"/>
  <c r="F40" i="21"/>
  <c r="F31" i="21"/>
  <c r="F30" i="21"/>
  <c r="F25" i="21"/>
  <c r="F14" i="21"/>
  <c r="E60" i="21"/>
  <c r="I60" i="21"/>
  <c r="J59" i="21"/>
  <c r="J58" i="21"/>
  <c r="I58" i="21"/>
  <c r="J57" i="21"/>
  <c r="J56" i="21"/>
  <c r="J55" i="21"/>
  <c r="J54" i="21"/>
  <c r="J53" i="21"/>
  <c r="J51" i="21"/>
  <c r="J50" i="21"/>
  <c r="J49" i="21"/>
  <c r="J48" i="21"/>
  <c r="J46" i="21"/>
  <c r="J45" i="21"/>
  <c r="J44" i="21"/>
  <c r="J43" i="21"/>
  <c r="J42" i="21"/>
  <c r="J40" i="21"/>
  <c r="J39" i="21"/>
  <c r="J38" i="21"/>
  <c r="J37" i="21"/>
  <c r="J36" i="21"/>
  <c r="J35" i="21"/>
  <c r="J34" i="21"/>
  <c r="J31" i="21"/>
  <c r="J30" i="21"/>
  <c r="J29" i="21"/>
  <c r="J28" i="21"/>
  <c r="J27" i="21"/>
  <c r="J25" i="21"/>
  <c r="J24" i="21"/>
  <c r="J23" i="21"/>
  <c r="J22" i="21"/>
  <c r="J21" i="21"/>
  <c r="J20" i="21"/>
  <c r="J19" i="21"/>
  <c r="J18" i="21"/>
  <c r="J17" i="21"/>
  <c r="J16" i="21"/>
  <c r="J14" i="21"/>
  <c r="J13" i="21"/>
  <c r="J12" i="21"/>
  <c r="J11" i="21"/>
  <c r="J10" i="21"/>
  <c r="J9" i="21"/>
  <c r="J8" i="21"/>
  <c r="D42" i="21" l="1"/>
  <c r="D11" i="21"/>
  <c r="D24" i="21"/>
  <c r="D49" i="21"/>
  <c r="D16" i="21"/>
  <c r="D28" i="21"/>
  <c r="C58" i="21"/>
  <c r="D18" i="21"/>
  <c r="D36" i="21"/>
  <c r="D40" i="21"/>
  <c r="J4" i="32"/>
  <c r="I3" i="31" s="1"/>
  <c r="AC9" i="31" s="1"/>
  <c r="G3" i="31"/>
  <c r="AC8" i="31" s="1"/>
  <c r="H63" i="26"/>
  <c r="G64" i="27"/>
  <c r="J4" i="29"/>
  <c r="I3" i="28" s="1"/>
  <c r="AC9" i="28" s="1"/>
  <c r="G3" i="28"/>
  <c r="AC8" i="28" s="1"/>
  <c r="J4" i="35"/>
  <c r="I3" i="34" s="1"/>
  <c r="AC9" i="34" s="1"/>
  <c r="G3" i="34"/>
  <c r="AC8" i="34" s="1"/>
  <c r="J4" i="23"/>
  <c r="I3" i="22" s="1"/>
  <c r="AC9" i="22" s="1"/>
  <c r="G3" i="22"/>
  <c r="AC8" i="22" s="1"/>
  <c r="H63" i="23"/>
  <c r="G64" i="24"/>
  <c r="H63" i="35"/>
  <c r="G64" i="36"/>
  <c r="J4" i="26"/>
  <c r="I3" i="25" s="1"/>
  <c r="AC9" i="25" s="1"/>
  <c r="G3" i="25"/>
  <c r="AC8" i="25" s="1"/>
  <c r="G3" i="27"/>
  <c r="K124" i="6"/>
  <c r="K126" i="6" s="1"/>
  <c r="H52" i="26"/>
  <c r="D52" i="23"/>
  <c r="C64" i="33"/>
  <c r="C76" i="33" s="1"/>
  <c r="D52" i="26"/>
  <c r="D52" i="32"/>
  <c r="H52" i="29"/>
  <c r="H52" i="23"/>
  <c r="H52" i="32"/>
  <c r="H52" i="35"/>
  <c r="D63" i="35"/>
  <c r="C76" i="36"/>
  <c r="H63" i="32"/>
  <c r="H63" i="29"/>
  <c r="D52" i="29"/>
  <c r="D63" i="29"/>
  <c r="C64" i="30"/>
  <c r="C76" i="30" s="1"/>
  <c r="D63" i="26"/>
  <c r="C76" i="27"/>
  <c r="D63" i="23"/>
  <c r="C76" i="24"/>
  <c r="F60" i="35"/>
  <c r="F52" i="35"/>
  <c r="J60" i="35"/>
  <c r="J52" i="35"/>
  <c r="F60" i="32"/>
  <c r="E64" i="33" s="1"/>
  <c r="F52" i="32"/>
  <c r="J60" i="32"/>
  <c r="I64" i="33" s="1"/>
  <c r="J52" i="32"/>
  <c r="J60" i="29"/>
  <c r="I64" i="30" s="1"/>
  <c r="J52" i="29"/>
  <c r="F60" i="29"/>
  <c r="E64" i="30" s="1"/>
  <c r="F52" i="29"/>
  <c r="F60" i="26"/>
  <c r="F52" i="26"/>
  <c r="J60" i="26"/>
  <c r="J52" i="26"/>
  <c r="J60" i="23"/>
  <c r="J52" i="23"/>
  <c r="F60" i="23"/>
  <c r="F52" i="23"/>
  <c r="D10" i="21"/>
  <c r="D17" i="21"/>
  <c r="D22" i="21"/>
  <c r="D34" i="21"/>
  <c r="D44" i="21"/>
  <c r="D30" i="21"/>
  <c r="D59" i="21"/>
  <c r="D12" i="21"/>
  <c r="D20" i="21"/>
  <c r="D27" i="21"/>
  <c r="D38" i="21"/>
  <c r="D54" i="21"/>
  <c r="D51" i="21"/>
  <c r="G63" i="21"/>
  <c r="G76" i="21" s="1"/>
  <c r="E77" i="21"/>
  <c r="D35" i="21"/>
  <c r="D39" i="21"/>
  <c r="D45" i="21"/>
  <c r="D56" i="21"/>
  <c r="D31" i="21"/>
  <c r="D57" i="21"/>
  <c r="D9" i="21"/>
  <c r="D13" i="21"/>
  <c r="D19" i="21"/>
  <c r="D23" i="21"/>
  <c r="D29" i="21"/>
  <c r="D37" i="21"/>
  <c r="D43" i="21"/>
  <c r="D53" i="21"/>
  <c r="D14" i="21"/>
  <c r="D50" i="21"/>
  <c r="D48" i="21"/>
  <c r="D55" i="21"/>
  <c r="D25" i="21"/>
  <c r="D46" i="21"/>
  <c r="I3" i="27" l="1"/>
  <c r="F63" i="35"/>
  <c r="E64" i="36"/>
  <c r="J63" i="23"/>
  <c r="I64" i="24"/>
  <c r="F63" i="26"/>
  <c r="E64" i="27"/>
  <c r="F63" i="23"/>
  <c r="E64" i="24"/>
  <c r="J63" i="26"/>
  <c r="I64" i="27"/>
  <c r="J63" i="35"/>
  <c r="I64" i="36"/>
  <c r="C77" i="33"/>
  <c r="E63" i="33"/>
  <c r="E76" i="33" s="1"/>
  <c r="C77" i="36"/>
  <c r="E63" i="36"/>
  <c r="F63" i="32"/>
  <c r="J63" i="32"/>
  <c r="F63" i="29"/>
  <c r="J63" i="29"/>
  <c r="E63" i="30"/>
  <c r="E76" i="30" s="1"/>
  <c r="C77" i="30"/>
  <c r="E63" i="27"/>
  <c r="C77" i="27"/>
  <c r="C77" i="24"/>
  <c r="E63" i="24"/>
  <c r="E76" i="24" s="1"/>
  <c r="I63" i="21"/>
  <c r="G77" i="21"/>
  <c r="E76" i="36" l="1"/>
  <c r="G63" i="36" s="1"/>
  <c r="G76" i="36" s="1"/>
  <c r="I76" i="21"/>
  <c r="I77" i="21" s="1"/>
  <c r="E76" i="27"/>
  <c r="G63" i="27" s="1"/>
  <c r="G76" i="27" s="1"/>
  <c r="G63" i="33"/>
  <c r="G76" i="33" s="1"/>
  <c r="G63" i="24"/>
  <c r="G76" i="24" s="1"/>
  <c r="E77" i="24"/>
  <c r="S44" i="45"/>
  <c r="P44" i="45"/>
  <c r="M44" i="45"/>
  <c r="J44" i="45"/>
  <c r="G44" i="45"/>
  <c r="D44" i="45"/>
  <c r="S41" i="45"/>
  <c r="P41" i="45"/>
  <c r="M41" i="45"/>
  <c r="M48" i="45" s="1"/>
  <c r="J41" i="45"/>
  <c r="J48" i="45" s="1"/>
  <c r="G41" i="45"/>
  <c r="D41" i="45"/>
  <c r="D48" i="45" s="1"/>
  <c r="D32" i="45"/>
  <c r="S31" i="45"/>
  <c r="S32" i="45" s="1"/>
  <c r="P31" i="45"/>
  <c r="P32" i="45" s="1"/>
  <c r="M31" i="45"/>
  <c r="M32" i="45" s="1"/>
  <c r="J31" i="45"/>
  <c r="J32" i="45" s="1"/>
  <c r="G31" i="45"/>
  <c r="G32" i="45" s="1"/>
  <c r="D31" i="45"/>
  <c r="S17" i="45"/>
  <c r="S24" i="45" s="1"/>
  <c r="S28" i="45" s="1"/>
  <c r="S34" i="45" s="1"/>
  <c r="P17" i="45"/>
  <c r="P24" i="45" s="1"/>
  <c r="P28" i="45" s="1"/>
  <c r="M17" i="45"/>
  <c r="M24" i="45" s="1"/>
  <c r="M28" i="45" s="1"/>
  <c r="J17" i="45"/>
  <c r="J24" i="45" s="1"/>
  <c r="J28" i="45" s="1"/>
  <c r="G17" i="45"/>
  <c r="G24" i="45" s="1"/>
  <c r="G28" i="45" s="1"/>
  <c r="G34" i="45" s="1"/>
  <c r="D17" i="45"/>
  <c r="S10" i="45"/>
  <c r="P10" i="45"/>
  <c r="M10" i="45"/>
  <c r="J10" i="45"/>
  <c r="G10" i="45"/>
  <c r="D10" i="45"/>
  <c r="S44" i="48"/>
  <c r="P44" i="48"/>
  <c r="M44" i="48"/>
  <c r="J44" i="48"/>
  <c r="G44" i="48"/>
  <c r="D44" i="48"/>
  <c r="S41" i="48"/>
  <c r="S48" i="48" s="1"/>
  <c r="P41" i="48"/>
  <c r="M41" i="48"/>
  <c r="M43" i="48" s="1"/>
  <c r="J41" i="48"/>
  <c r="G41" i="48"/>
  <c r="G48" i="48" s="1"/>
  <c r="D41" i="48"/>
  <c r="S31" i="48"/>
  <c r="S32" i="48" s="1"/>
  <c r="P31" i="48"/>
  <c r="P32" i="48" s="1"/>
  <c r="M31" i="48"/>
  <c r="M32" i="48" s="1"/>
  <c r="J31" i="48"/>
  <c r="J32" i="48" s="1"/>
  <c r="G31" i="48"/>
  <c r="G32" i="48" s="1"/>
  <c r="D31" i="48"/>
  <c r="D32" i="48" s="1"/>
  <c r="S17" i="48"/>
  <c r="S24" i="48" s="1"/>
  <c r="S28" i="48" s="1"/>
  <c r="P17" i="48"/>
  <c r="P24" i="48" s="1"/>
  <c r="P28" i="48" s="1"/>
  <c r="M17" i="48"/>
  <c r="M24" i="48" s="1"/>
  <c r="M28" i="48" s="1"/>
  <c r="J17" i="48"/>
  <c r="J24" i="48" s="1"/>
  <c r="J28" i="48" s="1"/>
  <c r="G17" i="48"/>
  <c r="G24" i="48" s="1"/>
  <c r="G28" i="48" s="1"/>
  <c r="D17" i="48"/>
  <c r="S10" i="48"/>
  <c r="P10" i="48"/>
  <c r="M10" i="48"/>
  <c r="J10" i="48"/>
  <c r="G10" i="48"/>
  <c r="D10" i="48"/>
  <c r="S44" i="42"/>
  <c r="P44" i="42"/>
  <c r="M44" i="42"/>
  <c r="J44" i="42"/>
  <c r="G44" i="42"/>
  <c r="D44" i="42"/>
  <c r="J43" i="42"/>
  <c r="S41" i="42"/>
  <c r="S45" i="42" s="1"/>
  <c r="P41" i="42"/>
  <c r="P48" i="42" s="1"/>
  <c r="M41" i="42"/>
  <c r="M48" i="42" s="1"/>
  <c r="J41" i="42"/>
  <c r="J48" i="42" s="1"/>
  <c r="G41" i="42"/>
  <c r="G48" i="42" s="1"/>
  <c r="D41" i="42"/>
  <c r="D48" i="42" s="1"/>
  <c r="S31" i="42"/>
  <c r="S32" i="42" s="1"/>
  <c r="P31" i="42"/>
  <c r="P32" i="42" s="1"/>
  <c r="M31" i="42"/>
  <c r="M32" i="42" s="1"/>
  <c r="J31" i="42"/>
  <c r="J32" i="42" s="1"/>
  <c r="G31" i="42"/>
  <c r="G32" i="42" s="1"/>
  <c r="D31" i="42"/>
  <c r="D32" i="42" s="1"/>
  <c r="S17" i="42"/>
  <c r="S24" i="42" s="1"/>
  <c r="S28" i="42" s="1"/>
  <c r="P17" i="42"/>
  <c r="P24" i="42" s="1"/>
  <c r="P28" i="42" s="1"/>
  <c r="M17" i="42"/>
  <c r="M24" i="42" s="1"/>
  <c r="M28" i="42" s="1"/>
  <c r="J17" i="42"/>
  <c r="J24" i="42" s="1"/>
  <c r="J28" i="42" s="1"/>
  <c r="G17" i="42"/>
  <c r="G24" i="42" s="1"/>
  <c r="G28" i="42" s="1"/>
  <c r="D17" i="42"/>
  <c r="S10" i="42"/>
  <c r="P10" i="42"/>
  <c r="M10" i="42"/>
  <c r="J10" i="42"/>
  <c r="G10" i="42"/>
  <c r="D10" i="42"/>
  <c r="S44" i="39"/>
  <c r="S45" i="39" s="1"/>
  <c r="S41" i="39"/>
  <c r="S43" i="39" s="1"/>
  <c r="P44" i="39"/>
  <c r="P45" i="39" s="1"/>
  <c r="P41" i="39"/>
  <c r="M44" i="39"/>
  <c r="M41" i="39"/>
  <c r="M48" i="39" s="1"/>
  <c r="J44" i="39"/>
  <c r="J41" i="39"/>
  <c r="J48" i="39" s="1"/>
  <c r="G44" i="39"/>
  <c r="G41" i="39"/>
  <c r="G48" i="39" s="1"/>
  <c r="D44" i="39"/>
  <c r="D41" i="39"/>
  <c r="D43" i="39" s="1"/>
  <c r="D46" i="39" s="1"/>
  <c r="C41" i="44"/>
  <c r="C40" i="44"/>
  <c r="C38" i="44"/>
  <c r="F34" i="44"/>
  <c r="F33" i="44"/>
  <c r="F32" i="44"/>
  <c r="F31" i="44"/>
  <c r="F30" i="44"/>
  <c r="C22" i="44"/>
  <c r="F21" i="44"/>
  <c r="F20" i="44"/>
  <c r="F19" i="44"/>
  <c r="F18" i="44"/>
  <c r="F17" i="44"/>
  <c r="K17" i="44"/>
  <c r="K18" i="44" s="1"/>
  <c r="F16" i="44"/>
  <c r="F15" i="44"/>
  <c r="F14" i="44"/>
  <c r="K15" i="44"/>
  <c r="F13" i="44"/>
  <c r="F12" i="44"/>
  <c r="F11" i="44"/>
  <c r="F10" i="44"/>
  <c r="F9" i="44"/>
  <c r="F8" i="44"/>
  <c r="C41" i="47"/>
  <c r="C38" i="47"/>
  <c r="F34" i="47"/>
  <c r="F33" i="47"/>
  <c r="F32" i="47"/>
  <c r="F31" i="47"/>
  <c r="F30" i="47"/>
  <c r="C22" i="47"/>
  <c r="C40" i="47" s="1"/>
  <c r="F21" i="47"/>
  <c r="F20" i="47"/>
  <c r="F19" i="47"/>
  <c r="F18" i="47"/>
  <c r="F17" i="47"/>
  <c r="F16" i="47"/>
  <c r="F15" i="47"/>
  <c r="F14" i="47"/>
  <c r="K15" i="47"/>
  <c r="F13" i="47"/>
  <c r="F12" i="47"/>
  <c r="F11" i="47"/>
  <c r="F10" i="47"/>
  <c r="F9" i="47"/>
  <c r="F8" i="47"/>
  <c r="C41" i="41"/>
  <c r="C38" i="41"/>
  <c r="F34" i="41"/>
  <c r="F33" i="41"/>
  <c r="F32" i="41"/>
  <c r="F31" i="41"/>
  <c r="F30" i="41"/>
  <c r="C22" i="41"/>
  <c r="C40" i="41" s="1"/>
  <c r="F21" i="41"/>
  <c r="F20" i="41"/>
  <c r="F19" i="41"/>
  <c r="F18" i="41"/>
  <c r="F17" i="41"/>
  <c r="F16" i="41"/>
  <c r="K15" i="41"/>
  <c r="F15" i="41"/>
  <c r="F14" i="41"/>
  <c r="K20" i="41"/>
  <c r="F13" i="41"/>
  <c r="F12" i="41"/>
  <c r="F11" i="41"/>
  <c r="F10" i="41"/>
  <c r="F9" i="41"/>
  <c r="F8" i="41"/>
  <c r="S31" i="39"/>
  <c r="S32" i="39" s="1"/>
  <c r="S17" i="39"/>
  <c r="S24" i="39" s="1"/>
  <c r="S28" i="39" s="1"/>
  <c r="S10" i="39"/>
  <c r="P31" i="39"/>
  <c r="P32" i="39" s="1"/>
  <c r="P17" i="39"/>
  <c r="P24" i="39" s="1"/>
  <c r="P28" i="39" s="1"/>
  <c r="P10" i="39"/>
  <c r="M31" i="39"/>
  <c r="M32" i="39" s="1"/>
  <c r="M17" i="39"/>
  <c r="M24" i="39" s="1"/>
  <c r="M28" i="39" s="1"/>
  <c r="M10" i="39"/>
  <c r="J31" i="39"/>
  <c r="J32" i="39" s="1"/>
  <c r="J17" i="39"/>
  <c r="J24" i="39" s="1"/>
  <c r="J28" i="39" s="1"/>
  <c r="J10" i="39"/>
  <c r="G31" i="39"/>
  <c r="G32" i="39" s="1"/>
  <c r="G17" i="39"/>
  <c r="G24" i="39" s="1"/>
  <c r="G28" i="39" s="1"/>
  <c r="G10" i="39"/>
  <c r="D31" i="39"/>
  <c r="D32" i="39" s="1"/>
  <c r="D17" i="39"/>
  <c r="D10" i="39"/>
  <c r="K16" i="38"/>
  <c r="K20" i="38" s="1"/>
  <c r="C41" i="38"/>
  <c r="B3" i="38"/>
  <c r="J13" i="40"/>
  <c r="J13" i="43"/>
  <c r="J13" i="46"/>
  <c r="J13" i="37"/>
  <c r="I13" i="40"/>
  <c r="I13" i="43"/>
  <c r="I13" i="46"/>
  <c r="I13" i="37"/>
  <c r="P6" i="37"/>
  <c r="Q6" i="37" s="1"/>
  <c r="P6" i="43"/>
  <c r="Q6" i="43" s="1"/>
  <c r="P6" i="46"/>
  <c r="Q6" i="46" s="1"/>
  <c r="P6" i="40"/>
  <c r="Q6" i="40" s="1"/>
  <c r="Q22" i="43"/>
  <c r="Q24" i="43" s="1"/>
  <c r="P22" i="43"/>
  <c r="P24" i="43" s="1"/>
  <c r="O22" i="43"/>
  <c r="O24" i="43" s="1"/>
  <c r="Q22" i="46"/>
  <c r="Q24" i="46" s="1"/>
  <c r="P22" i="46"/>
  <c r="P24" i="46" s="1"/>
  <c r="O22" i="46"/>
  <c r="O24" i="46" s="1"/>
  <c r="Q22" i="40"/>
  <c r="Q24" i="40" s="1"/>
  <c r="P22" i="40"/>
  <c r="P24" i="40" s="1"/>
  <c r="O22" i="40"/>
  <c r="O24" i="40" s="1"/>
  <c r="J54" i="46"/>
  <c r="D20" i="46" s="1"/>
  <c r="I54" i="46"/>
  <c r="H54" i="46"/>
  <c r="C52" i="46"/>
  <c r="B52" i="46"/>
  <c r="J32" i="46"/>
  <c r="D18" i="46" s="1"/>
  <c r="I32" i="46"/>
  <c r="J23" i="46"/>
  <c r="D19" i="46" s="1"/>
  <c r="I23" i="46"/>
  <c r="D13" i="46"/>
  <c r="J54" i="43"/>
  <c r="D20" i="43" s="1"/>
  <c r="I54" i="43"/>
  <c r="H54" i="43"/>
  <c r="C52" i="43"/>
  <c r="B52" i="43"/>
  <c r="J32" i="43"/>
  <c r="D18" i="43" s="1"/>
  <c r="I32" i="43"/>
  <c r="J23" i="43"/>
  <c r="D19" i="43" s="1"/>
  <c r="I23" i="43"/>
  <c r="D13" i="43"/>
  <c r="D41" i="43" s="1"/>
  <c r="J54" i="40"/>
  <c r="D20" i="40" s="1"/>
  <c r="I54" i="40"/>
  <c r="H54" i="40"/>
  <c r="C52" i="40"/>
  <c r="B52" i="40"/>
  <c r="J32" i="40"/>
  <c r="D18" i="40" s="1"/>
  <c r="I32" i="40"/>
  <c r="J23" i="40"/>
  <c r="D19" i="40" s="1"/>
  <c r="I23" i="40"/>
  <c r="D13" i="40"/>
  <c r="D25" i="40" s="1"/>
  <c r="C52" i="37"/>
  <c r="B52" i="37"/>
  <c r="Q22" i="37"/>
  <c r="Q24" i="37" s="1"/>
  <c r="P22" i="37"/>
  <c r="P24" i="37" s="1"/>
  <c r="O22" i="37"/>
  <c r="O24" i="37" s="1"/>
  <c r="H54" i="37"/>
  <c r="J54" i="37"/>
  <c r="D20" i="37" s="1"/>
  <c r="I54" i="37"/>
  <c r="J32" i="37"/>
  <c r="I32" i="37"/>
  <c r="J23" i="37"/>
  <c r="D19" i="37" s="1"/>
  <c r="I23" i="37"/>
  <c r="G27" i="38" s="1"/>
  <c r="D27" i="38" s="1"/>
  <c r="M45" i="39" l="1"/>
  <c r="D48" i="39"/>
  <c r="J45" i="39"/>
  <c r="S48" i="39"/>
  <c r="S48" i="42"/>
  <c r="J34" i="45"/>
  <c r="P48" i="45"/>
  <c r="G34" i="39"/>
  <c r="S34" i="39"/>
  <c r="G45" i="39"/>
  <c r="P48" i="39"/>
  <c r="J34" i="42"/>
  <c r="G43" i="42"/>
  <c r="G45" i="42"/>
  <c r="M34" i="48"/>
  <c r="E77" i="27"/>
  <c r="E77" i="36"/>
  <c r="E77" i="33"/>
  <c r="D24" i="48"/>
  <c r="D28" i="48" s="1"/>
  <c r="D34" i="48" s="1"/>
  <c r="D24" i="45"/>
  <c r="D28" i="45" s="1"/>
  <c r="D34" i="45" s="1"/>
  <c r="D24" i="42"/>
  <c r="D28" i="42" s="1"/>
  <c r="D34" i="42" s="1"/>
  <c r="D22" i="43"/>
  <c r="D24" i="43" s="1"/>
  <c r="D24" i="39"/>
  <c r="D28" i="39" s="1"/>
  <c r="D34" i="39" s="1"/>
  <c r="A35" i="39" s="1"/>
  <c r="D9" i="37" s="1"/>
  <c r="D13" i="37" s="1"/>
  <c r="D25" i="37" s="1"/>
  <c r="D22" i="40"/>
  <c r="D24" i="40" s="1"/>
  <c r="K17" i="38"/>
  <c r="K18" i="38" s="1"/>
  <c r="K20" i="44"/>
  <c r="D18" i="37"/>
  <c r="D22" i="46"/>
  <c r="G25" i="38"/>
  <c r="D25" i="38" s="1"/>
  <c r="I63" i="36"/>
  <c r="G77" i="36"/>
  <c r="I63" i="33"/>
  <c r="G77" i="33"/>
  <c r="E77" i="30"/>
  <c r="G63" i="30"/>
  <c r="G76" i="30" s="1"/>
  <c r="I63" i="27"/>
  <c r="G77" i="27"/>
  <c r="I63" i="24"/>
  <c r="G77" i="24"/>
  <c r="M45" i="48"/>
  <c r="P34" i="48"/>
  <c r="J45" i="45"/>
  <c r="D45" i="48"/>
  <c r="P48" i="48"/>
  <c r="G48" i="45"/>
  <c r="S48" i="45"/>
  <c r="S43" i="42"/>
  <c r="J45" i="42"/>
  <c r="P45" i="48"/>
  <c r="M48" i="48"/>
  <c r="P34" i="45"/>
  <c r="J43" i="45"/>
  <c r="J34" i="48"/>
  <c r="P43" i="48"/>
  <c r="D48" i="48"/>
  <c r="M34" i="45"/>
  <c r="M34" i="42"/>
  <c r="J48" i="48"/>
  <c r="D43" i="48"/>
  <c r="P34" i="42"/>
  <c r="G34" i="48"/>
  <c r="S34" i="48"/>
  <c r="G34" i="42"/>
  <c r="S34" i="42"/>
  <c r="M43" i="42"/>
  <c r="M45" i="42"/>
  <c r="G43" i="48"/>
  <c r="S43" i="48"/>
  <c r="G45" i="48"/>
  <c r="S45" i="48"/>
  <c r="M43" i="45"/>
  <c r="M45" i="45"/>
  <c r="D43" i="42"/>
  <c r="P43" i="42"/>
  <c r="D45" i="42"/>
  <c r="P45" i="42"/>
  <c r="J43" i="48"/>
  <c r="J45" i="48"/>
  <c r="D43" i="45"/>
  <c r="P43" i="45"/>
  <c r="D45" i="45"/>
  <c r="P45" i="45"/>
  <c r="G43" i="45"/>
  <c r="S43" i="45"/>
  <c r="G45" i="45"/>
  <c r="S45" i="45"/>
  <c r="P43" i="39"/>
  <c r="M43" i="39"/>
  <c r="J43" i="39"/>
  <c r="G43" i="39"/>
  <c r="D45" i="39"/>
  <c r="M34" i="39"/>
  <c r="K17" i="47"/>
  <c r="K18" i="47" s="1"/>
  <c r="K20" i="47"/>
  <c r="K17" i="41"/>
  <c r="K18" i="41" s="1"/>
  <c r="P34" i="39"/>
  <c r="J34" i="39"/>
  <c r="K56" i="46"/>
  <c r="D41" i="40"/>
  <c r="K56" i="40"/>
  <c r="D25" i="46"/>
  <c r="D41" i="46"/>
  <c r="D25" i="43"/>
  <c r="K56" i="43"/>
  <c r="K56" i="37"/>
  <c r="D41" i="37" l="1"/>
  <c r="I76" i="36"/>
  <c r="I77" i="36" s="1"/>
  <c r="I76" i="33"/>
  <c r="I77" i="33" s="1"/>
  <c r="I76" i="27"/>
  <c r="I77" i="27" s="1"/>
  <c r="I76" i="24"/>
  <c r="I77" i="24" s="1"/>
  <c r="D22" i="37"/>
  <c r="D24" i="37" s="1"/>
  <c r="D26" i="43"/>
  <c r="D26" i="40"/>
  <c r="D24" i="46"/>
  <c r="D26" i="46"/>
  <c r="I63" i="30"/>
  <c r="G77" i="30"/>
  <c r="I76" i="30" l="1"/>
  <c r="I77" i="30" s="1"/>
  <c r="D36" i="40"/>
  <c r="D37" i="40" s="1"/>
  <c r="D36" i="43"/>
  <c r="D37" i="43" s="1"/>
  <c r="D36" i="46"/>
  <c r="D37" i="46" s="1"/>
  <c r="D26" i="37"/>
  <c r="F59" i="5"/>
  <c r="B115" i="5"/>
  <c r="E104" i="5"/>
  <c r="E105" i="5"/>
  <c r="E106" i="5"/>
  <c r="E107" i="5"/>
  <c r="E108" i="5"/>
  <c r="E109" i="5"/>
  <c r="E111" i="5"/>
  <c r="Q3" i="12"/>
  <c r="Q3" i="68" s="1"/>
  <c r="O3" i="12"/>
  <c r="O3" i="68" s="1"/>
  <c r="M3" i="12"/>
  <c r="M3" i="68" s="1"/>
  <c r="K3" i="12"/>
  <c r="K89" i="5" l="1"/>
  <c r="L8" i="80"/>
  <c r="D36" i="37"/>
  <c r="D37" i="37" s="1"/>
  <c r="D29" i="43"/>
  <c r="D33" i="43" s="1"/>
  <c r="D40" i="43" s="1"/>
  <c r="D42" i="43" s="1"/>
  <c r="D29" i="46"/>
  <c r="D33" i="46" s="1"/>
  <c r="D40" i="46" s="1"/>
  <c r="D42" i="46" s="1"/>
  <c r="D29" i="40"/>
  <c r="D33" i="40" s="1"/>
  <c r="D40" i="40" s="1"/>
  <c r="D42" i="40" s="1"/>
  <c r="E112" i="5"/>
  <c r="U2" i="34" a="1"/>
  <c r="U2" i="34" s="1"/>
  <c r="T17" i="68" s="1"/>
  <c r="U2" i="31" a="1"/>
  <c r="U2" i="31" s="1"/>
  <c r="T16" i="68" s="1"/>
  <c r="U2" i="28" a="1"/>
  <c r="U2" i="28" s="1"/>
  <c r="T15" i="68" s="1"/>
  <c r="U2" i="25" a="1"/>
  <c r="U2" i="25" s="1"/>
  <c r="T14" i="68" s="1"/>
  <c r="U2" i="22" a="1"/>
  <c r="U2" i="22" s="1"/>
  <c r="T13" i="68" s="1"/>
  <c r="U2" i="19" a="1"/>
  <c r="U2" i="19" s="1"/>
  <c r="T12" i="68" s="1"/>
  <c r="U2" i="12" a="1"/>
  <c r="U2" i="12" s="1"/>
  <c r="D33" i="37" l="1"/>
  <c r="D40" i="37" s="1"/>
  <c r="T11" i="68"/>
  <c r="D8" i="61"/>
  <c r="D8" i="60"/>
  <c r="D42" i="37" l="1"/>
  <c r="D44" i="37"/>
  <c r="H17" i="6"/>
  <c r="D61" i="59"/>
  <c r="D60" i="59"/>
  <c r="D59" i="59"/>
  <c r="D55" i="59"/>
  <c r="D54" i="59"/>
  <c r="D53" i="59"/>
  <c r="D49" i="59"/>
  <c r="D48" i="59"/>
  <c r="D47" i="59"/>
  <c r="D43" i="59"/>
  <c r="D42" i="59"/>
  <c r="D41" i="59"/>
  <c r="D37" i="59"/>
  <c r="D36" i="59"/>
  <c r="D35" i="59"/>
  <c r="D30" i="59"/>
  <c r="D29" i="59"/>
  <c r="D28" i="59"/>
  <c r="D24" i="59"/>
  <c r="D23" i="59"/>
  <c r="D22" i="59"/>
  <c r="D18" i="59"/>
  <c r="D17" i="59"/>
  <c r="D16" i="59"/>
  <c r="D12" i="59"/>
  <c r="D11" i="59"/>
  <c r="D10" i="59"/>
  <c r="D6" i="59"/>
  <c r="D5" i="59"/>
  <c r="D4" i="59"/>
  <c r="H205" i="71"/>
  <c r="C67" i="71"/>
  <c r="I52" i="8" l="1"/>
  <c r="I230" i="122"/>
  <c r="Q21" i="12"/>
  <c r="J80" i="75" s="1"/>
  <c r="O21" i="12"/>
  <c r="K21" i="12"/>
  <c r="M21" i="12"/>
  <c r="E17" i="6"/>
  <c r="F230" i="122" s="1"/>
  <c r="H34" i="6"/>
  <c r="D124" i="11" s="1"/>
  <c r="C41" i="59"/>
  <c r="C48" i="59"/>
  <c r="C55" i="59"/>
  <c r="C35" i="59"/>
  <c r="C42" i="59"/>
  <c r="C49" i="59"/>
  <c r="C59" i="59"/>
  <c r="C36" i="59"/>
  <c r="C43" i="59"/>
  <c r="C53" i="59"/>
  <c r="C60" i="59"/>
  <c r="C37" i="59"/>
  <c r="C47" i="59"/>
  <c r="C54" i="59"/>
  <c r="C61" i="59"/>
  <c r="E28" i="73" l="1"/>
  <c r="H80" i="75"/>
  <c r="F80" i="75"/>
  <c r="E34" i="6"/>
  <c r="F52" i="8"/>
  <c r="H48" i="59"/>
  <c r="H55" i="59"/>
  <c r="H29" i="59"/>
  <c r="H43" i="59"/>
  <c r="H61" i="59"/>
  <c r="H53" i="59"/>
  <c r="H49" i="59"/>
  <c r="H59" i="59"/>
  <c r="H28" i="59"/>
  <c r="H30" i="59"/>
  <c r="H54" i="59"/>
  <c r="H42" i="59"/>
  <c r="H60" i="59"/>
  <c r="H41" i="59"/>
  <c r="H47" i="59"/>
  <c r="H22" i="59"/>
  <c r="H11" i="59"/>
  <c r="H16" i="59"/>
  <c r="H17" i="59"/>
  <c r="H18" i="59"/>
  <c r="H24" i="59"/>
  <c r="H23" i="59"/>
  <c r="H4" i="59"/>
  <c r="H12" i="59"/>
  <c r="H10" i="59"/>
  <c r="H216" i="71" l="1"/>
  <c r="H194" i="71"/>
  <c r="H183" i="71"/>
  <c r="H172" i="71"/>
  <c r="H161" i="71"/>
  <c r="C22" i="71"/>
  <c r="H122" i="5"/>
  <c r="G133" i="5" s="1"/>
  <c r="V17" i="68"/>
  <c r="V16" i="68"/>
  <c r="V15" i="68"/>
  <c r="V14" i="68"/>
  <c r="V13" i="68"/>
  <c r="C24" i="59" l="1"/>
  <c r="I24" i="59" s="1"/>
  <c r="C17" i="59"/>
  <c r="I17" i="59" s="1"/>
  <c r="C10" i="59"/>
  <c r="I10" i="59" s="1"/>
  <c r="C30" i="59"/>
  <c r="I30" i="59" s="1"/>
  <c r="C23" i="59"/>
  <c r="I23" i="59" s="1"/>
  <c r="C16" i="59"/>
  <c r="I16" i="59" s="1"/>
  <c r="C29" i="59"/>
  <c r="I29" i="59" s="1"/>
  <c r="C22" i="59"/>
  <c r="I22" i="59" s="1"/>
  <c r="C12" i="59"/>
  <c r="I12" i="59" s="1"/>
  <c r="C28" i="59"/>
  <c r="I28" i="59" s="1"/>
  <c r="C18" i="59"/>
  <c r="I18" i="59" s="1"/>
  <c r="C11" i="59"/>
  <c r="I11" i="59" s="1"/>
  <c r="C6" i="59"/>
  <c r="C5" i="59"/>
  <c r="C4" i="59"/>
  <c r="I4" i="59" s="1"/>
  <c r="G36" i="5"/>
  <c r="I55" i="59"/>
  <c r="I48" i="59"/>
  <c r="I41" i="59"/>
  <c r="I61" i="59"/>
  <c r="I54" i="59"/>
  <c r="I47" i="59"/>
  <c r="I60" i="59"/>
  <c r="I53" i="59"/>
  <c r="I43" i="59"/>
  <c r="I59" i="59"/>
  <c r="I49" i="59"/>
  <c r="I42" i="59"/>
  <c r="F81" i="69"/>
  <c r="A85" i="69" s="1"/>
  <c r="F85" i="69" s="1"/>
  <c r="G79" i="69"/>
  <c r="E72" i="69"/>
  <c r="C70" i="69"/>
  <c r="G57" i="69"/>
  <c r="E50" i="69"/>
  <c r="C48" i="69"/>
  <c r="F36" i="69"/>
  <c r="A40" i="69" s="1"/>
  <c r="G34" i="69"/>
  <c r="E27" i="69"/>
  <c r="C25" i="69"/>
  <c r="G12" i="69"/>
  <c r="E5" i="69"/>
  <c r="C3" i="69"/>
  <c r="F40" i="69" l="1"/>
  <c r="C42" i="69" s="1"/>
  <c r="C43" i="69" s="1"/>
  <c r="C87" i="69"/>
  <c r="C88" i="69" s="1"/>
  <c r="Q37" i="68"/>
  <c r="Q36" i="68"/>
  <c r="O37" i="68"/>
  <c r="O36" i="68"/>
  <c r="M37" i="68"/>
  <c r="M36" i="68"/>
  <c r="K37" i="68"/>
  <c r="K36" i="68"/>
  <c r="I37" i="68"/>
  <c r="G37" i="68"/>
  <c r="E37" i="68"/>
  <c r="C37" i="68"/>
  <c r="Q25" i="68"/>
  <c r="Q24" i="68"/>
  <c r="Q23" i="68"/>
  <c r="Q22" i="68"/>
  <c r="Q20" i="68"/>
  <c r="Q19" i="68"/>
  <c r="O25" i="68"/>
  <c r="O24" i="68"/>
  <c r="O23" i="68"/>
  <c r="O22" i="68"/>
  <c r="O20" i="68"/>
  <c r="O19" i="68"/>
  <c r="M25" i="68"/>
  <c r="M24" i="68"/>
  <c r="M23" i="68"/>
  <c r="M22" i="68"/>
  <c r="M20" i="68"/>
  <c r="M19" i="68"/>
  <c r="K25" i="68"/>
  <c r="K24" i="68"/>
  <c r="K23" i="68"/>
  <c r="K22" i="68"/>
  <c r="K20" i="68"/>
  <c r="K19" i="68"/>
  <c r="I25" i="68"/>
  <c r="I24" i="68"/>
  <c r="I23" i="68"/>
  <c r="I22" i="68"/>
  <c r="I20" i="68"/>
  <c r="I19" i="68"/>
  <c r="G25" i="68"/>
  <c r="G24" i="68"/>
  <c r="G23" i="68"/>
  <c r="G22" i="68"/>
  <c r="G20" i="68"/>
  <c r="G19" i="68"/>
  <c r="E25" i="68"/>
  <c r="E24" i="68"/>
  <c r="E23" i="68"/>
  <c r="E22" i="68"/>
  <c r="E20" i="68"/>
  <c r="E19" i="68"/>
  <c r="C20" i="68"/>
  <c r="C22" i="68"/>
  <c r="C23" i="68"/>
  <c r="C24" i="68"/>
  <c r="C25" i="68"/>
  <c r="C19" i="68"/>
  <c r="Q16" i="68"/>
  <c r="Q15" i="68"/>
  <c r="Q14" i="68"/>
  <c r="Q13" i="68"/>
  <c r="Q12" i="68"/>
  <c r="Q11" i="68"/>
  <c r="Q10" i="68"/>
  <c r="Q9" i="68"/>
  <c r="Q8" i="68"/>
  <c r="Q7" i="68"/>
  <c r="O16" i="68"/>
  <c r="O15" i="68"/>
  <c r="O14" i="68"/>
  <c r="O13" i="68"/>
  <c r="O12" i="68"/>
  <c r="O11" i="68"/>
  <c r="O10" i="68"/>
  <c r="O9" i="68"/>
  <c r="O8" i="68"/>
  <c r="O7" i="68"/>
  <c r="M16" i="68"/>
  <c r="M15" i="68"/>
  <c r="M14" i="68"/>
  <c r="M13" i="68"/>
  <c r="M12" i="68"/>
  <c r="M11" i="68"/>
  <c r="M10" i="68"/>
  <c r="M9" i="68"/>
  <c r="M8" i="68"/>
  <c r="M7" i="68"/>
  <c r="K16" i="68"/>
  <c r="K15" i="68"/>
  <c r="K14" i="68"/>
  <c r="K13" i="68"/>
  <c r="K12" i="68"/>
  <c r="K11" i="68"/>
  <c r="K10" i="68"/>
  <c r="K9" i="68"/>
  <c r="K8" i="68"/>
  <c r="K7" i="68"/>
  <c r="I16" i="68"/>
  <c r="I15" i="68"/>
  <c r="I14" i="68"/>
  <c r="I13" i="68"/>
  <c r="I12" i="68"/>
  <c r="I11" i="68"/>
  <c r="I10" i="68"/>
  <c r="G16" i="68"/>
  <c r="G15" i="68"/>
  <c r="G14" i="68"/>
  <c r="G13" i="68"/>
  <c r="G12" i="68"/>
  <c r="G11" i="68"/>
  <c r="G10" i="68"/>
  <c r="E16" i="68"/>
  <c r="E15" i="68"/>
  <c r="E14" i="68"/>
  <c r="E13" i="68"/>
  <c r="E12" i="68"/>
  <c r="E11" i="68"/>
  <c r="E10" i="68"/>
  <c r="C10" i="68"/>
  <c r="C11" i="68"/>
  <c r="C12" i="68"/>
  <c r="C13" i="68"/>
  <c r="C14" i="68"/>
  <c r="C15" i="68"/>
  <c r="C16" i="68"/>
  <c r="Q17" i="68" l="1"/>
  <c r="K17" i="68"/>
  <c r="O17" i="68"/>
  <c r="M17" i="68"/>
  <c r="O18" i="68"/>
  <c r="Q18" i="68"/>
  <c r="Q30" i="68" s="1"/>
  <c r="M18" i="68"/>
  <c r="K18" i="68"/>
  <c r="I18" i="68"/>
  <c r="G18" i="68"/>
  <c r="E18" i="68"/>
  <c r="C18" i="68"/>
  <c r="C3" i="68"/>
  <c r="O30" i="68" l="1"/>
  <c r="M30" i="68"/>
  <c r="K30" i="68"/>
  <c r="I5" i="19"/>
  <c r="I27" i="19" s="1"/>
  <c r="G5" i="19"/>
  <c r="G27" i="19" s="1"/>
  <c r="E5" i="19"/>
  <c r="E27" i="19" s="1"/>
  <c r="C5" i="19"/>
  <c r="C27" i="19" s="1"/>
  <c r="C3" i="19"/>
  <c r="AC6" i="19" s="1"/>
  <c r="V12" i="68"/>
  <c r="H37" i="59" l="1"/>
  <c r="H35" i="59"/>
  <c r="H36" i="59"/>
  <c r="H5" i="59"/>
  <c r="H6" i="59"/>
  <c r="I36" i="59" l="1"/>
  <c r="I37" i="59"/>
  <c r="I35" i="59"/>
  <c r="D7" i="61" s="1"/>
  <c r="G11" i="34" l="1"/>
  <c r="G18" i="34" s="1"/>
  <c r="E11" i="34"/>
  <c r="E18" i="34" s="1"/>
  <c r="C11" i="34"/>
  <c r="C18" i="34" s="1"/>
  <c r="G9" i="34"/>
  <c r="E9" i="34"/>
  <c r="C9" i="34"/>
  <c r="G8" i="34"/>
  <c r="E8" i="34"/>
  <c r="C8" i="34"/>
  <c r="I11" i="34"/>
  <c r="I18" i="34" s="1"/>
  <c r="I9" i="34"/>
  <c r="I8" i="34"/>
  <c r="A58" i="34"/>
  <c r="I11" i="31"/>
  <c r="I18" i="31" s="1"/>
  <c r="G11" i="31"/>
  <c r="G18" i="31" s="1"/>
  <c r="E11" i="31"/>
  <c r="E18" i="31" s="1"/>
  <c r="C11" i="31"/>
  <c r="C18" i="31" s="1"/>
  <c r="I9" i="31"/>
  <c r="G9" i="31"/>
  <c r="E9" i="31"/>
  <c r="C9" i="31"/>
  <c r="I8" i="31"/>
  <c r="G8" i="31"/>
  <c r="E8" i="31"/>
  <c r="C8" i="31"/>
  <c r="A58" i="31"/>
  <c r="G11" i="28"/>
  <c r="E11" i="28"/>
  <c r="E18" i="28" s="1"/>
  <c r="C11" i="28"/>
  <c r="C18" i="28" s="1"/>
  <c r="G9" i="28"/>
  <c r="E9" i="28"/>
  <c r="C9" i="28"/>
  <c r="G8" i="28"/>
  <c r="E8" i="28"/>
  <c r="C8" i="28"/>
  <c r="I11" i="28"/>
  <c r="I18" i="28" s="1"/>
  <c r="I9" i="28"/>
  <c r="I8" i="28"/>
  <c r="G18" i="28"/>
  <c r="A58" i="28"/>
  <c r="I11" i="25"/>
  <c r="I18" i="25" s="1"/>
  <c r="G11" i="25"/>
  <c r="G18" i="25" s="1"/>
  <c r="E11" i="25"/>
  <c r="E18" i="25" s="1"/>
  <c r="C11" i="25"/>
  <c r="C18" i="25" s="1"/>
  <c r="I9" i="25"/>
  <c r="G9" i="25"/>
  <c r="E9" i="25"/>
  <c r="C9" i="25"/>
  <c r="I8" i="25"/>
  <c r="G8" i="25"/>
  <c r="E8" i="25"/>
  <c r="C8" i="25"/>
  <c r="A58" i="25"/>
  <c r="I18" i="22"/>
  <c r="I9" i="22"/>
  <c r="I8" i="22"/>
  <c r="G11" i="22"/>
  <c r="G18" i="22" s="1"/>
  <c r="G9" i="22"/>
  <c r="G8" i="22"/>
  <c r="E11" i="22"/>
  <c r="E18" i="22" s="1"/>
  <c r="E9" i="22"/>
  <c r="E8" i="22"/>
  <c r="C11" i="22"/>
  <c r="C18" i="22" s="1"/>
  <c r="C9" i="22"/>
  <c r="C8" i="22"/>
  <c r="A58" i="22"/>
  <c r="I11" i="19"/>
  <c r="I18" i="19" s="1"/>
  <c r="I10" i="19"/>
  <c r="I9" i="19"/>
  <c r="I8" i="19"/>
  <c r="G11" i="19"/>
  <c r="G18" i="19" s="1"/>
  <c r="G10" i="19"/>
  <c r="G9" i="19"/>
  <c r="G8" i="19"/>
  <c r="E11" i="19"/>
  <c r="E18" i="19" s="1"/>
  <c r="E10" i="19"/>
  <c r="E9" i="19"/>
  <c r="E8" i="19"/>
  <c r="C11" i="19"/>
  <c r="C18" i="19" s="1"/>
  <c r="C10" i="19"/>
  <c r="C9" i="19"/>
  <c r="C8" i="19"/>
  <c r="A58" i="19"/>
  <c r="F4" i="20" l="1"/>
  <c r="E3" i="68"/>
  <c r="H4" i="20" l="1"/>
  <c r="E3" i="19"/>
  <c r="AC7" i="19" s="1"/>
  <c r="C24" i="73"/>
  <c r="I3" i="68" l="1"/>
  <c r="G3" i="68"/>
  <c r="J4" i="20"/>
  <c r="I3" i="19" s="1"/>
  <c r="AC9" i="19" s="1"/>
  <c r="G3" i="19"/>
  <c r="AC8" i="19" s="1"/>
  <c r="J52" i="6" l="1"/>
  <c r="K52" i="6" s="1"/>
  <c r="H50" i="6"/>
  <c r="J45" i="6"/>
  <c r="K45" i="6" s="1"/>
  <c r="J51" i="6"/>
  <c r="K51" i="6" s="1"/>
  <c r="J44" i="6"/>
  <c r="K44" i="6" s="1"/>
  <c r="J53" i="6"/>
  <c r="K53" i="6" s="1"/>
  <c r="J47" i="6"/>
  <c r="K47" i="6" s="1"/>
  <c r="J46" i="6"/>
  <c r="K46" i="6" s="1"/>
  <c r="J42" i="6"/>
  <c r="K42" i="6" s="1"/>
  <c r="J54" i="6"/>
  <c r="K54" i="6" s="1"/>
  <c r="J48" i="6"/>
  <c r="K48" i="6" s="1"/>
  <c r="J43" i="6"/>
  <c r="K43" i="6" s="1"/>
  <c r="J55" i="6"/>
  <c r="K55" i="6" s="1"/>
  <c r="J50" i="6"/>
  <c r="K50" i="6" s="1"/>
  <c r="J49" i="6"/>
  <c r="K49" i="6" s="1"/>
  <c r="C63" i="71"/>
  <c r="I67" i="71" s="1"/>
  <c r="I6" i="36"/>
  <c r="I5" i="36"/>
  <c r="I4" i="36"/>
  <c r="I3" i="36"/>
  <c r="G6" i="36"/>
  <c r="G5" i="36"/>
  <c r="G4" i="36"/>
  <c r="G3" i="36"/>
  <c r="E6" i="36"/>
  <c r="E5" i="36"/>
  <c r="E4" i="36"/>
  <c r="C5" i="36"/>
  <c r="C6" i="36"/>
  <c r="C4" i="36"/>
  <c r="C3" i="36"/>
  <c r="I6" i="33"/>
  <c r="I5" i="33"/>
  <c r="I4" i="33"/>
  <c r="I3" i="33"/>
  <c r="G6" i="33"/>
  <c r="G5" i="33"/>
  <c r="G4" i="33"/>
  <c r="G3" i="33"/>
  <c r="E6" i="33"/>
  <c r="E5" i="33"/>
  <c r="E4" i="33"/>
  <c r="C5" i="33"/>
  <c r="C6" i="33"/>
  <c r="C4" i="33"/>
  <c r="C3" i="33"/>
  <c r="I6" i="30"/>
  <c r="I5" i="30"/>
  <c r="I4" i="30"/>
  <c r="I3" i="30"/>
  <c r="G6" i="30"/>
  <c r="G5" i="30"/>
  <c r="G4" i="30"/>
  <c r="G3" i="30"/>
  <c r="E6" i="30"/>
  <c r="E5" i="30"/>
  <c r="E4" i="30"/>
  <c r="C5" i="30"/>
  <c r="C6" i="30"/>
  <c r="C4" i="30"/>
  <c r="C3" i="30"/>
  <c r="I6" i="24"/>
  <c r="I5" i="24"/>
  <c r="I4" i="24"/>
  <c r="I3" i="24"/>
  <c r="G6" i="24"/>
  <c r="G5" i="24"/>
  <c r="G4" i="24"/>
  <c r="G3" i="24"/>
  <c r="E6" i="24"/>
  <c r="E5" i="24"/>
  <c r="E4" i="24"/>
  <c r="C6" i="24"/>
  <c r="C5" i="24"/>
  <c r="C4" i="24"/>
  <c r="C3" i="24"/>
  <c r="I6" i="21"/>
  <c r="I5" i="21"/>
  <c r="I4" i="21"/>
  <c r="I3" i="21"/>
  <c r="G6" i="21"/>
  <c r="G5" i="21"/>
  <c r="G4" i="21"/>
  <c r="G3" i="21"/>
  <c r="E6" i="21"/>
  <c r="E5" i="21"/>
  <c r="E4" i="21"/>
  <c r="C6" i="21"/>
  <c r="C5" i="21"/>
  <c r="C4" i="21"/>
  <c r="C3" i="21"/>
  <c r="I57" i="8" l="1"/>
  <c r="I61" i="8" s="1"/>
  <c r="I235" i="122"/>
  <c r="I239" i="122" s="1"/>
  <c r="E62" i="8"/>
  <c r="H56" i="6"/>
  <c r="D123" i="11" s="1"/>
  <c r="E125" i="11" s="1"/>
  <c r="E50" i="6"/>
  <c r="R4" i="17"/>
  <c r="P4" i="17"/>
  <c r="N4" i="17"/>
  <c r="O11" i="12"/>
  <c r="O9" i="12"/>
  <c r="H68" i="75" s="1"/>
  <c r="L68" i="75" s="1"/>
  <c r="O8" i="12"/>
  <c r="H67" i="75" s="1"/>
  <c r="L67" i="75" s="1"/>
  <c r="M11" i="12"/>
  <c r="M9" i="12"/>
  <c r="M8" i="12"/>
  <c r="L4" i="17"/>
  <c r="F57" i="8" l="1"/>
  <c r="F61" i="8" s="1"/>
  <c r="F62" i="8" s="1"/>
  <c r="F235" i="122"/>
  <c r="F239" i="122" s="1"/>
  <c r="F240" i="122" s="1"/>
  <c r="I240" i="122" s="1"/>
  <c r="O18" i="12"/>
  <c r="H70" i="75"/>
  <c r="H76" i="75" s="1"/>
  <c r="H57" i="6"/>
  <c r="H59" i="6" s="1"/>
  <c r="E56" i="6"/>
  <c r="E57" i="6" s="1"/>
  <c r="E59" i="6"/>
  <c r="D126" i="11" s="1"/>
  <c r="H126" i="11" s="1"/>
  <c r="H127" i="11" s="1"/>
  <c r="H128" i="11" s="1"/>
  <c r="D141" i="11" l="1"/>
  <c r="D147" i="11" s="1"/>
  <c r="D152" i="11" s="1"/>
  <c r="C154" i="11" s="1"/>
  <c r="D125" i="11"/>
  <c r="E128" i="11" s="1"/>
  <c r="F66" i="6"/>
  <c r="F75" i="6" s="1"/>
  <c r="G66" i="6"/>
  <c r="D66" i="6"/>
  <c r="C111" i="11" s="1"/>
  <c r="D60" i="6"/>
  <c r="E60" i="6"/>
  <c r="G71" i="8" l="1"/>
  <c r="G249" i="122"/>
  <c r="G115" i="11"/>
  <c r="C113" i="11"/>
  <c r="C115" i="11" s="1"/>
  <c r="C116" i="11" s="1"/>
  <c r="G112" i="11"/>
  <c r="G111" i="11"/>
  <c r="K112" i="11"/>
  <c r="K111" i="11"/>
  <c r="D75" i="6"/>
  <c r="D33" i="59" s="1"/>
  <c r="D150" i="11"/>
  <c r="D153" i="11"/>
  <c r="J39" i="6"/>
  <c r="J19" i="6"/>
  <c r="K19" i="6" s="1"/>
  <c r="J20" i="6"/>
  <c r="K20" i="6" s="1"/>
  <c r="J34" i="6"/>
  <c r="H60" i="6"/>
  <c r="H131" i="11"/>
  <c r="H132" i="11" s="1"/>
  <c r="E71" i="8" l="1"/>
  <c r="E249" i="122"/>
  <c r="E66" i="6"/>
  <c r="D132" i="11"/>
  <c r="C133" i="11" s="1"/>
  <c r="B41" i="59"/>
  <c r="J41" i="59" s="1"/>
  <c r="B47" i="59"/>
  <c r="J47" i="59" s="1"/>
  <c r="B53" i="59"/>
  <c r="J53" i="59" s="1"/>
  <c r="B35" i="59"/>
  <c r="J35" i="59" s="1"/>
  <c r="B42" i="59"/>
  <c r="J42" i="59" s="1"/>
  <c r="B37" i="59"/>
  <c r="J37" i="59" s="1"/>
  <c r="B43" i="59"/>
  <c r="J43" i="59" s="1"/>
  <c r="B55" i="59"/>
  <c r="J55" i="59" s="1"/>
  <c r="B61" i="59"/>
  <c r="J61" i="59" s="1"/>
  <c r="B49" i="59"/>
  <c r="J49" i="59" s="1"/>
  <c r="B36" i="59"/>
  <c r="J36" i="59" s="1"/>
  <c r="B48" i="59"/>
  <c r="J48" i="59" s="1"/>
  <c r="B54" i="59"/>
  <c r="J54" i="59" s="1"/>
  <c r="B60" i="59"/>
  <c r="J60" i="59" s="1"/>
  <c r="B59" i="59"/>
  <c r="J59" i="59" s="1"/>
  <c r="E9" i="16"/>
  <c r="E75" i="6" l="1"/>
  <c r="H66" i="6"/>
  <c r="Q29" i="12"/>
  <c r="Q33" i="68" s="1"/>
  <c r="O29" i="12"/>
  <c r="O33" i="68" s="1"/>
  <c r="K29" i="12"/>
  <c r="K33" i="68" s="1"/>
  <c r="I70" i="71"/>
  <c r="P20" i="6" s="1"/>
  <c r="M29" i="12"/>
  <c r="M33" i="68" s="1"/>
  <c r="F79" i="6"/>
  <c r="F80" i="6"/>
  <c r="F81" i="6"/>
  <c r="A61" i="36"/>
  <c r="A61" i="33"/>
  <c r="A61" i="30"/>
  <c r="A61" i="24"/>
  <c r="A61" i="21"/>
  <c r="F71" i="8" l="1"/>
  <c r="F249" i="122"/>
  <c r="F83" i="6"/>
  <c r="G69" i="6" s="1"/>
  <c r="K86" i="6"/>
  <c r="F14" i="5"/>
  <c r="F34" i="5"/>
  <c r="G39" i="5"/>
  <c r="F39" i="5"/>
  <c r="E39" i="5"/>
  <c r="D39" i="5"/>
  <c r="G56" i="5"/>
  <c r="F56" i="5"/>
  <c r="H65" i="8" l="1"/>
  <c r="H243" i="122"/>
  <c r="F84" i="6"/>
  <c r="G74" i="6"/>
  <c r="H69" i="6"/>
  <c r="I243" i="122" s="1"/>
  <c r="G75" i="6"/>
  <c r="G57" i="5"/>
  <c r="F57" i="5"/>
  <c r="H70" i="8" l="1"/>
  <c r="H248" i="122"/>
  <c r="H71" i="8"/>
  <c r="H249" i="122"/>
  <c r="H74" i="6"/>
  <c r="I248" i="122" s="1"/>
  <c r="I65" i="8"/>
  <c r="H75" i="6" l="1"/>
  <c r="I249" i="122" s="1"/>
  <c r="I70" i="8"/>
  <c r="I71" i="8" l="1"/>
  <c r="G76" i="6"/>
  <c r="D76" i="6"/>
  <c r="E250" i="122" s="1"/>
  <c r="E76" i="6"/>
  <c r="F76" i="6"/>
  <c r="H39" i="5"/>
  <c r="P5" i="17"/>
  <c r="B66" i="35"/>
  <c r="B66" i="32"/>
  <c r="B66" i="29"/>
  <c r="B66" i="26"/>
  <c r="B66" i="23"/>
  <c r="B66" i="20"/>
  <c r="B66" i="13"/>
  <c r="F72" i="8" l="1"/>
  <c r="F250" i="122"/>
  <c r="G72" i="8"/>
  <c r="G250" i="122"/>
  <c r="H72" i="8"/>
  <c r="H250" i="122"/>
  <c r="E72" i="8"/>
  <c r="H76" i="6"/>
  <c r="D51" i="5"/>
  <c r="E22" i="8" s="1"/>
  <c r="I22" i="8"/>
  <c r="E3" i="36"/>
  <c r="E3" i="33"/>
  <c r="E3" i="30"/>
  <c r="E3" i="24"/>
  <c r="I72" i="8" l="1"/>
  <c r="I250" i="122"/>
  <c r="E3" i="21"/>
  <c r="J58" i="20"/>
  <c r="H58" i="20"/>
  <c r="F58" i="20"/>
  <c r="D58" i="20"/>
  <c r="J50" i="20"/>
  <c r="H50" i="20"/>
  <c r="F50" i="20"/>
  <c r="D50" i="20"/>
  <c r="M19" i="20"/>
  <c r="J19" i="20"/>
  <c r="H19" i="20"/>
  <c r="F19" i="20"/>
  <c r="D19" i="20"/>
  <c r="J18" i="20"/>
  <c r="K63" i="20" s="1"/>
  <c r="H18" i="20"/>
  <c r="I61" i="20" s="1"/>
  <c r="F18" i="20"/>
  <c r="G61" i="20" s="1"/>
  <c r="D18" i="20"/>
  <c r="E63" i="20" s="1"/>
  <c r="J17" i="20"/>
  <c r="H17" i="20"/>
  <c r="F17" i="20"/>
  <c r="D17" i="20"/>
  <c r="J14" i="20"/>
  <c r="H14" i="20"/>
  <c r="F14" i="20"/>
  <c r="D14" i="20"/>
  <c r="J11" i="20"/>
  <c r="H11" i="20"/>
  <c r="F11" i="20"/>
  <c r="D11" i="20"/>
  <c r="S12" i="17"/>
  <c r="S11" i="17"/>
  <c r="H23" i="75" l="1"/>
  <c r="K16" i="20"/>
  <c r="I9" i="20"/>
  <c r="P6" i="17"/>
  <c r="P7" i="17" s="1"/>
  <c r="E11" i="20"/>
  <c r="E14" i="20"/>
  <c r="K38" i="20"/>
  <c r="K17" i="20"/>
  <c r="K19" i="20"/>
  <c r="K58" i="20"/>
  <c r="K15" i="20"/>
  <c r="K30" i="20"/>
  <c r="K46" i="20"/>
  <c r="K18" i="20"/>
  <c r="K32" i="20"/>
  <c r="K48" i="20"/>
  <c r="K40" i="20"/>
  <c r="K61" i="20"/>
  <c r="I13" i="20"/>
  <c r="K26" i="20"/>
  <c r="K34" i="20"/>
  <c r="K42" i="20"/>
  <c r="E54" i="20"/>
  <c r="K28" i="20"/>
  <c r="K36" i="20"/>
  <c r="K44" i="20"/>
  <c r="E56" i="20"/>
  <c r="C7" i="34"/>
  <c r="C17" i="34" s="1"/>
  <c r="I10" i="20"/>
  <c r="I12" i="20"/>
  <c r="G20" i="20"/>
  <c r="G9" i="20"/>
  <c r="I11" i="20"/>
  <c r="G13" i="20"/>
  <c r="G15" i="20"/>
  <c r="G18" i="20"/>
  <c r="E26" i="20"/>
  <c r="E30" i="20"/>
  <c r="E34" i="20"/>
  <c r="E38" i="20"/>
  <c r="E42" i="20"/>
  <c r="E46" i="20"/>
  <c r="K50" i="20"/>
  <c r="K56" i="20"/>
  <c r="G10" i="20"/>
  <c r="G12" i="20"/>
  <c r="I14" i="20"/>
  <c r="G16" i="20"/>
  <c r="G17" i="20"/>
  <c r="G19" i="20"/>
  <c r="E28" i="20"/>
  <c r="E32" i="20"/>
  <c r="E36" i="20"/>
  <c r="E40" i="20"/>
  <c r="E44" i="20"/>
  <c r="E48" i="20"/>
  <c r="K54" i="20"/>
  <c r="E61" i="20"/>
  <c r="I7" i="31"/>
  <c r="I17" i="31" s="1"/>
  <c r="C7" i="25"/>
  <c r="C17" i="25" s="1"/>
  <c r="I7" i="22"/>
  <c r="I17" i="22" s="1"/>
  <c r="H20" i="20"/>
  <c r="H60" i="20" s="1"/>
  <c r="H63" i="20" s="1"/>
  <c r="G7" i="19" s="1"/>
  <c r="G17" i="19" s="1"/>
  <c r="K9" i="20"/>
  <c r="K10" i="20"/>
  <c r="G11" i="20"/>
  <c r="K11" i="20"/>
  <c r="K12" i="20"/>
  <c r="K13" i="20"/>
  <c r="G14" i="20"/>
  <c r="K14" i="20"/>
  <c r="E16" i="20"/>
  <c r="E17" i="20"/>
  <c r="I17" i="20"/>
  <c r="E18" i="20"/>
  <c r="I18" i="20"/>
  <c r="E19" i="20"/>
  <c r="I19" i="20"/>
  <c r="D20" i="20"/>
  <c r="D52" i="20" s="1"/>
  <c r="J20" i="20"/>
  <c r="J60" i="20" s="1"/>
  <c r="J63" i="20" s="1"/>
  <c r="I7" i="19" s="1"/>
  <c r="I17" i="19" s="1"/>
  <c r="E27" i="20"/>
  <c r="E29" i="20"/>
  <c r="E31" i="20"/>
  <c r="E33" i="20"/>
  <c r="E35" i="20"/>
  <c r="E37" i="20"/>
  <c r="E39" i="20"/>
  <c r="E41" i="20"/>
  <c r="E43" i="20"/>
  <c r="E45" i="20"/>
  <c r="E47" i="20"/>
  <c r="E49" i="20"/>
  <c r="G50" i="20"/>
  <c r="G52" i="20"/>
  <c r="E55" i="20"/>
  <c r="E57" i="20"/>
  <c r="G58" i="20"/>
  <c r="G60" i="20"/>
  <c r="G63" i="20"/>
  <c r="E9" i="20"/>
  <c r="E10" i="20"/>
  <c r="E12" i="20"/>
  <c r="E13" i="20"/>
  <c r="E15" i="20"/>
  <c r="F20" i="20"/>
  <c r="F60" i="20" s="1"/>
  <c r="F63" i="20" s="1"/>
  <c r="E7" i="19" s="1"/>
  <c r="E17" i="19" s="1"/>
  <c r="K20" i="20"/>
  <c r="K27" i="20"/>
  <c r="K29" i="20"/>
  <c r="K31" i="20"/>
  <c r="K33" i="20"/>
  <c r="K35" i="20"/>
  <c r="K37" i="20"/>
  <c r="K39" i="20"/>
  <c r="K41" i="20"/>
  <c r="K43" i="20"/>
  <c r="K45" i="20"/>
  <c r="K47" i="20"/>
  <c r="K49" i="20"/>
  <c r="K52" i="20"/>
  <c r="K55" i="20"/>
  <c r="K57" i="20"/>
  <c r="K60" i="20"/>
  <c r="I15" i="20"/>
  <c r="I16" i="20"/>
  <c r="E20" i="20"/>
  <c r="I20" i="20"/>
  <c r="G26" i="20"/>
  <c r="G27" i="20"/>
  <c r="G28" i="20"/>
  <c r="G29" i="20"/>
  <c r="G30" i="20"/>
  <c r="G31" i="20"/>
  <c r="G32" i="20"/>
  <c r="G33" i="20"/>
  <c r="G34" i="20"/>
  <c r="G35" i="20"/>
  <c r="G36" i="20"/>
  <c r="G37" i="20"/>
  <c r="G38" i="20"/>
  <c r="G39" i="20"/>
  <c r="G40" i="20"/>
  <c r="G41" i="20"/>
  <c r="G42" i="20"/>
  <c r="G43" i="20"/>
  <c r="G44" i="20"/>
  <c r="G45" i="20"/>
  <c r="G46" i="20"/>
  <c r="G47" i="20"/>
  <c r="G48" i="20"/>
  <c r="G49" i="20"/>
  <c r="E50" i="20"/>
  <c r="I50" i="20"/>
  <c r="E52" i="20"/>
  <c r="I52" i="20"/>
  <c r="G54" i="20"/>
  <c r="G55" i="20"/>
  <c r="G56" i="20"/>
  <c r="G57" i="20"/>
  <c r="E58" i="20"/>
  <c r="I58" i="20"/>
  <c r="E60" i="20"/>
  <c r="I60" i="20"/>
  <c r="I63" i="20"/>
  <c r="I26" i="20"/>
  <c r="I27" i="20"/>
  <c r="I28" i="20"/>
  <c r="I29" i="20"/>
  <c r="I30" i="20"/>
  <c r="I31" i="20"/>
  <c r="I32" i="20"/>
  <c r="I33" i="20"/>
  <c r="I34" i="20"/>
  <c r="I35" i="20"/>
  <c r="I36" i="20"/>
  <c r="I37" i="20"/>
  <c r="I38" i="20"/>
  <c r="I39" i="20"/>
  <c r="I40" i="20"/>
  <c r="I41" i="20"/>
  <c r="I42" i="20"/>
  <c r="I43" i="20"/>
  <c r="I44" i="20"/>
  <c r="I45" i="20"/>
  <c r="I46" i="20"/>
  <c r="I47" i="20"/>
  <c r="I48" i="20"/>
  <c r="I49" i="20"/>
  <c r="I54" i="20"/>
  <c r="I55" i="20"/>
  <c r="I56" i="20"/>
  <c r="I57" i="20"/>
  <c r="I23" i="75" l="1"/>
  <c r="O7" i="12"/>
  <c r="O17" i="12" s="1"/>
  <c r="P14" i="17" s="1"/>
  <c r="O17" i="19"/>
  <c r="O17" i="22"/>
  <c r="E7" i="31"/>
  <c r="E17" i="31" s="1"/>
  <c r="D60" i="20"/>
  <c r="D63" i="20" s="1"/>
  <c r="C7" i="19" s="1"/>
  <c r="C17" i="19" s="1"/>
  <c r="H52" i="20"/>
  <c r="E17" i="22"/>
  <c r="J52" i="20"/>
  <c r="G7" i="34"/>
  <c r="G17" i="34" s="1"/>
  <c r="G7" i="25"/>
  <c r="G17" i="25" s="1"/>
  <c r="F52" i="20"/>
  <c r="I7" i="34"/>
  <c r="I17" i="34" s="1"/>
  <c r="E7" i="34"/>
  <c r="E17" i="34" s="1"/>
  <c r="C7" i="31"/>
  <c r="C17" i="31" s="1"/>
  <c r="G7" i="31"/>
  <c r="G17" i="31" s="1"/>
  <c r="E7" i="28"/>
  <c r="E17" i="28" s="1"/>
  <c r="G7" i="28"/>
  <c r="G17" i="28" s="1"/>
  <c r="C7" i="28"/>
  <c r="C17" i="28" s="1"/>
  <c r="I7" i="28"/>
  <c r="I17" i="28" s="1"/>
  <c r="I7" i="25"/>
  <c r="I17" i="25" s="1"/>
  <c r="E7" i="25"/>
  <c r="E17" i="25" s="1"/>
  <c r="G7" i="22"/>
  <c r="G17" i="22" s="1"/>
  <c r="C17" i="22"/>
  <c r="Q11" i="12" l="1"/>
  <c r="M18" i="12"/>
  <c r="K11" i="12"/>
  <c r="I11" i="12"/>
  <c r="I18" i="12" s="1"/>
  <c r="G11" i="12"/>
  <c r="E11" i="12"/>
  <c r="E18" i="12" s="1"/>
  <c r="C11" i="12"/>
  <c r="C18" i="12" s="1"/>
  <c r="Q9" i="12"/>
  <c r="J68" i="75" s="1"/>
  <c r="K9" i="12"/>
  <c r="F68" i="75" s="1"/>
  <c r="I9" i="12"/>
  <c r="I9" i="68" s="1"/>
  <c r="G9" i="12"/>
  <c r="E9" i="12"/>
  <c r="E9" i="68" s="1"/>
  <c r="C9" i="12"/>
  <c r="C9" i="68" s="1"/>
  <c r="Q8" i="12"/>
  <c r="J67" i="75" s="1"/>
  <c r="K8" i="12"/>
  <c r="F67" i="75" s="1"/>
  <c r="I8" i="12"/>
  <c r="I8" i="68" s="1"/>
  <c r="G8" i="12"/>
  <c r="E8" i="12"/>
  <c r="C8" i="12"/>
  <c r="F6" i="80" s="1"/>
  <c r="D7" i="73" l="1"/>
  <c r="E7" i="73" s="1"/>
  <c r="F7" i="73" s="1"/>
  <c r="G7" i="73" s="1"/>
  <c r="H7" i="73" s="1"/>
  <c r="I7" i="73" s="1"/>
  <c r="J7" i="73" s="1"/>
  <c r="K7" i="73" s="1"/>
  <c r="L7" i="73" s="1"/>
  <c r="M7" i="73" s="1"/>
  <c r="K18" i="12"/>
  <c r="F70" i="75"/>
  <c r="F76" i="75" s="1"/>
  <c r="C8" i="68"/>
  <c r="E8" i="68"/>
  <c r="F7" i="80"/>
  <c r="G18" i="12"/>
  <c r="Q18" i="12"/>
  <c r="J77" i="75" s="1"/>
  <c r="J70" i="75"/>
  <c r="J76" i="75" s="1"/>
  <c r="G9" i="68"/>
  <c r="G8" i="68"/>
  <c r="F8" i="80"/>
  <c r="J85" i="75" l="1"/>
  <c r="F9" i="80"/>
  <c r="H77" i="75"/>
  <c r="H85" i="75" s="1"/>
  <c r="F77" i="75"/>
  <c r="F85" i="75" s="1"/>
  <c r="D76" i="75"/>
  <c r="I67" i="10"/>
  <c r="I69" i="10" s="1"/>
  <c r="I57" i="10"/>
  <c r="I59" i="10" s="1"/>
  <c r="I47" i="10"/>
  <c r="I49" i="10" s="1"/>
  <c r="B3" i="47" l="1"/>
  <c r="B3" i="44"/>
  <c r="B3" i="41"/>
  <c r="C38" i="38"/>
  <c r="F34" i="38"/>
  <c r="F33" i="38"/>
  <c r="F32" i="38"/>
  <c r="F31" i="38"/>
  <c r="F30" i="38"/>
  <c r="C22" i="38"/>
  <c r="F21" i="38"/>
  <c r="F20" i="38"/>
  <c r="F19" i="38"/>
  <c r="F18" i="38"/>
  <c r="F17" i="38"/>
  <c r="F16" i="38"/>
  <c r="F15" i="38"/>
  <c r="F14" i="38"/>
  <c r="F13" i="38"/>
  <c r="F12" i="38"/>
  <c r="F11" i="38"/>
  <c r="F10" i="38"/>
  <c r="F9" i="38"/>
  <c r="F8" i="38"/>
  <c r="C40" i="38" l="1"/>
  <c r="I82" i="10"/>
  <c r="K82" i="10" s="1"/>
  <c r="E82" i="10"/>
  <c r="I81" i="10"/>
  <c r="K81" i="10" s="1"/>
  <c r="E81" i="10"/>
  <c r="I80" i="10"/>
  <c r="K80" i="10" s="1"/>
  <c r="I79" i="10"/>
  <c r="K79" i="10" s="1"/>
  <c r="I78" i="10"/>
  <c r="K78" i="10" s="1"/>
  <c r="I77" i="10"/>
  <c r="K77" i="10" s="1"/>
  <c r="E77" i="10"/>
  <c r="I76" i="10"/>
  <c r="K76" i="10" s="1"/>
  <c r="I74" i="10"/>
  <c r="I37" i="10"/>
  <c r="I39" i="10" s="1"/>
  <c r="J109" i="10" l="1"/>
  <c r="K109" i="10"/>
  <c r="C112" i="10" s="1"/>
  <c r="K74" i="10"/>
  <c r="G88" i="10" s="1"/>
  <c r="J83" i="10"/>
  <c r="E79" i="10"/>
  <c r="G83" i="10"/>
  <c r="E78" i="10"/>
  <c r="E80" i="10"/>
  <c r="I75" i="10"/>
  <c r="K75" i="10" s="1"/>
  <c r="O26" i="12" l="1"/>
  <c r="C26" i="19"/>
  <c r="C26" i="22"/>
  <c r="I83" i="10"/>
  <c r="K83" i="10"/>
  <c r="C86" i="10" s="1"/>
  <c r="C38" i="22" l="1"/>
  <c r="C48" i="22"/>
  <c r="C53" i="22"/>
  <c r="C43" i="22"/>
  <c r="E26" i="19"/>
  <c r="C26" i="31"/>
  <c r="C26" i="28"/>
  <c r="C26" i="34"/>
  <c r="C26" i="25"/>
  <c r="E26" i="34"/>
  <c r="E26" i="31"/>
  <c r="E26" i="25"/>
  <c r="E26" i="28"/>
  <c r="E26" i="22" l="1"/>
  <c r="G26" i="19"/>
  <c r="G26" i="28"/>
  <c r="G26" i="34"/>
  <c r="G26" i="22"/>
  <c r="G26" i="25"/>
  <c r="G26" i="31"/>
  <c r="N5" i="17"/>
  <c r="G48" i="22" l="1"/>
  <c r="G38" i="22"/>
  <c r="G43" i="22"/>
  <c r="G53" i="22"/>
  <c r="E43" i="22"/>
  <c r="E38" i="22"/>
  <c r="E48" i="22"/>
  <c r="E53" i="22"/>
  <c r="I26" i="31"/>
  <c r="I26" i="28"/>
  <c r="I26" i="22"/>
  <c r="I26" i="25"/>
  <c r="I26" i="34"/>
  <c r="I26" i="19"/>
  <c r="I6" i="14"/>
  <c r="I5" i="14"/>
  <c r="I4" i="14"/>
  <c r="I5" i="68" s="1"/>
  <c r="I3" i="14"/>
  <c r="G6" i="14"/>
  <c r="G5" i="14"/>
  <c r="G4" i="14"/>
  <c r="G5" i="68" s="1"/>
  <c r="E6" i="14"/>
  <c r="E5" i="14"/>
  <c r="E4" i="14"/>
  <c r="E5" i="68" s="1"/>
  <c r="C5" i="14"/>
  <c r="C4" i="14"/>
  <c r="C5" i="68" s="1"/>
  <c r="C3" i="14"/>
  <c r="A61" i="16"/>
  <c r="N6" i="17"/>
  <c r="N7" i="17" s="1"/>
  <c r="P8" i="17" s="1"/>
  <c r="L69" i="17"/>
  <c r="L59" i="17"/>
  <c r="R5" i="17"/>
  <c r="L5" i="17"/>
  <c r="J5" i="17"/>
  <c r="H5" i="17"/>
  <c r="F5" i="17"/>
  <c r="D5" i="17"/>
  <c r="J4" i="17"/>
  <c r="D4" i="17"/>
  <c r="I29" i="68" l="1"/>
  <c r="I28" i="68"/>
  <c r="I27" i="68"/>
  <c r="I26" i="68"/>
  <c r="E26" i="73"/>
  <c r="I53" i="22"/>
  <c r="I48" i="22"/>
  <c r="I43" i="22"/>
  <c r="I38" i="22"/>
  <c r="O28" i="18"/>
  <c r="F23" i="75"/>
  <c r="G23" i="75" s="1"/>
  <c r="J23" i="75"/>
  <c r="E25" i="73"/>
  <c r="E41" i="73" s="1"/>
  <c r="E47" i="73" s="1"/>
  <c r="A58" i="12"/>
  <c r="V11" i="68"/>
  <c r="I33" i="16"/>
  <c r="I10" i="16"/>
  <c r="I20" i="16"/>
  <c r="I26" i="16"/>
  <c r="I34" i="16"/>
  <c r="I38" i="16"/>
  <c r="I44" i="16"/>
  <c r="I9" i="16"/>
  <c r="I19" i="16"/>
  <c r="I23" i="16"/>
  <c r="I43" i="16"/>
  <c r="I7" i="16"/>
  <c r="I11" i="16"/>
  <c r="I17" i="16"/>
  <c r="I21" i="16"/>
  <c r="I35" i="16"/>
  <c r="I41" i="16"/>
  <c r="I47" i="16"/>
  <c r="I54" i="16"/>
  <c r="I15" i="16"/>
  <c r="I52" i="16"/>
  <c r="I8" i="16"/>
  <c r="I12" i="16"/>
  <c r="I18" i="16"/>
  <c r="I22" i="16"/>
  <c r="I28" i="16"/>
  <c r="I36" i="16"/>
  <c r="I48" i="16"/>
  <c r="I55" i="16"/>
  <c r="O26" i="19"/>
  <c r="O26" i="22"/>
  <c r="R6" i="17"/>
  <c r="R7" i="17" s="1"/>
  <c r="L6" i="17"/>
  <c r="L7" i="17" s="1"/>
  <c r="N8" i="17" s="1"/>
  <c r="F4" i="17"/>
  <c r="P10" i="17"/>
  <c r="P9" i="17"/>
  <c r="P12" i="17"/>
  <c r="P11" i="17"/>
  <c r="D60" i="17"/>
  <c r="J60" i="17"/>
  <c r="B60" i="17"/>
  <c r="H60" i="17"/>
  <c r="F60" i="17"/>
  <c r="J70" i="17"/>
  <c r="B70" i="17"/>
  <c r="H70" i="17"/>
  <c r="F70" i="17"/>
  <c r="D70" i="17"/>
  <c r="L36" i="17"/>
  <c r="L35" i="17"/>
  <c r="E3" i="14"/>
  <c r="C49" i="16"/>
  <c r="C24" i="16"/>
  <c r="C39" i="16"/>
  <c r="C56" i="16"/>
  <c r="C29" i="16"/>
  <c r="C45" i="16"/>
  <c r="C13" i="16"/>
  <c r="L9" i="17"/>
  <c r="R9" i="17"/>
  <c r="N10" i="17"/>
  <c r="L11" i="17"/>
  <c r="R11" i="17"/>
  <c r="N12" i="17"/>
  <c r="N9" i="17"/>
  <c r="N11" i="17"/>
  <c r="R10" i="17"/>
  <c r="L37" i="17" l="1"/>
  <c r="K23" i="75"/>
  <c r="L23" i="75"/>
  <c r="M23" i="75" s="1"/>
  <c r="F86" i="75"/>
  <c r="D86" i="75"/>
  <c r="H86" i="75"/>
  <c r="O48" i="28"/>
  <c r="O38" i="28"/>
  <c r="O53" i="28"/>
  <c r="O43" i="28"/>
  <c r="O48" i="31"/>
  <c r="O38" i="31"/>
  <c r="O53" i="31"/>
  <c r="O43" i="31"/>
  <c r="O48" i="25"/>
  <c r="O38" i="25"/>
  <c r="O53" i="25"/>
  <c r="O43" i="25"/>
  <c r="O48" i="34"/>
  <c r="O38" i="34"/>
  <c r="O43" i="34"/>
  <c r="O53" i="34"/>
  <c r="O43" i="22"/>
  <c r="O48" i="22"/>
  <c r="O38" i="22"/>
  <c r="O53" i="22"/>
  <c r="Q27" i="12"/>
  <c r="O27" i="12"/>
  <c r="M27" i="12"/>
  <c r="K27" i="12"/>
  <c r="I13" i="16"/>
  <c r="I49" i="16"/>
  <c r="P13" i="17"/>
  <c r="L10" i="17"/>
  <c r="H4" i="17"/>
  <c r="G3" i="14"/>
  <c r="C5" i="16" s="1"/>
  <c r="C30" i="16"/>
  <c r="C50" i="16"/>
  <c r="C58" i="16" s="1"/>
  <c r="N13" i="17"/>
  <c r="S13" i="75" l="1"/>
  <c r="L49" i="75"/>
  <c r="R12" i="17"/>
  <c r="Q17" i="19"/>
  <c r="Q26" i="19" s="1"/>
  <c r="Q17" i="22"/>
  <c r="Q26" i="22" s="1"/>
  <c r="L12" i="17"/>
  <c r="C57" i="16"/>
  <c r="D58" i="16"/>
  <c r="D15" i="16"/>
  <c r="D7" i="16"/>
  <c r="D53" i="16"/>
  <c r="D9" i="16"/>
  <c r="D54" i="16"/>
  <c r="D52" i="16"/>
  <c r="D38" i="16"/>
  <c r="D13" i="16"/>
  <c r="D27" i="16"/>
  <c r="D44" i="16"/>
  <c r="D18" i="16"/>
  <c r="D24" i="16"/>
  <c r="D35" i="16"/>
  <c r="D11" i="16"/>
  <c r="D48" i="16"/>
  <c r="D16" i="16"/>
  <c r="D55" i="16"/>
  <c r="D20" i="16"/>
  <c r="D43" i="16"/>
  <c r="D10" i="16"/>
  <c r="D36" i="16"/>
  <c r="D12" i="16"/>
  <c r="D47" i="16"/>
  <c r="D21" i="16"/>
  <c r="D39" i="16"/>
  <c r="D33" i="16"/>
  <c r="D56" i="16"/>
  <c r="D37" i="16"/>
  <c r="D8" i="16"/>
  <c r="D42" i="16"/>
  <c r="D19" i="16"/>
  <c r="D26" i="16"/>
  <c r="D34" i="16"/>
  <c r="D45" i="16"/>
  <c r="D41" i="16"/>
  <c r="D17" i="16"/>
  <c r="C59" i="16"/>
  <c r="D22" i="16"/>
  <c r="D30" i="16"/>
  <c r="D28" i="16"/>
  <c r="D29" i="16"/>
  <c r="D23" i="16"/>
  <c r="D50" i="16"/>
  <c r="D49" i="16"/>
  <c r="L50" i="75" l="1"/>
  <c r="M50" i="75" s="1"/>
  <c r="M49" i="75"/>
  <c r="Q7" i="12"/>
  <c r="Q17" i="12" s="1"/>
  <c r="R14" i="17" s="1"/>
  <c r="Q38" i="25"/>
  <c r="Q53" i="25"/>
  <c r="Q43" i="25"/>
  <c r="Q48" i="25"/>
  <c r="Q38" i="34"/>
  <c r="Q53" i="34"/>
  <c r="Q43" i="34"/>
  <c r="Q48" i="34"/>
  <c r="Q38" i="28"/>
  <c r="Q53" i="28"/>
  <c r="Q48" i="28"/>
  <c r="Q43" i="28"/>
  <c r="Q53" i="22"/>
  <c r="Q48" i="22"/>
  <c r="Q43" i="22"/>
  <c r="Q38" i="22"/>
  <c r="Q38" i="31"/>
  <c r="Q43" i="31"/>
  <c r="Q53" i="31"/>
  <c r="Q48" i="31"/>
  <c r="K17" i="19"/>
  <c r="K26" i="19" s="1"/>
  <c r="K17" i="22"/>
  <c r="K26" i="22" s="1"/>
  <c r="M17" i="19"/>
  <c r="M26" i="19" s="1"/>
  <c r="M17" i="22"/>
  <c r="M26" i="22" s="1"/>
  <c r="M7" i="12"/>
  <c r="M17" i="12" s="1"/>
  <c r="Q26" i="12"/>
  <c r="K7" i="12"/>
  <c r="K17" i="12" s="1"/>
  <c r="L14" i="17" s="1"/>
  <c r="I5" i="12"/>
  <c r="I27" i="12" s="1"/>
  <c r="I3" i="12"/>
  <c r="G5" i="12"/>
  <c r="G3" i="12"/>
  <c r="E5" i="12"/>
  <c r="E3" i="12"/>
  <c r="C5" i="12"/>
  <c r="C27" i="12" s="1"/>
  <c r="C3" i="12"/>
  <c r="C6" i="14"/>
  <c r="A61" i="14"/>
  <c r="J29" i="17"/>
  <c r="H29" i="17"/>
  <c r="F29" i="17"/>
  <c r="D29" i="17"/>
  <c r="J28" i="17"/>
  <c r="H28" i="17"/>
  <c r="F28" i="17"/>
  <c r="D28" i="17"/>
  <c r="G57" i="14"/>
  <c r="H41" i="17" s="1"/>
  <c r="E57" i="14"/>
  <c r="F41" i="17" s="1"/>
  <c r="C57" i="14"/>
  <c r="I50" i="14"/>
  <c r="G50" i="14"/>
  <c r="E50" i="14"/>
  <c r="C50" i="14"/>
  <c r="I46" i="14"/>
  <c r="G46" i="14"/>
  <c r="E46" i="14"/>
  <c r="C46" i="14"/>
  <c r="I40" i="14"/>
  <c r="G40" i="14"/>
  <c r="E40" i="14"/>
  <c r="C40" i="14"/>
  <c r="I30" i="14"/>
  <c r="G30" i="14"/>
  <c r="E30" i="14"/>
  <c r="C30" i="14"/>
  <c r="G25" i="14"/>
  <c r="E25" i="14"/>
  <c r="C25" i="14"/>
  <c r="I25" i="14"/>
  <c r="I14" i="14"/>
  <c r="J38" i="17" s="1"/>
  <c r="G14" i="14"/>
  <c r="E14" i="14"/>
  <c r="F38" i="17" s="1"/>
  <c r="C14" i="14"/>
  <c r="D38" i="17" s="1"/>
  <c r="J58" i="13"/>
  <c r="H58" i="13"/>
  <c r="F58" i="13"/>
  <c r="D58" i="13"/>
  <c r="F50" i="13"/>
  <c r="J50" i="13"/>
  <c r="J19" i="13"/>
  <c r="H19" i="13"/>
  <c r="F19" i="13"/>
  <c r="D19" i="13"/>
  <c r="J18" i="13"/>
  <c r="K60" i="13" s="1"/>
  <c r="J12" i="17" s="1"/>
  <c r="H18" i="13"/>
  <c r="F18" i="13"/>
  <c r="G58" i="13" s="1"/>
  <c r="D18" i="13"/>
  <c r="J17" i="13"/>
  <c r="H17" i="13"/>
  <c r="F17" i="13"/>
  <c r="D17" i="13"/>
  <c r="J14" i="13"/>
  <c r="H14" i="13"/>
  <c r="F14" i="13"/>
  <c r="D14" i="13"/>
  <c r="H11" i="13"/>
  <c r="F11" i="13"/>
  <c r="M53" i="22" l="1"/>
  <c r="M48" i="22"/>
  <c r="M38" i="22"/>
  <c r="M43" i="22"/>
  <c r="M38" i="28"/>
  <c r="M53" i="28"/>
  <c r="M43" i="28"/>
  <c r="M48" i="28"/>
  <c r="M38" i="31"/>
  <c r="M43" i="31"/>
  <c r="M53" i="31"/>
  <c r="M48" i="31"/>
  <c r="M38" i="25"/>
  <c r="M43" i="25"/>
  <c r="M48" i="25"/>
  <c r="M53" i="25"/>
  <c r="M38" i="34"/>
  <c r="M43" i="34"/>
  <c r="M48" i="34"/>
  <c r="M53" i="34"/>
  <c r="K53" i="31"/>
  <c r="K48" i="31"/>
  <c r="K43" i="31"/>
  <c r="K38" i="31"/>
  <c r="K53" i="28"/>
  <c r="K48" i="28"/>
  <c r="K43" i="28"/>
  <c r="K38" i="28"/>
  <c r="K53" i="25"/>
  <c r="K48" i="25"/>
  <c r="K43" i="25"/>
  <c r="K38" i="25"/>
  <c r="K53" i="22"/>
  <c r="K38" i="22"/>
  <c r="K43" i="22"/>
  <c r="K48" i="22"/>
  <c r="K53" i="34"/>
  <c r="K48" i="34"/>
  <c r="K43" i="34"/>
  <c r="K38" i="34"/>
  <c r="G21" i="12"/>
  <c r="G27" i="12"/>
  <c r="E21" i="12"/>
  <c r="E27" i="12"/>
  <c r="C21" i="12"/>
  <c r="B8" i="73" s="1"/>
  <c r="C8" i="73" s="1"/>
  <c r="I32" i="13"/>
  <c r="L24" i="73"/>
  <c r="L33" i="73" s="1"/>
  <c r="C25" i="73"/>
  <c r="C41" i="73" s="1"/>
  <c r="C47" i="73" s="1"/>
  <c r="L26" i="73"/>
  <c r="L35" i="73" s="1"/>
  <c r="L25" i="73"/>
  <c r="L34" i="73" s="1"/>
  <c r="I40" i="12"/>
  <c r="I32" i="12"/>
  <c r="I50" i="12"/>
  <c r="I45" i="12"/>
  <c r="I55" i="12"/>
  <c r="I21" i="12"/>
  <c r="D80" i="75" s="1"/>
  <c r="G45" i="12"/>
  <c r="G32" i="12"/>
  <c r="G55" i="12"/>
  <c r="G50" i="12"/>
  <c r="G40" i="12"/>
  <c r="E40" i="12"/>
  <c r="E50" i="12"/>
  <c r="E32" i="12"/>
  <c r="E45" i="12"/>
  <c r="E55" i="12"/>
  <c r="C55" i="12"/>
  <c r="C32" i="12"/>
  <c r="C45" i="12"/>
  <c r="C50" i="12"/>
  <c r="C40" i="12"/>
  <c r="C29" i="12"/>
  <c r="G29" i="12"/>
  <c r="I29" i="12"/>
  <c r="E29" i="12"/>
  <c r="D41" i="17"/>
  <c r="G31" i="14"/>
  <c r="H36" i="14" s="1"/>
  <c r="H38" i="17"/>
  <c r="C34" i="73" s="1"/>
  <c r="C36" i="73" s="1"/>
  <c r="H33" i="17"/>
  <c r="H32" i="17"/>
  <c r="I51" i="14"/>
  <c r="J33" i="17"/>
  <c r="J32" i="17"/>
  <c r="F32" i="17"/>
  <c r="F33" i="17"/>
  <c r="D33" i="17"/>
  <c r="D32" i="17"/>
  <c r="N14" i="17"/>
  <c r="M26" i="12"/>
  <c r="E13" i="13"/>
  <c r="I55" i="13"/>
  <c r="I40" i="13"/>
  <c r="E42" i="13"/>
  <c r="K35" i="13"/>
  <c r="E17" i="13"/>
  <c r="I13" i="13"/>
  <c r="E26" i="13"/>
  <c r="E30" i="13"/>
  <c r="I28" i="13"/>
  <c r="I49" i="13"/>
  <c r="K31" i="13"/>
  <c r="K54" i="13"/>
  <c r="I9" i="13"/>
  <c r="K17" i="13"/>
  <c r="E38" i="13"/>
  <c r="E56" i="13"/>
  <c r="I36" i="13"/>
  <c r="K39" i="13"/>
  <c r="K9" i="13"/>
  <c r="K58" i="13"/>
  <c r="E9" i="13"/>
  <c r="I17" i="13"/>
  <c r="K13" i="13"/>
  <c r="E34" i="13"/>
  <c r="K27" i="13"/>
  <c r="K48" i="13"/>
  <c r="F35" i="17"/>
  <c r="F36" i="17"/>
  <c r="G9" i="13"/>
  <c r="G13" i="13"/>
  <c r="G35" i="13"/>
  <c r="G56" i="13"/>
  <c r="G61" i="13"/>
  <c r="H34" i="17"/>
  <c r="H6" i="17"/>
  <c r="I43" i="13"/>
  <c r="I44" i="13"/>
  <c r="I45" i="13"/>
  <c r="I47" i="13"/>
  <c r="I46" i="13"/>
  <c r="H36" i="17"/>
  <c r="M25" i="73" s="1"/>
  <c r="H35" i="17"/>
  <c r="M26" i="73" s="1"/>
  <c r="E16" i="13"/>
  <c r="E12" i="13"/>
  <c r="G20" i="13"/>
  <c r="F10" i="17" s="1"/>
  <c r="G16" i="13"/>
  <c r="G12" i="13"/>
  <c r="I16" i="13"/>
  <c r="I12" i="13"/>
  <c r="K20" i="13"/>
  <c r="J10" i="17" s="1"/>
  <c r="K16" i="13"/>
  <c r="K12" i="13"/>
  <c r="E41" i="13"/>
  <c r="E37" i="13"/>
  <c r="E33" i="13"/>
  <c r="E29" i="13"/>
  <c r="E54" i="13"/>
  <c r="E55" i="13"/>
  <c r="G26" i="13"/>
  <c r="G42" i="13"/>
  <c r="G38" i="13"/>
  <c r="G34" i="13"/>
  <c r="G30" i="13"/>
  <c r="G52" i="13"/>
  <c r="G57" i="13"/>
  <c r="G63" i="13"/>
  <c r="I29" i="13"/>
  <c r="I33" i="13"/>
  <c r="I37" i="13"/>
  <c r="I41" i="13"/>
  <c r="I56" i="13"/>
  <c r="I61" i="13"/>
  <c r="K28" i="13"/>
  <c r="K32" i="13"/>
  <c r="K36" i="13"/>
  <c r="K40" i="13"/>
  <c r="K49" i="13"/>
  <c r="K55" i="13"/>
  <c r="G17" i="13"/>
  <c r="G48" i="13"/>
  <c r="G31" i="13"/>
  <c r="J20" i="13"/>
  <c r="J60" i="13" s="1"/>
  <c r="I64" i="14" s="1"/>
  <c r="K43" i="13"/>
  <c r="K44" i="13"/>
  <c r="K45" i="13"/>
  <c r="K46" i="13"/>
  <c r="K47" i="13"/>
  <c r="J6" i="17"/>
  <c r="J7" i="17" s="1"/>
  <c r="E19" i="13"/>
  <c r="D9" i="17" s="1"/>
  <c r="E15" i="13"/>
  <c r="E11" i="13"/>
  <c r="G19" i="13"/>
  <c r="F9" i="17" s="1"/>
  <c r="G15" i="13"/>
  <c r="G11" i="13"/>
  <c r="I19" i="13"/>
  <c r="H9" i="17" s="1"/>
  <c r="I15" i="13"/>
  <c r="I11" i="13"/>
  <c r="K19" i="13"/>
  <c r="J9" i="17" s="1"/>
  <c r="K15" i="13"/>
  <c r="K11" i="13"/>
  <c r="E49" i="13"/>
  <c r="E40" i="13"/>
  <c r="E36" i="13"/>
  <c r="E32" i="13"/>
  <c r="E28" i="13"/>
  <c r="E58" i="13"/>
  <c r="G50" i="13"/>
  <c r="G41" i="13"/>
  <c r="G37" i="13"/>
  <c r="G33" i="13"/>
  <c r="G29" i="13"/>
  <c r="G54" i="13"/>
  <c r="I26" i="13"/>
  <c r="I30" i="13"/>
  <c r="I34" i="13"/>
  <c r="I38" i="13"/>
  <c r="I42" i="13"/>
  <c r="I57" i="13"/>
  <c r="K29" i="13"/>
  <c r="K33" i="13"/>
  <c r="K37" i="13"/>
  <c r="K41" i="13"/>
  <c r="K50" i="13"/>
  <c r="K56" i="13"/>
  <c r="K61" i="13"/>
  <c r="F20" i="13"/>
  <c r="F60" i="13" s="1"/>
  <c r="E64" i="14" s="1"/>
  <c r="F34" i="17"/>
  <c r="F6" i="17"/>
  <c r="F7" i="17" s="1"/>
  <c r="H8" i="17" s="1"/>
  <c r="G43" i="13"/>
  <c r="G44" i="13"/>
  <c r="G45" i="13"/>
  <c r="G46" i="13"/>
  <c r="G47" i="13"/>
  <c r="G39" i="13"/>
  <c r="G27" i="13"/>
  <c r="D34" i="17"/>
  <c r="D6" i="17"/>
  <c r="D7" i="17" s="1"/>
  <c r="F8" i="17" s="1"/>
  <c r="E43" i="13"/>
  <c r="E44" i="13"/>
  <c r="E45" i="13"/>
  <c r="E46" i="13"/>
  <c r="E47" i="13"/>
  <c r="D35" i="17"/>
  <c r="D36" i="17"/>
  <c r="E18" i="13"/>
  <c r="E14" i="13"/>
  <c r="E10" i="13"/>
  <c r="G18" i="13"/>
  <c r="G14" i="13"/>
  <c r="G10" i="13"/>
  <c r="I18" i="13"/>
  <c r="I14" i="13"/>
  <c r="I10" i="13"/>
  <c r="K18" i="13"/>
  <c r="K14" i="13"/>
  <c r="K10" i="13"/>
  <c r="E48" i="13"/>
  <c r="E39" i="13"/>
  <c r="E35" i="13"/>
  <c r="E31" i="13"/>
  <c r="E27" i="13"/>
  <c r="E57" i="13"/>
  <c r="E61" i="13"/>
  <c r="G49" i="13"/>
  <c r="G40" i="13"/>
  <c r="G36" i="13"/>
  <c r="G32" i="13"/>
  <c r="G28" i="13"/>
  <c r="G55" i="13"/>
  <c r="G60" i="13"/>
  <c r="F12" i="17" s="1"/>
  <c r="I27" i="13"/>
  <c r="I31" i="13"/>
  <c r="I35" i="13"/>
  <c r="I39" i="13"/>
  <c r="I48" i="13"/>
  <c r="I54" i="13"/>
  <c r="I58" i="13"/>
  <c r="K26" i="13"/>
  <c r="K30" i="13"/>
  <c r="K34" i="13"/>
  <c r="K38" i="13"/>
  <c r="K42" i="13"/>
  <c r="K52" i="13"/>
  <c r="K57" i="13"/>
  <c r="K63" i="13"/>
  <c r="K26" i="12"/>
  <c r="H8" i="14"/>
  <c r="H50" i="14"/>
  <c r="H14" i="14"/>
  <c r="H19" i="14"/>
  <c r="H23" i="14"/>
  <c r="H38" i="14"/>
  <c r="H43" i="14"/>
  <c r="H53" i="14"/>
  <c r="H12" i="14"/>
  <c r="H25" i="14"/>
  <c r="H30" i="14"/>
  <c r="H55" i="14"/>
  <c r="H9" i="14"/>
  <c r="H18" i="14"/>
  <c r="H27" i="14"/>
  <c r="H31" i="14"/>
  <c r="H37" i="14"/>
  <c r="H46" i="14"/>
  <c r="H51" i="14"/>
  <c r="H56" i="14"/>
  <c r="H16" i="14"/>
  <c r="H20" i="14"/>
  <c r="H24" i="14"/>
  <c r="H35" i="14"/>
  <c r="H39" i="14"/>
  <c r="H44" i="14"/>
  <c r="H54" i="14"/>
  <c r="E31" i="14"/>
  <c r="I31" i="14"/>
  <c r="E51" i="14"/>
  <c r="I57" i="14"/>
  <c r="J41" i="17" s="1"/>
  <c r="C31" i="14"/>
  <c r="C51" i="14"/>
  <c r="G51" i="14"/>
  <c r="H20" i="13"/>
  <c r="I20" i="13" s="1"/>
  <c r="D20" i="13"/>
  <c r="E20" i="13" s="1"/>
  <c r="D10" i="17" s="1"/>
  <c r="D50" i="13"/>
  <c r="E50" i="13" s="1"/>
  <c r="H50" i="13"/>
  <c r="C26" i="73" s="1"/>
  <c r="J37" i="17" l="1"/>
  <c r="M24" i="73"/>
  <c r="H37" i="17"/>
  <c r="D37" i="17"/>
  <c r="F37" i="17"/>
  <c r="L36" i="73"/>
  <c r="I50" i="13"/>
  <c r="H11" i="17" s="1"/>
  <c r="M27" i="73"/>
  <c r="B9" i="73"/>
  <c r="S33" i="75"/>
  <c r="D85" i="75"/>
  <c r="C31" i="68"/>
  <c r="E33" i="68"/>
  <c r="C36" i="68"/>
  <c r="C28" i="73"/>
  <c r="G36" i="68"/>
  <c r="E31" i="68"/>
  <c r="I33" i="68"/>
  <c r="E36" i="68"/>
  <c r="I31" i="68"/>
  <c r="G33" i="68"/>
  <c r="I36" i="68"/>
  <c r="G31" i="68"/>
  <c r="C33" i="68"/>
  <c r="H10" i="17"/>
  <c r="H40" i="14"/>
  <c r="H57" i="14"/>
  <c r="H34" i="14"/>
  <c r="H13" i="14"/>
  <c r="H49" i="14"/>
  <c r="H29" i="14"/>
  <c r="H11" i="14"/>
  <c r="H42" i="14"/>
  <c r="H22" i="14"/>
  <c r="H45" i="14"/>
  <c r="H17" i="14"/>
  <c r="H48" i="14"/>
  <c r="H28" i="14"/>
  <c r="H10" i="14"/>
  <c r="H21" i="14"/>
  <c r="E58" i="14"/>
  <c r="F42" i="17" s="1"/>
  <c r="I58" i="14"/>
  <c r="J42" i="17" s="1"/>
  <c r="J59" i="14"/>
  <c r="J58" i="14"/>
  <c r="C58" i="14"/>
  <c r="D42" i="17" s="1"/>
  <c r="H59" i="14"/>
  <c r="G58" i="14"/>
  <c r="H42" i="17" s="1"/>
  <c r="R8" i="17"/>
  <c r="L8" i="17"/>
  <c r="R13" i="17"/>
  <c r="L13" i="17"/>
  <c r="F63" i="13"/>
  <c r="H13" i="17"/>
  <c r="D11" i="17"/>
  <c r="F11" i="17"/>
  <c r="J63" i="13"/>
  <c r="J11" i="17"/>
  <c r="F52" i="13"/>
  <c r="H7" i="17"/>
  <c r="J8" i="17" s="1"/>
  <c r="J52" i="13"/>
  <c r="J56" i="14"/>
  <c r="J51" i="14"/>
  <c r="J46" i="14"/>
  <c r="J42" i="14"/>
  <c r="J37" i="14"/>
  <c r="J31" i="14"/>
  <c r="J27" i="14"/>
  <c r="J22" i="14"/>
  <c r="J18" i="14"/>
  <c r="J13" i="14"/>
  <c r="J9" i="14"/>
  <c r="J55" i="14"/>
  <c r="J50" i="14"/>
  <c r="J45" i="14"/>
  <c r="J40" i="14"/>
  <c r="J36" i="14"/>
  <c r="J30" i="14"/>
  <c r="J25" i="14"/>
  <c r="J21" i="14"/>
  <c r="J17" i="14"/>
  <c r="J12" i="14"/>
  <c r="J8" i="14"/>
  <c r="J54" i="14"/>
  <c r="J49" i="14"/>
  <c r="J44" i="14"/>
  <c r="J39" i="14"/>
  <c r="J35" i="14"/>
  <c r="J29" i="14"/>
  <c r="J24" i="14"/>
  <c r="J20" i="14"/>
  <c r="J16" i="14"/>
  <c r="J11" i="14"/>
  <c r="J57" i="14"/>
  <c r="J53" i="14"/>
  <c r="J48" i="14"/>
  <c r="J43" i="14"/>
  <c r="J38" i="14"/>
  <c r="J34" i="14"/>
  <c r="J28" i="14"/>
  <c r="J23" i="14"/>
  <c r="J19" i="14"/>
  <c r="J14" i="14"/>
  <c r="J10" i="14"/>
  <c r="F56" i="14"/>
  <c r="F51" i="14"/>
  <c r="F46" i="14"/>
  <c r="F42" i="14"/>
  <c r="F37" i="14"/>
  <c r="F31" i="14"/>
  <c r="F27" i="14"/>
  <c r="F22" i="14"/>
  <c r="F18" i="14"/>
  <c r="F13" i="14"/>
  <c r="F9" i="14"/>
  <c r="F55" i="14"/>
  <c r="F50" i="14"/>
  <c r="F45" i="14"/>
  <c r="F40" i="14"/>
  <c r="F36" i="14"/>
  <c r="F30" i="14"/>
  <c r="F25" i="14"/>
  <c r="F21" i="14"/>
  <c r="F17" i="14"/>
  <c r="F12" i="14"/>
  <c r="F8" i="14"/>
  <c r="F59" i="14"/>
  <c r="F54" i="14"/>
  <c r="F49" i="14"/>
  <c r="F44" i="14"/>
  <c r="F39" i="14"/>
  <c r="F35" i="14"/>
  <c r="F29" i="14"/>
  <c r="F24" i="14"/>
  <c r="F20" i="14"/>
  <c r="F16" i="14"/>
  <c r="F11" i="14"/>
  <c r="F57" i="14"/>
  <c r="F53" i="14"/>
  <c r="F48" i="14"/>
  <c r="F43" i="14"/>
  <c r="F38" i="14"/>
  <c r="F34" i="14"/>
  <c r="F28" i="14"/>
  <c r="F23" i="14"/>
  <c r="F19" i="14"/>
  <c r="F14" i="14"/>
  <c r="F10" i="14"/>
  <c r="D54" i="14"/>
  <c r="D49" i="14"/>
  <c r="D44" i="14"/>
  <c r="D39" i="14"/>
  <c r="D35" i="14"/>
  <c r="D29" i="14"/>
  <c r="D24" i="14"/>
  <c r="D20" i="14"/>
  <c r="D16" i="14"/>
  <c r="D11" i="14"/>
  <c r="D55" i="14"/>
  <c r="D40" i="14"/>
  <c r="D25" i="14"/>
  <c r="D21" i="14"/>
  <c r="D8" i="14"/>
  <c r="D57" i="14"/>
  <c r="D53" i="14"/>
  <c r="D48" i="14"/>
  <c r="D43" i="14"/>
  <c r="D38" i="14"/>
  <c r="D34" i="14"/>
  <c r="D28" i="14"/>
  <c r="D23" i="14"/>
  <c r="D19" i="14"/>
  <c r="D14" i="14"/>
  <c r="D12" i="14"/>
  <c r="D50" i="14"/>
  <c r="D30" i="14"/>
  <c r="D10" i="14"/>
  <c r="D56" i="14"/>
  <c r="D51" i="14"/>
  <c r="D46" i="14"/>
  <c r="D42" i="14"/>
  <c r="D37" i="14"/>
  <c r="D31" i="14"/>
  <c r="D27" i="14"/>
  <c r="D22" i="14"/>
  <c r="D18" i="14"/>
  <c r="D9" i="14"/>
  <c r="D13" i="14"/>
  <c r="D45" i="14"/>
  <c r="D36" i="14"/>
  <c r="D17" i="14"/>
  <c r="G59" i="14"/>
  <c r="E59" i="14"/>
  <c r="I59" i="14"/>
  <c r="I60" i="14" s="1"/>
  <c r="C59" i="14"/>
  <c r="C60" i="14" s="1"/>
  <c r="D60" i="13"/>
  <c r="D52" i="13"/>
  <c r="E52" i="13" s="1"/>
  <c r="H60" i="13"/>
  <c r="H52" i="13"/>
  <c r="I52" i="13" s="1"/>
  <c r="G64" i="14" l="1"/>
  <c r="I60" i="13"/>
  <c r="H12" i="17" s="1"/>
  <c r="Q31" i="68"/>
  <c r="M31" i="68"/>
  <c r="O31" i="68"/>
  <c r="K31" i="68"/>
  <c r="D8" i="73"/>
  <c r="C9" i="73"/>
  <c r="E60" i="13"/>
  <c r="D12" i="17" s="1"/>
  <c r="C64" i="14"/>
  <c r="C76" i="14" s="1"/>
  <c r="D59" i="14"/>
  <c r="H63" i="13"/>
  <c r="I63" i="13" s="1"/>
  <c r="J13" i="17"/>
  <c r="D63" i="13"/>
  <c r="E63" i="13" s="1"/>
  <c r="F13" i="17"/>
  <c r="E7" i="12"/>
  <c r="D7" i="80" s="1"/>
  <c r="G60" i="14"/>
  <c r="E60" i="14"/>
  <c r="I7" i="12"/>
  <c r="D9" i="73" l="1"/>
  <c r="E8" i="73"/>
  <c r="E17" i="12"/>
  <c r="E7" i="68"/>
  <c r="E17" i="68" s="1"/>
  <c r="I17" i="12"/>
  <c r="I7" i="68"/>
  <c r="I17" i="68" s="1"/>
  <c r="I30" i="68" s="1"/>
  <c r="C77" i="14"/>
  <c r="E63" i="14"/>
  <c r="E76" i="14" s="1"/>
  <c r="G7" i="12"/>
  <c r="D8" i="80" s="1"/>
  <c r="C7" i="12"/>
  <c r="D6" i="80" s="1"/>
  <c r="F8" i="73" l="1"/>
  <c r="E9" i="73"/>
  <c r="G17" i="12"/>
  <c r="G7" i="68"/>
  <c r="G17" i="68" s="1"/>
  <c r="G30" i="68" s="1"/>
  <c r="C17" i="12"/>
  <c r="C7" i="68"/>
  <c r="C17" i="68" s="1"/>
  <c r="C30" i="68" s="1"/>
  <c r="G63" i="14"/>
  <c r="G76" i="14" s="1"/>
  <c r="E77" i="14"/>
  <c r="E26" i="12"/>
  <c r="F14" i="17"/>
  <c r="I26" i="12"/>
  <c r="J14" i="17"/>
  <c r="D9" i="80" l="1"/>
  <c r="G8" i="73"/>
  <c r="F9" i="73"/>
  <c r="G77" i="14"/>
  <c r="I63" i="14"/>
  <c r="C26" i="12"/>
  <c r="D14" i="17"/>
  <c r="G26" i="12"/>
  <c r="H14" i="17"/>
  <c r="H123" i="5"/>
  <c r="G129" i="5" s="1"/>
  <c r="D59" i="80" l="1"/>
  <c r="D16" i="80"/>
  <c r="D29" i="80"/>
  <c r="J29" i="80" s="1"/>
  <c r="D44" i="80"/>
  <c r="H44" i="80" s="1"/>
  <c r="D60" i="80"/>
  <c r="H59" i="80"/>
  <c r="F59" i="80"/>
  <c r="L59" i="80"/>
  <c r="J59" i="80"/>
  <c r="H8" i="73"/>
  <c r="G9" i="73"/>
  <c r="I76" i="14"/>
  <c r="I77" i="14" s="1"/>
  <c r="F59" i="69"/>
  <c r="A63" i="69" s="1"/>
  <c r="L44" i="80" l="1"/>
  <c r="J44" i="80"/>
  <c r="H29" i="80"/>
  <c r="D30" i="80"/>
  <c r="L30" i="80" s="1"/>
  <c r="L29" i="80"/>
  <c r="F29" i="80"/>
  <c r="F44" i="80"/>
  <c r="D45" i="80"/>
  <c r="H45" i="80" s="1"/>
  <c r="J60" i="80"/>
  <c r="F60" i="80"/>
  <c r="L60" i="80"/>
  <c r="H60" i="80"/>
  <c r="D61" i="80"/>
  <c r="H9" i="73"/>
  <c r="I8" i="73"/>
  <c r="H124" i="5"/>
  <c r="H126" i="5" s="1"/>
  <c r="F63" i="69"/>
  <c r="C65" i="69" s="1"/>
  <c r="C66" i="69" s="1"/>
  <c r="D46" i="80" l="1"/>
  <c r="D47" i="80" s="1"/>
  <c r="H30" i="80"/>
  <c r="J30" i="80"/>
  <c r="F30" i="80"/>
  <c r="F45" i="80"/>
  <c r="D31" i="80"/>
  <c r="J31" i="80" s="1"/>
  <c r="J45" i="80"/>
  <c r="L45" i="80"/>
  <c r="J46" i="80"/>
  <c r="H46" i="80"/>
  <c r="F46" i="80"/>
  <c r="L46" i="80"/>
  <c r="F61" i="80"/>
  <c r="D62" i="80"/>
  <c r="J61" i="80"/>
  <c r="L61" i="80"/>
  <c r="H61" i="80"/>
  <c r="J8" i="73"/>
  <c r="I9" i="73"/>
  <c r="D32" i="80" l="1"/>
  <c r="H32" i="80" s="1"/>
  <c r="H31" i="80"/>
  <c r="F31" i="80"/>
  <c r="L31" i="80"/>
  <c r="L62" i="80"/>
  <c r="H62" i="80"/>
  <c r="J62" i="80"/>
  <c r="D63" i="80"/>
  <c r="F62" i="80"/>
  <c r="D33" i="80"/>
  <c r="F32" i="80"/>
  <c r="J32" i="80"/>
  <c r="H47" i="80"/>
  <c r="D48" i="80"/>
  <c r="L47" i="80"/>
  <c r="F47" i="80"/>
  <c r="J47" i="80"/>
  <c r="J9" i="73"/>
  <c r="K8" i="73"/>
  <c r="I5" i="59"/>
  <c r="D7" i="60" s="1"/>
  <c r="I6" i="59"/>
  <c r="L32" i="80" l="1"/>
  <c r="L48" i="80"/>
  <c r="J48" i="80"/>
  <c r="F48" i="80"/>
  <c r="H48" i="80"/>
  <c r="D49" i="80"/>
  <c r="L33" i="80"/>
  <c r="J33" i="80"/>
  <c r="D34" i="80"/>
  <c r="H33" i="80"/>
  <c r="F33" i="80"/>
  <c r="D64" i="80"/>
  <c r="J63" i="80"/>
  <c r="F63" i="80"/>
  <c r="L63" i="80"/>
  <c r="H63" i="80"/>
  <c r="L8" i="73"/>
  <c r="K9" i="73"/>
  <c r="B58" i="6"/>
  <c r="C58" i="6"/>
  <c r="I58" i="6"/>
  <c r="H58" i="6"/>
  <c r="C19" i="61"/>
  <c r="H6" i="61"/>
  <c r="A19" i="61"/>
  <c r="A20" i="61" s="1"/>
  <c r="A21" i="61" s="1"/>
  <c r="A22" i="61" s="1"/>
  <c r="A23" i="61" s="1"/>
  <c r="A24" i="61" s="1"/>
  <c r="A25" i="61" s="1"/>
  <c r="A26" i="61" s="1"/>
  <c r="A27" i="61" s="1"/>
  <c r="A28" i="61" s="1"/>
  <c r="A29" i="61" s="1"/>
  <c r="A30" i="61" s="1"/>
  <c r="A31" i="61" s="1"/>
  <c r="A32" i="61" s="1"/>
  <c r="A33" i="61" s="1"/>
  <c r="A34" i="61" s="1"/>
  <c r="A35" i="61" s="1"/>
  <c r="A36" i="61" s="1"/>
  <c r="A37" i="61" s="1"/>
  <c r="A38" i="61" s="1"/>
  <c r="A39" i="61" s="1"/>
  <c r="A40" i="61" s="1"/>
  <c r="A41" i="61" s="1"/>
  <c r="A42" i="61" s="1"/>
  <c r="A43" i="61" s="1"/>
  <c r="A44" i="61" s="1"/>
  <c r="A45" i="61" s="1"/>
  <c r="A46" i="61" s="1"/>
  <c r="A47" i="61" s="1"/>
  <c r="A48" i="61" s="1"/>
  <c r="A49" i="61" s="1"/>
  <c r="A50" i="61" s="1"/>
  <c r="A51" i="61" s="1"/>
  <c r="A52" i="61" s="1"/>
  <c r="A53" i="61" s="1"/>
  <c r="A54" i="61" s="1"/>
  <c r="A55" i="61" s="1"/>
  <c r="A56" i="61" s="1"/>
  <c r="A57" i="61" s="1"/>
  <c r="A58" i="61" s="1"/>
  <c r="A59" i="61" s="1"/>
  <c r="A60" i="61" s="1"/>
  <c r="A61" i="61" s="1"/>
  <c r="A62" i="61" s="1"/>
  <c r="A63" i="61" s="1"/>
  <c r="A64" i="61" s="1"/>
  <c r="A65" i="61" s="1"/>
  <c r="A66" i="61" s="1"/>
  <c r="A67" i="61" s="1"/>
  <c r="A68" i="61" s="1"/>
  <c r="A69" i="61" s="1"/>
  <c r="A70" i="61" s="1"/>
  <c r="A71" i="61" s="1"/>
  <c r="A72" i="61" s="1"/>
  <c r="A73" i="61" s="1"/>
  <c r="A74" i="61" s="1"/>
  <c r="A75" i="61" s="1"/>
  <c r="A76" i="61" s="1"/>
  <c r="A77" i="61" s="1"/>
  <c r="A78" i="61" s="1"/>
  <c r="A79" i="61" s="1"/>
  <c r="A80" i="61" s="1"/>
  <c r="A81" i="61" s="1"/>
  <c r="A82" i="61" s="1"/>
  <c r="A83" i="61" s="1"/>
  <c r="A84" i="61" s="1"/>
  <c r="A85" i="61" s="1"/>
  <c r="A86" i="61" s="1"/>
  <c r="A87" i="61" s="1"/>
  <c r="A88" i="61" s="1"/>
  <c r="A89" i="61" s="1"/>
  <c r="A90" i="61" s="1"/>
  <c r="A91" i="61" s="1"/>
  <c r="A92" i="61" s="1"/>
  <c r="A93" i="61" s="1"/>
  <c r="A94" i="61" s="1"/>
  <c r="A95" i="61" s="1"/>
  <c r="A96" i="61" s="1"/>
  <c r="A97" i="61" s="1"/>
  <c r="A98" i="61" s="1"/>
  <c r="A99" i="61" s="1"/>
  <c r="A100" i="61" s="1"/>
  <c r="A101" i="61" s="1"/>
  <c r="A102" i="61" s="1"/>
  <c r="A103" i="61" s="1"/>
  <c r="A104" i="61" s="1"/>
  <c r="A105" i="61" s="1"/>
  <c r="A106" i="61" s="1"/>
  <c r="A107" i="61" s="1"/>
  <c r="A108" i="61" s="1"/>
  <c r="A109" i="61" s="1"/>
  <c r="A110" i="61" s="1"/>
  <c r="A111" i="61" s="1"/>
  <c r="A112" i="61" s="1"/>
  <c r="A113" i="61" s="1"/>
  <c r="A114" i="61" s="1"/>
  <c r="A115" i="61" s="1"/>
  <c r="A116" i="61" s="1"/>
  <c r="A117" i="61" s="1"/>
  <c r="A118" i="61" s="1"/>
  <c r="A119" i="61" s="1"/>
  <c r="A120" i="61" s="1"/>
  <c r="A121" i="61" s="1"/>
  <c r="A122" i="61" s="1"/>
  <c r="A123" i="61" s="1"/>
  <c r="A124" i="61" s="1"/>
  <c r="A125" i="61" s="1"/>
  <c r="A126" i="61" s="1"/>
  <c r="A127" i="61" s="1"/>
  <c r="A128" i="61" s="1"/>
  <c r="A129" i="61" s="1"/>
  <c r="A130" i="61" s="1"/>
  <c r="A131" i="61" s="1"/>
  <c r="A132" i="61" s="1"/>
  <c r="A133" i="61" s="1"/>
  <c r="A134" i="61" s="1"/>
  <c r="A135" i="61" s="1"/>
  <c r="A136" i="61" s="1"/>
  <c r="A137" i="61" s="1"/>
  <c r="A138" i="61" s="1"/>
  <c r="A139" i="61" s="1"/>
  <c r="A140" i="61" s="1"/>
  <c r="A141" i="61" s="1"/>
  <c r="A142" i="61" s="1"/>
  <c r="A143" i="61" s="1"/>
  <c r="A144" i="61" s="1"/>
  <c r="A145" i="61" s="1"/>
  <c r="A146" i="61" s="1"/>
  <c r="A147" i="61" s="1"/>
  <c r="A148" i="61" s="1"/>
  <c r="A149" i="61" s="1"/>
  <c r="A150" i="61" s="1"/>
  <c r="A151" i="61" s="1"/>
  <c r="A152" i="61" s="1"/>
  <c r="A153" i="61" s="1"/>
  <c r="A154" i="61" s="1"/>
  <c r="A155" i="61" s="1"/>
  <c r="A156" i="61" s="1"/>
  <c r="A157" i="61" s="1"/>
  <c r="A158" i="61" s="1"/>
  <c r="A159" i="61" s="1"/>
  <c r="A160" i="61" s="1"/>
  <c r="A161" i="61" s="1"/>
  <c r="A162" i="61" s="1"/>
  <c r="A163" i="61" s="1"/>
  <c r="A164" i="61" s="1"/>
  <c r="A165" i="61" s="1"/>
  <c r="A166" i="61" s="1"/>
  <c r="A167" i="61" s="1"/>
  <c r="A168" i="61" s="1"/>
  <c r="A169" i="61" s="1"/>
  <c r="A170" i="61" s="1"/>
  <c r="A171" i="61" s="1"/>
  <c r="A172" i="61" s="1"/>
  <c r="A173" i="61" s="1"/>
  <c r="A174" i="61" s="1"/>
  <c r="A175" i="61" s="1"/>
  <c r="A176" i="61" s="1"/>
  <c r="A177" i="61" s="1"/>
  <c r="A178" i="61" s="1"/>
  <c r="A179" i="61" s="1"/>
  <c r="A180" i="61" s="1"/>
  <c r="A181" i="61" s="1"/>
  <c r="A182" i="61" s="1"/>
  <c r="A183" i="61" s="1"/>
  <c r="A184" i="61" s="1"/>
  <c r="A185" i="61" s="1"/>
  <c r="A186" i="61" s="1"/>
  <c r="A187" i="61" s="1"/>
  <c r="A188" i="61" s="1"/>
  <c r="A189" i="61" s="1"/>
  <c r="A190" i="61" s="1"/>
  <c r="A191" i="61" s="1"/>
  <c r="A192" i="61" s="1"/>
  <c r="A193" i="61" s="1"/>
  <c r="A194" i="61" s="1"/>
  <c r="A195" i="61" s="1"/>
  <c r="A196" i="61" s="1"/>
  <c r="A197" i="61" s="1"/>
  <c r="A198" i="61" s="1"/>
  <c r="A199" i="61" s="1"/>
  <c r="A200" i="61" s="1"/>
  <c r="A201" i="61" s="1"/>
  <c r="A202" i="61" s="1"/>
  <c r="A203" i="61" s="1"/>
  <c r="A204" i="61" s="1"/>
  <c r="A205" i="61" s="1"/>
  <c r="A206" i="61" s="1"/>
  <c r="A207" i="61" s="1"/>
  <c r="A208" i="61" s="1"/>
  <c r="A209" i="61" s="1"/>
  <c r="A210" i="61" s="1"/>
  <c r="A211" i="61" s="1"/>
  <c r="A212" i="61" s="1"/>
  <c r="A213" i="61" s="1"/>
  <c r="A214" i="61" s="1"/>
  <c r="A215" i="61" s="1"/>
  <c r="A216" i="61" s="1"/>
  <c r="A217" i="61" s="1"/>
  <c r="A218" i="61" s="1"/>
  <c r="A219" i="61" s="1"/>
  <c r="A220" i="61" s="1"/>
  <c r="A221" i="61" s="1"/>
  <c r="A222" i="61" s="1"/>
  <c r="A223" i="61" s="1"/>
  <c r="A224" i="61" s="1"/>
  <c r="A225" i="61" s="1"/>
  <c r="A226" i="61" s="1"/>
  <c r="A227" i="61" s="1"/>
  <c r="A228" i="61" s="1"/>
  <c r="A229" i="61" s="1"/>
  <c r="A230" i="61" s="1"/>
  <c r="A231" i="61" s="1"/>
  <c r="A232" i="61" s="1"/>
  <c r="A233" i="61" s="1"/>
  <c r="A234" i="61" s="1"/>
  <c r="A235" i="61" s="1"/>
  <c r="A236" i="61" s="1"/>
  <c r="A237" i="61" s="1"/>
  <c r="A238" i="61" s="1"/>
  <c r="A239" i="61" s="1"/>
  <c r="A240" i="61" s="1"/>
  <c r="A241" i="61" s="1"/>
  <c r="A242" i="61" s="1"/>
  <c r="A243" i="61" s="1"/>
  <c r="A244" i="61" s="1"/>
  <c r="A245" i="61" s="1"/>
  <c r="A246" i="61" s="1"/>
  <c r="A247" i="61" s="1"/>
  <c r="A248" i="61" s="1"/>
  <c r="A249" i="61" s="1"/>
  <c r="A250" i="61" s="1"/>
  <c r="A251" i="61" s="1"/>
  <c r="A252" i="61" s="1"/>
  <c r="A253" i="61" s="1"/>
  <c r="A254" i="61" s="1"/>
  <c r="A255" i="61" s="1"/>
  <c r="A256" i="61" s="1"/>
  <c r="A257" i="61" s="1"/>
  <c r="A258" i="61" s="1"/>
  <c r="A259" i="61" s="1"/>
  <c r="A260" i="61" s="1"/>
  <c r="A261" i="61" s="1"/>
  <c r="A262" i="61" s="1"/>
  <c r="A263" i="61" s="1"/>
  <c r="A264" i="61" s="1"/>
  <c r="A265" i="61" s="1"/>
  <c r="A266" i="61" s="1"/>
  <c r="A267" i="61" s="1"/>
  <c r="A268" i="61" s="1"/>
  <c r="A269" i="61" s="1"/>
  <c r="A270" i="61" s="1"/>
  <c r="A271" i="61" s="1"/>
  <c r="A272" i="61" s="1"/>
  <c r="A273" i="61" s="1"/>
  <c r="A274" i="61" s="1"/>
  <c r="A275" i="61" s="1"/>
  <c r="A276" i="61" s="1"/>
  <c r="A277" i="61" s="1"/>
  <c r="A278" i="61" s="1"/>
  <c r="A279" i="61" s="1"/>
  <c r="A280" i="61" s="1"/>
  <c r="A281" i="61" s="1"/>
  <c r="A282" i="61" s="1"/>
  <c r="A283" i="61" s="1"/>
  <c r="A284" i="61" s="1"/>
  <c r="A285" i="61" s="1"/>
  <c r="A286" i="61" s="1"/>
  <c r="A287" i="61" s="1"/>
  <c r="A288" i="61" s="1"/>
  <c r="A289" i="61" s="1"/>
  <c r="A290" i="61" s="1"/>
  <c r="A291" i="61" s="1"/>
  <c r="A292" i="61" s="1"/>
  <c r="A293" i="61" s="1"/>
  <c r="A294" i="61" s="1"/>
  <c r="A295" i="61" s="1"/>
  <c r="A296" i="61" s="1"/>
  <c r="A297" i="61" s="1"/>
  <c r="A298" i="61" s="1"/>
  <c r="A299" i="61" s="1"/>
  <c r="A300" i="61" s="1"/>
  <c r="A301" i="61" s="1"/>
  <c r="A302" i="61" s="1"/>
  <c r="A303" i="61" s="1"/>
  <c r="A304" i="61" s="1"/>
  <c r="A305" i="61" s="1"/>
  <c r="A306" i="61" s="1"/>
  <c r="A307" i="61" s="1"/>
  <c r="A308" i="61" s="1"/>
  <c r="A309" i="61" s="1"/>
  <c r="A310" i="61" s="1"/>
  <c r="A311" i="61" s="1"/>
  <c r="A312" i="61" s="1"/>
  <c r="A313" i="61" s="1"/>
  <c r="A314" i="61" s="1"/>
  <c r="A315" i="61" s="1"/>
  <c r="A316" i="61" s="1"/>
  <c r="A317" i="61" s="1"/>
  <c r="A318" i="61" s="1"/>
  <c r="A319" i="61" s="1"/>
  <c r="A320" i="61" s="1"/>
  <c r="A321" i="61" s="1"/>
  <c r="A322" i="61" s="1"/>
  <c r="A323" i="61" s="1"/>
  <c r="A324" i="61" s="1"/>
  <c r="A325" i="61" s="1"/>
  <c r="A326" i="61" s="1"/>
  <c r="A327" i="61" s="1"/>
  <c r="A328" i="61" s="1"/>
  <c r="A329" i="61" s="1"/>
  <c r="A330" i="61" s="1"/>
  <c r="A331" i="61" s="1"/>
  <c r="A332" i="61" s="1"/>
  <c r="A333" i="61" s="1"/>
  <c r="A334" i="61" s="1"/>
  <c r="A335" i="61" s="1"/>
  <c r="A336" i="61" s="1"/>
  <c r="A337" i="61" s="1"/>
  <c r="A338" i="61" s="1"/>
  <c r="A339" i="61" s="1"/>
  <c r="A340" i="61" s="1"/>
  <c r="A341" i="61" s="1"/>
  <c r="A342" i="61" s="1"/>
  <c r="A343" i="61" s="1"/>
  <c r="A344" i="61" s="1"/>
  <c r="A345" i="61" s="1"/>
  <c r="A346" i="61" s="1"/>
  <c r="A347" i="61" s="1"/>
  <c r="A348" i="61" s="1"/>
  <c r="A349" i="61" s="1"/>
  <c r="A350" i="61" s="1"/>
  <c r="A351" i="61" s="1"/>
  <c r="A352" i="61" s="1"/>
  <c r="A353" i="61" s="1"/>
  <c r="A354" i="61" s="1"/>
  <c r="A355" i="61" s="1"/>
  <c r="A356" i="61" s="1"/>
  <c r="A357" i="61" s="1"/>
  <c r="A358" i="61" s="1"/>
  <c r="A359" i="61" s="1"/>
  <c r="A360" i="61" s="1"/>
  <c r="A361" i="61" s="1"/>
  <c r="A362" i="61" s="1"/>
  <c r="A363" i="61" s="1"/>
  <c r="A364" i="61" s="1"/>
  <c r="A365" i="61" s="1"/>
  <c r="A366" i="61" s="1"/>
  <c r="A367" i="61" s="1"/>
  <c r="A368" i="61" s="1"/>
  <c r="A369" i="61" s="1"/>
  <c r="A370" i="61" s="1"/>
  <c r="A371" i="61" s="1"/>
  <c r="A372" i="61" s="1"/>
  <c r="A373" i="61" s="1"/>
  <c r="A374" i="61" s="1"/>
  <c r="A375" i="61" s="1"/>
  <c r="A376" i="61" s="1"/>
  <c r="A377" i="61" s="1"/>
  <c r="A378" i="61" s="1"/>
  <c r="H7" i="61"/>
  <c r="L34" i="80" l="1"/>
  <c r="F34" i="80"/>
  <c r="J34" i="80"/>
  <c r="H34" i="80"/>
  <c r="D35" i="80"/>
  <c r="H64" i="80"/>
  <c r="F64" i="80"/>
  <c r="L64" i="80"/>
  <c r="D65" i="80"/>
  <c r="J64" i="80"/>
  <c r="L49" i="80"/>
  <c r="H49" i="80"/>
  <c r="J49" i="80"/>
  <c r="D50" i="80"/>
  <c r="F49" i="80"/>
  <c r="F90" i="75"/>
  <c r="H90" i="75"/>
  <c r="J90" i="75"/>
  <c r="D90" i="75"/>
  <c r="L9" i="73"/>
  <c r="M8" i="73"/>
  <c r="M9" i="73" s="1"/>
  <c r="Q31" i="12"/>
  <c r="Q35" i="68" s="1"/>
  <c r="K31" i="12"/>
  <c r="K35" i="68" s="1"/>
  <c r="M31" i="12"/>
  <c r="M35" i="68" s="1"/>
  <c r="G31" i="12"/>
  <c r="I31" i="12"/>
  <c r="E31" i="12"/>
  <c r="O31" i="12"/>
  <c r="O35" i="68" s="1"/>
  <c r="J37" i="6"/>
  <c r="K37" i="6" s="1"/>
  <c r="J38" i="6"/>
  <c r="K38" i="6" s="1"/>
  <c r="J30" i="6"/>
  <c r="K30" i="6" s="1"/>
  <c r="J23" i="6"/>
  <c r="K23" i="6" s="1"/>
  <c r="J18" i="6"/>
  <c r="K18" i="6" s="1"/>
  <c r="J33" i="6"/>
  <c r="K33" i="6" s="1"/>
  <c r="J32" i="6"/>
  <c r="K32" i="6" s="1"/>
  <c r="J27" i="6"/>
  <c r="K27" i="6" s="1"/>
  <c r="J24" i="6"/>
  <c r="K24" i="6" s="1"/>
  <c r="J28" i="6"/>
  <c r="K28" i="6" s="1"/>
  <c r="J25" i="6"/>
  <c r="K25" i="6" s="1"/>
  <c r="J21" i="6"/>
  <c r="K21" i="6" s="1"/>
  <c r="J29" i="6"/>
  <c r="K29" i="6" s="1"/>
  <c r="J26" i="6"/>
  <c r="K26" i="6" s="1"/>
  <c r="J22" i="6"/>
  <c r="K22" i="6" s="1"/>
  <c r="J17" i="6"/>
  <c r="C31" i="12"/>
  <c r="C61" i="6"/>
  <c r="B61" i="6"/>
  <c r="I61" i="6"/>
  <c r="H61" i="6"/>
  <c r="D258" i="61"/>
  <c r="B258" i="61"/>
  <c r="D82" i="61"/>
  <c r="B82" i="61"/>
  <c r="B180" i="61"/>
  <c r="D180" i="61"/>
  <c r="D324" i="61"/>
  <c r="B324" i="61"/>
  <c r="B189" i="61"/>
  <c r="D189" i="61"/>
  <c r="B166" i="61"/>
  <c r="D166" i="61"/>
  <c r="D184" i="61"/>
  <c r="B184" i="61"/>
  <c r="D265" i="61"/>
  <c r="B265" i="61"/>
  <c r="B60" i="61"/>
  <c r="D60" i="61"/>
  <c r="B250" i="61"/>
  <c r="D250" i="61"/>
  <c r="D268" i="61"/>
  <c r="B268" i="61"/>
  <c r="D132" i="61"/>
  <c r="B132" i="61"/>
  <c r="D62" i="61"/>
  <c r="B62" i="61"/>
  <c r="D318" i="61"/>
  <c r="B318" i="61"/>
  <c r="B336" i="61"/>
  <c r="D336" i="61"/>
  <c r="B323" i="61"/>
  <c r="D323" i="61"/>
  <c r="D109" i="61"/>
  <c r="B109" i="61"/>
  <c r="B279" i="61"/>
  <c r="D279" i="61"/>
  <c r="D47" i="61"/>
  <c r="B47" i="61"/>
  <c r="D203" i="61"/>
  <c r="B203" i="61"/>
  <c r="D36" i="61"/>
  <c r="B36" i="61"/>
  <c r="B159" i="61"/>
  <c r="D159" i="61"/>
  <c r="B148" i="61"/>
  <c r="D148" i="61"/>
  <c r="D194" i="61"/>
  <c r="B194" i="61"/>
  <c r="D210" i="61"/>
  <c r="B210" i="61"/>
  <c r="D92" i="61"/>
  <c r="B92" i="61"/>
  <c r="D114" i="61"/>
  <c r="B114" i="61"/>
  <c r="D273" i="61"/>
  <c r="B273" i="61"/>
  <c r="D157" i="61"/>
  <c r="B157" i="61"/>
  <c r="B118" i="61"/>
  <c r="D118" i="61"/>
  <c r="D310" i="61"/>
  <c r="B310" i="61"/>
  <c r="D200" i="61"/>
  <c r="B200" i="61"/>
  <c r="B130" i="61"/>
  <c r="D130" i="61"/>
  <c r="B217" i="61"/>
  <c r="D217" i="61"/>
  <c r="B274" i="61"/>
  <c r="D274" i="61"/>
  <c r="B135" i="61"/>
  <c r="D135" i="61"/>
  <c r="B212" i="61"/>
  <c r="D212" i="61"/>
  <c r="B113" i="61"/>
  <c r="D113" i="61"/>
  <c r="B228" i="61"/>
  <c r="D228" i="61"/>
  <c r="B325" i="61"/>
  <c r="D325" i="61"/>
  <c r="B98" i="61"/>
  <c r="D98" i="61"/>
  <c r="B354" i="61"/>
  <c r="D354" i="61"/>
  <c r="B281" i="61"/>
  <c r="D281" i="61"/>
  <c r="B71" i="61"/>
  <c r="D71" i="61"/>
  <c r="B242" i="61"/>
  <c r="D242" i="61"/>
  <c r="B260" i="61"/>
  <c r="D260" i="61"/>
  <c r="B337" i="61"/>
  <c r="D337" i="61"/>
  <c r="D209" i="61"/>
  <c r="B209" i="61"/>
  <c r="B349" i="61"/>
  <c r="D349" i="61"/>
  <c r="B221" i="61"/>
  <c r="D221" i="61"/>
  <c r="B108" i="61"/>
  <c r="D108" i="61"/>
  <c r="D26" i="61"/>
  <c r="B26" i="61"/>
  <c r="D86" i="61"/>
  <c r="B86" i="61"/>
  <c r="D150" i="61"/>
  <c r="B150" i="61"/>
  <c r="D214" i="61"/>
  <c r="B214" i="61"/>
  <c r="D278" i="61"/>
  <c r="B278" i="61"/>
  <c r="B342" i="61"/>
  <c r="D342" i="61"/>
  <c r="D168" i="61"/>
  <c r="B168" i="61"/>
  <c r="B232" i="61"/>
  <c r="D232" i="61"/>
  <c r="D296" i="61"/>
  <c r="B296" i="61"/>
  <c r="B360" i="61"/>
  <c r="D360" i="61"/>
  <c r="B297" i="61"/>
  <c r="D297" i="61"/>
  <c r="B169" i="61"/>
  <c r="D169" i="61"/>
  <c r="D309" i="61"/>
  <c r="B309" i="61"/>
  <c r="D181" i="61"/>
  <c r="B181" i="61"/>
  <c r="D81" i="61"/>
  <c r="B81" i="61"/>
  <c r="D42" i="61"/>
  <c r="B42" i="61"/>
  <c r="B106" i="61"/>
  <c r="D106" i="61"/>
  <c r="D170" i="61"/>
  <c r="B170" i="61"/>
  <c r="D234" i="61"/>
  <c r="B234" i="61"/>
  <c r="B298" i="61"/>
  <c r="D298" i="61"/>
  <c r="D362" i="61"/>
  <c r="B362" i="61"/>
  <c r="D188" i="61"/>
  <c r="B188" i="61"/>
  <c r="B252" i="61"/>
  <c r="D252" i="61"/>
  <c r="B316" i="61"/>
  <c r="D316" i="61"/>
  <c r="B375" i="61"/>
  <c r="D375" i="61"/>
  <c r="D289" i="61"/>
  <c r="B289" i="61"/>
  <c r="B161" i="61"/>
  <c r="D161" i="61"/>
  <c r="D301" i="61"/>
  <c r="B301" i="61"/>
  <c r="B173" i="61"/>
  <c r="D173" i="61"/>
  <c r="D76" i="61"/>
  <c r="B76" i="61"/>
  <c r="D46" i="61"/>
  <c r="B46" i="61"/>
  <c r="B110" i="61"/>
  <c r="D110" i="61"/>
  <c r="D174" i="61"/>
  <c r="B174" i="61"/>
  <c r="B238" i="61"/>
  <c r="D238" i="61"/>
  <c r="B302" i="61"/>
  <c r="D302" i="61"/>
  <c r="D366" i="61"/>
  <c r="B366" i="61"/>
  <c r="D192" i="61"/>
  <c r="B192" i="61"/>
  <c r="D256" i="61"/>
  <c r="B256" i="61"/>
  <c r="B320" i="61"/>
  <c r="D320" i="61"/>
  <c r="D371" i="61"/>
  <c r="B371" i="61"/>
  <c r="B64" i="61"/>
  <c r="D64" i="61"/>
  <c r="B133" i="61"/>
  <c r="D133" i="61"/>
  <c r="B291" i="61"/>
  <c r="D291" i="61"/>
  <c r="B21" i="61"/>
  <c r="D21" i="61"/>
  <c r="D45" i="61"/>
  <c r="B45" i="61"/>
  <c r="D73" i="61"/>
  <c r="B73" i="61"/>
  <c r="B101" i="61"/>
  <c r="D101" i="61"/>
  <c r="D136" i="61"/>
  <c r="B136" i="61"/>
  <c r="D199" i="61"/>
  <c r="B199" i="61"/>
  <c r="B263" i="61"/>
  <c r="D263" i="61"/>
  <c r="B327" i="61"/>
  <c r="D327" i="61"/>
  <c r="D57" i="61"/>
  <c r="B57" i="61"/>
  <c r="D211" i="61"/>
  <c r="B211" i="61"/>
  <c r="D40" i="61"/>
  <c r="B40" i="61"/>
  <c r="D68" i="61"/>
  <c r="B68" i="61"/>
  <c r="B96" i="61"/>
  <c r="D96" i="61"/>
  <c r="D128" i="61"/>
  <c r="B128" i="61"/>
  <c r="B187" i="61"/>
  <c r="D187" i="61"/>
  <c r="D251" i="61"/>
  <c r="B251" i="61"/>
  <c r="B315" i="61"/>
  <c r="D315" i="61"/>
  <c r="D20" i="61"/>
  <c r="B20" i="61"/>
  <c r="D100" i="61"/>
  <c r="B100" i="61"/>
  <c r="D243" i="61"/>
  <c r="B243" i="61"/>
  <c r="D23" i="61"/>
  <c r="B23" i="61"/>
  <c r="D24" i="61"/>
  <c r="B24" i="61"/>
  <c r="D48" i="61"/>
  <c r="B48" i="61"/>
  <c r="B77" i="61"/>
  <c r="D77" i="61"/>
  <c r="B105" i="61"/>
  <c r="D105" i="61"/>
  <c r="B143" i="61"/>
  <c r="D143" i="61"/>
  <c r="D207" i="61"/>
  <c r="B207" i="61"/>
  <c r="D271" i="61"/>
  <c r="B271" i="61"/>
  <c r="B335" i="61"/>
  <c r="D335" i="61"/>
  <c r="D164" i="61"/>
  <c r="B164" i="61"/>
  <c r="D356" i="61"/>
  <c r="B356" i="61"/>
  <c r="D153" i="61"/>
  <c r="B153" i="61"/>
  <c r="B305" i="61"/>
  <c r="D305" i="61"/>
  <c r="D87" i="61"/>
  <c r="B87" i="61"/>
  <c r="D294" i="61"/>
  <c r="B294" i="61"/>
  <c r="D312" i="61"/>
  <c r="B312" i="61"/>
  <c r="B137" i="61"/>
  <c r="D137" i="61"/>
  <c r="D58" i="61"/>
  <c r="B58" i="61"/>
  <c r="D140" i="61"/>
  <c r="B140" i="61"/>
  <c r="B332" i="61"/>
  <c r="D332" i="61"/>
  <c r="B269" i="61"/>
  <c r="D269" i="61"/>
  <c r="D126" i="61"/>
  <c r="B126" i="61"/>
  <c r="D144" i="61"/>
  <c r="B144" i="61"/>
  <c r="D27" i="61"/>
  <c r="B27" i="61"/>
  <c r="D151" i="61"/>
  <c r="B151" i="61"/>
  <c r="B85" i="61"/>
  <c r="D85" i="61"/>
  <c r="D104" i="61"/>
  <c r="B104" i="61"/>
  <c r="D331" i="61"/>
  <c r="B331" i="61"/>
  <c r="D307" i="61"/>
  <c r="B307" i="61"/>
  <c r="D33" i="61"/>
  <c r="B33" i="61"/>
  <c r="B29" i="61"/>
  <c r="D29" i="61"/>
  <c r="B112" i="61"/>
  <c r="D112" i="61"/>
  <c r="D223" i="61"/>
  <c r="B223" i="61"/>
  <c r="D287" i="61"/>
  <c r="B287" i="61"/>
  <c r="B351" i="61"/>
  <c r="D351" i="61"/>
  <c r="B249" i="61"/>
  <c r="D249" i="61"/>
  <c r="D66" i="61"/>
  <c r="B66" i="61"/>
  <c r="D197" i="61"/>
  <c r="B197" i="61"/>
  <c r="B50" i="61"/>
  <c r="D50" i="61"/>
  <c r="B177" i="61"/>
  <c r="D177" i="61"/>
  <c r="D38" i="61"/>
  <c r="B38" i="61"/>
  <c r="D230" i="61"/>
  <c r="B230" i="61"/>
  <c r="B248" i="61"/>
  <c r="D248" i="61"/>
  <c r="D277" i="61"/>
  <c r="B277" i="61"/>
  <c r="D122" i="61"/>
  <c r="B122" i="61"/>
  <c r="D314" i="61"/>
  <c r="B314" i="61"/>
  <c r="B377" i="61"/>
  <c r="D377" i="61"/>
  <c r="B141" i="61"/>
  <c r="D141" i="61"/>
  <c r="B190" i="61"/>
  <c r="D190" i="61"/>
  <c r="D208" i="61"/>
  <c r="B208" i="61"/>
  <c r="B79" i="61"/>
  <c r="D79" i="61"/>
  <c r="B52" i="61"/>
  <c r="D52" i="61"/>
  <c r="D215" i="61"/>
  <c r="B215" i="61"/>
  <c r="D275" i="61"/>
  <c r="B275" i="61"/>
  <c r="B139" i="61"/>
  <c r="D139" i="61"/>
  <c r="B84" i="61"/>
  <c r="D84" i="61"/>
  <c r="B261" i="61"/>
  <c r="D261" i="61"/>
  <c r="D292" i="61"/>
  <c r="B292" i="61"/>
  <c r="B244" i="61"/>
  <c r="D244" i="61"/>
  <c r="D370" i="61"/>
  <c r="B370" i="61"/>
  <c r="D145" i="61"/>
  <c r="B145" i="61"/>
  <c r="D65" i="61"/>
  <c r="B65" i="61"/>
  <c r="B182" i="61"/>
  <c r="D182" i="61"/>
  <c r="D374" i="61"/>
  <c r="B374" i="61"/>
  <c r="B264" i="61"/>
  <c r="D264" i="61"/>
  <c r="B328" i="61"/>
  <c r="D328" i="61"/>
  <c r="D361" i="61"/>
  <c r="B361" i="61"/>
  <c r="D233" i="61"/>
  <c r="B233" i="61"/>
  <c r="D373" i="61"/>
  <c r="B373" i="61"/>
  <c r="D245" i="61"/>
  <c r="B245" i="61"/>
  <c r="D124" i="61"/>
  <c r="B124" i="61"/>
  <c r="D39" i="61"/>
  <c r="B39" i="61"/>
  <c r="D74" i="61"/>
  <c r="B74" i="61"/>
  <c r="B138" i="61"/>
  <c r="D138" i="61"/>
  <c r="B202" i="61"/>
  <c r="D202" i="61"/>
  <c r="D266" i="61"/>
  <c r="B266" i="61"/>
  <c r="B330" i="61"/>
  <c r="D330" i="61"/>
  <c r="D156" i="61"/>
  <c r="B156" i="61"/>
  <c r="B220" i="61"/>
  <c r="D220" i="61"/>
  <c r="D284" i="61"/>
  <c r="B284" i="61"/>
  <c r="D348" i="61"/>
  <c r="B348" i="61"/>
  <c r="B353" i="61"/>
  <c r="D353" i="61"/>
  <c r="D225" i="61"/>
  <c r="B225" i="61"/>
  <c r="D365" i="61"/>
  <c r="B365" i="61"/>
  <c r="B237" i="61"/>
  <c r="D237" i="61"/>
  <c r="D119" i="61"/>
  <c r="B119" i="61"/>
  <c r="B34" i="61"/>
  <c r="D34" i="61"/>
  <c r="B78" i="61"/>
  <c r="D78" i="61"/>
  <c r="D142" i="61"/>
  <c r="B142" i="61"/>
  <c r="B206" i="61"/>
  <c r="D206" i="61"/>
  <c r="B270" i="61"/>
  <c r="D270" i="61"/>
  <c r="B334" i="61"/>
  <c r="D334" i="61"/>
  <c r="D160" i="61"/>
  <c r="B160" i="61"/>
  <c r="D224" i="61"/>
  <c r="B224" i="61"/>
  <c r="D288" i="61"/>
  <c r="B288" i="61"/>
  <c r="B352" i="61"/>
  <c r="D352" i="61"/>
  <c r="D25" i="61"/>
  <c r="B25" i="61"/>
  <c r="D93" i="61"/>
  <c r="B93" i="61"/>
  <c r="D227" i="61"/>
  <c r="B227" i="61"/>
  <c r="B355" i="61"/>
  <c r="D355" i="61"/>
  <c r="D32" i="61"/>
  <c r="B32" i="61"/>
  <c r="D59" i="61"/>
  <c r="B59" i="61"/>
  <c r="D88" i="61"/>
  <c r="B88" i="61"/>
  <c r="B116" i="61"/>
  <c r="D116" i="61"/>
  <c r="B167" i="61"/>
  <c r="D167" i="61"/>
  <c r="D231" i="61"/>
  <c r="B231" i="61"/>
  <c r="B295" i="61"/>
  <c r="D295" i="61"/>
  <c r="D359" i="61"/>
  <c r="B359" i="61"/>
  <c r="B107" i="61"/>
  <c r="D107" i="61"/>
  <c r="B53" i="61"/>
  <c r="D53" i="61"/>
  <c r="D83" i="61"/>
  <c r="B83" i="61"/>
  <c r="D111" i="61"/>
  <c r="B111" i="61"/>
  <c r="D155" i="61"/>
  <c r="B155" i="61"/>
  <c r="D219" i="61"/>
  <c r="B219" i="61"/>
  <c r="B283" i="61"/>
  <c r="D283" i="61"/>
  <c r="D347" i="61"/>
  <c r="B347" i="61"/>
  <c r="B51" i="61"/>
  <c r="D51" i="61"/>
  <c r="D163" i="61"/>
  <c r="B163" i="61"/>
  <c r="D339" i="61"/>
  <c r="B339" i="61"/>
  <c r="D35" i="61"/>
  <c r="B35" i="61"/>
  <c r="B63" i="61"/>
  <c r="D63" i="61"/>
  <c r="D91" i="61"/>
  <c r="B91" i="61"/>
  <c r="B120" i="61"/>
  <c r="D120" i="61"/>
  <c r="B175" i="61"/>
  <c r="D175" i="61"/>
  <c r="D239" i="61"/>
  <c r="B239" i="61"/>
  <c r="B303" i="61"/>
  <c r="D303" i="61"/>
  <c r="D367" i="61"/>
  <c r="B367" i="61"/>
  <c r="D229" i="61"/>
  <c r="B229" i="61"/>
  <c r="D340" i="61"/>
  <c r="B340" i="61"/>
  <c r="D162" i="61"/>
  <c r="B162" i="61"/>
  <c r="D306" i="61"/>
  <c r="B306" i="61"/>
  <c r="B317" i="61"/>
  <c r="D317" i="61"/>
  <c r="D102" i="61"/>
  <c r="B102" i="61"/>
  <c r="B358" i="61"/>
  <c r="D358" i="61"/>
  <c r="D378" i="61"/>
  <c r="B378" i="61"/>
  <c r="D149" i="61"/>
  <c r="B149" i="61"/>
  <c r="D186" i="61"/>
  <c r="B186" i="61"/>
  <c r="D204" i="61"/>
  <c r="B204" i="61"/>
  <c r="B257" i="61"/>
  <c r="D257" i="61"/>
  <c r="D55" i="61"/>
  <c r="B55" i="61"/>
  <c r="B254" i="61"/>
  <c r="D254" i="61"/>
  <c r="D272" i="61"/>
  <c r="B272" i="61"/>
  <c r="B179" i="61"/>
  <c r="D179" i="61"/>
  <c r="B80" i="61"/>
  <c r="D80" i="61"/>
  <c r="D343" i="61"/>
  <c r="B343" i="61"/>
  <c r="D75" i="61"/>
  <c r="B75" i="61"/>
  <c r="D267" i="61"/>
  <c r="B267" i="61"/>
  <c r="B123" i="61"/>
  <c r="D123" i="61"/>
  <c r="B56" i="61"/>
  <c r="D56" i="61"/>
  <c r="D30" i="61"/>
  <c r="B30" i="61"/>
  <c r="B345" i="61"/>
  <c r="D345" i="61"/>
  <c r="D313" i="61"/>
  <c r="B313" i="61"/>
  <c r="B226" i="61"/>
  <c r="D226" i="61"/>
  <c r="B293" i="61"/>
  <c r="D293" i="61"/>
  <c r="D372" i="61"/>
  <c r="B372" i="61"/>
  <c r="B285" i="61"/>
  <c r="D285" i="61"/>
  <c r="D54" i="61"/>
  <c r="B54" i="61"/>
  <c r="D246" i="61"/>
  <c r="B246" i="61"/>
  <c r="B49" i="61"/>
  <c r="D49" i="61"/>
  <c r="D276" i="61"/>
  <c r="B276" i="61"/>
  <c r="B146" i="61"/>
  <c r="D146" i="61"/>
  <c r="B127" i="61"/>
  <c r="D127" i="61"/>
  <c r="B322" i="61"/>
  <c r="D322" i="61"/>
  <c r="D357" i="61"/>
  <c r="B357" i="61"/>
  <c r="B338" i="61"/>
  <c r="D338" i="61"/>
  <c r="D185" i="61"/>
  <c r="B185" i="61"/>
  <c r="B290" i="61"/>
  <c r="D290" i="61"/>
  <c r="B308" i="61"/>
  <c r="D308" i="61"/>
  <c r="D165" i="61"/>
  <c r="B165" i="61"/>
  <c r="D178" i="61"/>
  <c r="B178" i="61"/>
  <c r="D196" i="61"/>
  <c r="B196" i="61"/>
  <c r="B369" i="61"/>
  <c r="D369" i="61"/>
  <c r="D241" i="61"/>
  <c r="B241" i="61"/>
  <c r="D121" i="61"/>
  <c r="B121" i="61"/>
  <c r="D253" i="61"/>
  <c r="B253" i="61"/>
  <c r="D129" i="61"/>
  <c r="B129" i="61"/>
  <c r="B44" i="61"/>
  <c r="D44" i="61"/>
  <c r="D70" i="61"/>
  <c r="B70" i="61"/>
  <c r="D134" i="61"/>
  <c r="B134" i="61"/>
  <c r="B198" i="61"/>
  <c r="D198" i="61"/>
  <c r="B262" i="61"/>
  <c r="D262" i="61"/>
  <c r="D326" i="61"/>
  <c r="B326" i="61"/>
  <c r="D152" i="61"/>
  <c r="B152" i="61"/>
  <c r="B216" i="61"/>
  <c r="D216" i="61"/>
  <c r="B280" i="61"/>
  <c r="D280" i="61"/>
  <c r="D344" i="61"/>
  <c r="B344" i="61"/>
  <c r="B329" i="61"/>
  <c r="D329" i="61"/>
  <c r="D201" i="61"/>
  <c r="B201" i="61"/>
  <c r="B341" i="61"/>
  <c r="D341" i="61"/>
  <c r="B213" i="61"/>
  <c r="D213" i="61"/>
  <c r="B103" i="61"/>
  <c r="D103" i="61"/>
  <c r="D22" i="61"/>
  <c r="B22" i="61"/>
  <c r="D90" i="61"/>
  <c r="B90" i="61"/>
  <c r="D154" i="61"/>
  <c r="B154" i="61"/>
  <c r="D218" i="61"/>
  <c r="B218" i="61"/>
  <c r="D282" i="61"/>
  <c r="B282" i="61"/>
  <c r="B346" i="61"/>
  <c r="D346" i="61"/>
  <c r="B172" i="61"/>
  <c r="D172" i="61"/>
  <c r="D236" i="61"/>
  <c r="B236" i="61"/>
  <c r="D300" i="61"/>
  <c r="B300" i="61"/>
  <c r="D364" i="61"/>
  <c r="B364" i="61"/>
  <c r="B321" i="61"/>
  <c r="D321" i="61"/>
  <c r="B193" i="61"/>
  <c r="D193" i="61"/>
  <c r="D333" i="61"/>
  <c r="B333" i="61"/>
  <c r="B205" i="61"/>
  <c r="D205" i="61"/>
  <c r="B97" i="61"/>
  <c r="D97" i="61"/>
  <c r="H19" i="61"/>
  <c r="D19" i="61"/>
  <c r="E19" i="61" s="1"/>
  <c r="B19" i="61"/>
  <c r="D94" i="61"/>
  <c r="B94" i="61"/>
  <c r="B158" i="61"/>
  <c r="D158" i="61"/>
  <c r="B222" i="61"/>
  <c r="D222" i="61"/>
  <c r="D286" i="61"/>
  <c r="B286" i="61"/>
  <c r="D350" i="61"/>
  <c r="B350" i="61"/>
  <c r="D176" i="61"/>
  <c r="B176" i="61"/>
  <c r="D240" i="61"/>
  <c r="B240" i="61"/>
  <c r="B304" i="61"/>
  <c r="D304" i="61"/>
  <c r="D368" i="61"/>
  <c r="B368" i="61"/>
  <c r="D43" i="61"/>
  <c r="B43" i="61"/>
  <c r="D115" i="61"/>
  <c r="B115" i="61"/>
  <c r="D259" i="61"/>
  <c r="B259" i="61"/>
  <c r="D37" i="61"/>
  <c r="B37" i="61"/>
  <c r="D67" i="61"/>
  <c r="B67" i="61"/>
  <c r="B95" i="61"/>
  <c r="D95" i="61"/>
  <c r="B125" i="61"/>
  <c r="D125" i="61"/>
  <c r="B183" i="61"/>
  <c r="D183" i="61"/>
  <c r="D247" i="61"/>
  <c r="B247" i="61"/>
  <c r="D311" i="61"/>
  <c r="B311" i="61"/>
  <c r="D31" i="61"/>
  <c r="B31" i="61"/>
  <c r="D147" i="61"/>
  <c r="B147" i="61"/>
  <c r="B28" i="61"/>
  <c r="D28" i="61"/>
  <c r="B61" i="61"/>
  <c r="D61" i="61"/>
  <c r="B89" i="61"/>
  <c r="D89" i="61"/>
  <c r="B117" i="61"/>
  <c r="D117" i="61"/>
  <c r="D171" i="61"/>
  <c r="B171" i="61"/>
  <c r="B235" i="61"/>
  <c r="D235" i="61"/>
  <c r="B299" i="61"/>
  <c r="D299" i="61"/>
  <c r="D363" i="61"/>
  <c r="B363" i="61"/>
  <c r="D72" i="61"/>
  <c r="B72" i="61"/>
  <c r="D195" i="61"/>
  <c r="B195" i="61"/>
  <c r="D376" i="61"/>
  <c r="B376" i="61"/>
  <c r="D41" i="61"/>
  <c r="B41" i="61"/>
  <c r="B69" i="61"/>
  <c r="D69" i="61"/>
  <c r="D99" i="61"/>
  <c r="B99" i="61"/>
  <c r="B131" i="61"/>
  <c r="D131" i="61"/>
  <c r="D191" i="61"/>
  <c r="B191" i="61"/>
  <c r="B255" i="61"/>
  <c r="D255" i="61"/>
  <c r="D319" i="61"/>
  <c r="B319" i="61"/>
  <c r="D51" i="80" l="1"/>
  <c r="H50" i="80"/>
  <c r="F50" i="80"/>
  <c r="L50" i="80"/>
  <c r="J50" i="80"/>
  <c r="L65" i="80"/>
  <c r="J65" i="80"/>
  <c r="F65" i="80"/>
  <c r="H65" i="80"/>
  <c r="D66" i="80"/>
  <c r="F35" i="80"/>
  <c r="L35" i="80"/>
  <c r="J35" i="80"/>
  <c r="D36" i="80"/>
  <c r="H35" i="80"/>
  <c r="G35" i="68"/>
  <c r="C35" i="68"/>
  <c r="E35" i="68"/>
  <c r="I35" i="68"/>
  <c r="J59" i="6"/>
  <c r="K17" i="6"/>
  <c r="K59" i="6" s="1"/>
  <c r="F19" i="61"/>
  <c r="G19" i="61" s="1"/>
  <c r="I19" i="61" s="1"/>
  <c r="J19" i="61"/>
  <c r="L36" i="80" l="1"/>
  <c r="H36" i="80"/>
  <c r="J36" i="80"/>
  <c r="D37" i="80"/>
  <c r="F36" i="80"/>
  <c r="H66" i="80"/>
  <c r="L66" i="80"/>
  <c r="D67" i="80"/>
  <c r="F66" i="80"/>
  <c r="J66" i="80"/>
  <c r="F51" i="80"/>
  <c r="D52" i="80"/>
  <c r="L51" i="80"/>
  <c r="H51" i="80"/>
  <c r="J51" i="80"/>
  <c r="C20" i="61"/>
  <c r="J52" i="80" l="1"/>
  <c r="L52" i="80"/>
  <c r="H52" i="80"/>
  <c r="F52" i="80"/>
  <c r="D53" i="80"/>
  <c r="L67" i="80"/>
  <c r="J67" i="80"/>
  <c r="D68" i="80"/>
  <c r="H67" i="80"/>
  <c r="F67" i="80"/>
  <c r="H37" i="80"/>
  <c r="D38" i="80"/>
  <c r="J37" i="80"/>
  <c r="F37" i="80"/>
  <c r="L37" i="80"/>
  <c r="H20" i="61"/>
  <c r="E20" i="61"/>
  <c r="M90" i="10"/>
  <c r="L38" i="80" l="1"/>
  <c r="L39" i="80" s="1"/>
  <c r="J38" i="80"/>
  <c r="J39" i="80" s="1"/>
  <c r="H38" i="80"/>
  <c r="H39" i="80" s="1"/>
  <c r="F38" i="80"/>
  <c r="F39" i="80" s="1"/>
  <c r="L68" i="80"/>
  <c r="L69" i="80" s="1"/>
  <c r="J68" i="80"/>
  <c r="J69" i="80" s="1"/>
  <c r="H68" i="80"/>
  <c r="H69" i="80" s="1"/>
  <c r="F68" i="80"/>
  <c r="F69" i="80" s="1"/>
  <c r="H53" i="80"/>
  <c r="H54" i="80" s="1"/>
  <c r="F53" i="80"/>
  <c r="F54" i="80" s="1"/>
  <c r="L53" i="80"/>
  <c r="L54" i="80" s="1"/>
  <c r="J53" i="80"/>
  <c r="J54" i="80" s="1"/>
  <c r="F20" i="61"/>
  <c r="G20" i="61" s="1"/>
  <c r="J20" i="61"/>
  <c r="D19" i="80" l="1"/>
  <c r="D22" i="80" s="1"/>
  <c r="H22" i="80" s="1"/>
  <c r="I20" i="61"/>
  <c r="C21" i="61" l="1"/>
  <c r="H21" i="61" l="1"/>
  <c r="E21" i="61"/>
  <c r="F21" i="61" l="1"/>
  <c r="G21" i="61" s="1"/>
  <c r="J21" i="61"/>
  <c r="I21" i="61" l="1"/>
  <c r="C22" i="61" l="1"/>
  <c r="H22" i="61" l="1"/>
  <c r="E22" i="61"/>
  <c r="F22" i="61" l="1"/>
  <c r="G22" i="61" s="1"/>
  <c r="I22" i="61" s="1"/>
  <c r="J22" i="61"/>
  <c r="C23" i="61" l="1"/>
  <c r="H23" i="61" l="1"/>
  <c r="E23" i="61"/>
  <c r="F23" i="61" l="1"/>
  <c r="G23" i="61" s="1"/>
  <c r="I23" i="61" s="1"/>
  <c r="J23" i="61"/>
  <c r="C24" i="61" l="1"/>
  <c r="H24" i="61" l="1"/>
  <c r="E24" i="61"/>
  <c r="F24" i="61" l="1"/>
  <c r="G24" i="61" s="1"/>
  <c r="I24" i="61" s="1"/>
  <c r="C25" i="61" s="1"/>
  <c r="J24" i="61"/>
  <c r="H25" i="61" l="1"/>
  <c r="J25" i="61" s="1"/>
  <c r="E25" i="61"/>
  <c r="F25" i="61" l="1"/>
  <c r="G25" i="61" s="1"/>
  <c r="I25" i="61" s="1"/>
  <c r="C26" i="61" s="1"/>
  <c r="H26" i="61" l="1"/>
  <c r="J26" i="61" s="1"/>
  <c r="E26" i="61"/>
  <c r="F26" i="61" l="1"/>
  <c r="G26" i="61" s="1"/>
  <c r="I26" i="61" s="1"/>
  <c r="C27" i="61" s="1"/>
  <c r="H27" i="61" l="1"/>
  <c r="J27" i="61" s="1"/>
  <c r="E27" i="61"/>
  <c r="F27" i="61" l="1"/>
  <c r="G27" i="61" s="1"/>
  <c r="I27" i="61" s="1"/>
  <c r="C28" i="61" s="1"/>
  <c r="H28" i="61" l="1"/>
  <c r="J28" i="61" s="1"/>
  <c r="E28" i="61"/>
  <c r="F28" i="61" l="1"/>
  <c r="G28" i="61" s="1"/>
  <c r="I28" i="61" s="1"/>
  <c r="C29" i="61" s="1"/>
  <c r="H29" i="61" l="1"/>
  <c r="J29" i="61" s="1"/>
  <c r="E29" i="61"/>
  <c r="F29" i="61" l="1"/>
  <c r="G29" i="61" s="1"/>
  <c r="I29" i="61" s="1"/>
  <c r="C30" i="61" s="1"/>
  <c r="H30" i="61" l="1"/>
  <c r="E30" i="61"/>
  <c r="F30" i="61" l="1"/>
  <c r="G30" i="61" s="1"/>
  <c r="M19" i="61" s="1"/>
  <c r="M20" i="61"/>
  <c r="J30" i="61"/>
  <c r="I30" i="61" l="1"/>
  <c r="C31" i="61" s="1"/>
  <c r="H31" i="61" s="1"/>
  <c r="J31" i="61" s="1"/>
  <c r="E31" i="61" l="1"/>
  <c r="F31" i="61" s="1"/>
  <c r="G31" i="61" s="1"/>
  <c r="I31" i="61" s="1"/>
  <c r="C32" i="61" s="1"/>
  <c r="H32" i="61" l="1"/>
  <c r="J32" i="61" s="1"/>
  <c r="E32" i="61"/>
  <c r="F32" i="61" l="1"/>
  <c r="G32" i="61" s="1"/>
  <c r="I32" i="61" s="1"/>
  <c r="C33" i="61" s="1"/>
  <c r="H33" i="61" l="1"/>
  <c r="J33" i="61" s="1"/>
  <c r="E33" i="61"/>
  <c r="F33" i="61" l="1"/>
  <c r="G33" i="61" s="1"/>
  <c r="I33" i="61" s="1"/>
  <c r="C34" i="61" s="1"/>
  <c r="H34" i="61" l="1"/>
  <c r="J34" i="61" s="1"/>
  <c r="E34" i="61"/>
  <c r="F34" i="61" l="1"/>
  <c r="G34" i="61" s="1"/>
  <c r="I34" i="61" s="1"/>
  <c r="C35" i="61" s="1"/>
  <c r="H35" i="61" l="1"/>
  <c r="J35" i="61" s="1"/>
  <c r="E35" i="61"/>
  <c r="F35" i="61" l="1"/>
  <c r="G35" i="61" s="1"/>
  <c r="I35" i="61" s="1"/>
  <c r="C36" i="61" s="1"/>
  <c r="H36" i="61" l="1"/>
  <c r="J36" i="61" s="1"/>
  <c r="E36" i="61"/>
  <c r="F36" i="61" l="1"/>
  <c r="G36" i="61" s="1"/>
  <c r="I36" i="61" s="1"/>
  <c r="C37" i="61" s="1"/>
  <c r="H37" i="61" l="1"/>
  <c r="J37" i="61" s="1"/>
  <c r="E37" i="61"/>
  <c r="F37" i="61" l="1"/>
  <c r="G37" i="61" s="1"/>
  <c r="I37" i="61" s="1"/>
  <c r="C38" i="61" s="1"/>
  <c r="H38" i="61" l="1"/>
  <c r="J38" i="61" s="1"/>
  <c r="E38" i="61"/>
  <c r="F38" i="61" l="1"/>
  <c r="G38" i="61" s="1"/>
  <c r="I38" i="61" s="1"/>
  <c r="C39" i="61" s="1"/>
  <c r="H39" i="61" l="1"/>
  <c r="J39" i="61" s="1"/>
  <c r="E39" i="61"/>
  <c r="F39" i="61" l="1"/>
  <c r="G39" i="61" s="1"/>
  <c r="I39" i="61" s="1"/>
  <c r="C40" i="61" s="1"/>
  <c r="H40" i="61" l="1"/>
  <c r="J40" i="61" s="1"/>
  <c r="E40" i="61"/>
  <c r="F40" i="61" l="1"/>
  <c r="G40" i="61" s="1"/>
  <c r="I40" i="61" s="1"/>
  <c r="C41" i="61" s="1"/>
  <c r="H41" i="61" l="1"/>
  <c r="J41" i="61" s="1"/>
  <c r="E41" i="61"/>
  <c r="F41" i="61" l="1"/>
  <c r="G41" i="61" s="1"/>
  <c r="I41" i="61" s="1"/>
  <c r="C42" i="61" s="1"/>
  <c r="H42" i="61" l="1"/>
  <c r="J42" i="61" s="1"/>
  <c r="E42" i="61"/>
  <c r="F42" i="61" l="1"/>
  <c r="G42" i="61" s="1"/>
  <c r="I42" i="61" s="1"/>
  <c r="C43" i="61" s="1"/>
  <c r="H43" i="61" l="1"/>
  <c r="J43" i="61" s="1"/>
  <c r="E43" i="61"/>
  <c r="F43" i="61" l="1"/>
  <c r="G43" i="61" s="1"/>
  <c r="I43" i="61" s="1"/>
  <c r="C44" i="61" s="1"/>
  <c r="H44" i="61" l="1"/>
  <c r="J44" i="61" s="1"/>
  <c r="E44" i="61"/>
  <c r="F44" i="61" l="1"/>
  <c r="G44" i="61" s="1"/>
  <c r="I44" i="61" s="1"/>
  <c r="C45" i="61" s="1"/>
  <c r="H45" i="61" l="1"/>
  <c r="J45" i="61" s="1"/>
  <c r="E45" i="61"/>
  <c r="F45" i="61" l="1"/>
  <c r="G45" i="61" s="1"/>
  <c r="I45" i="61" s="1"/>
  <c r="C46" i="61" s="1"/>
  <c r="H46" i="61" l="1"/>
  <c r="J46" i="61" s="1"/>
  <c r="E46" i="61"/>
  <c r="F46" i="61" l="1"/>
  <c r="G46" i="61" s="1"/>
  <c r="I46" i="61" s="1"/>
  <c r="C47" i="61" s="1"/>
  <c r="H47" i="61" l="1"/>
  <c r="J47" i="61" s="1"/>
  <c r="E47" i="61"/>
  <c r="F47" i="61" l="1"/>
  <c r="G47" i="61" s="1"/>
  <c r="I47" i="61" s="1"/>
  <c r="C48" i="61" s="1"/>
  <c r="H48" i="61" l="1"/>
  <c r="J48" i="61" s="1"/>
  <c r="E48" i="61"/>
  <c r="F48" i="61" l="1"/>
  <c r="G48" i="61" s="1"/>
  <c r="I48" i="61" s="1"/>
  <c r="C49" i="61" s="1"/>
  <c r="H49" i="61" l="1"/>
  <c r="J49" i="61" s="1"/>
  <c r="E49" i="61"/>
  <c r="F49" i="61" l="1"/>
  <c r="G49" i="61" s="1"/>
  <c r="I49" i="61" s="1"/>
  <c r="C50" i="61" s="1"/>
  <c r="H50" i="61" l="1"/>
  <c r="J50" i="61" s="1"/>
  <c r="E50" i="61"/>
  <c r="F50" i="61" l="1"/>
  <c r="G50" i="61" s="1"/>
  <c r="I50" i="61" s="1"/>
  <c r="C51" i="61" s="1"/>
  <c r="H51" i="61" l="1"/>
  <c r="J51" i="61" s="1"/>
  <c r="E51" i="61"/>
  <c r="F51" i="61" l="1"/>
  <c r="G51" i="61" s="1"/>
  <c r="I51" i="61" s="1"/>
  <c r="C52" i="61" s="1"/>
  <c r="H52" i="61" l="1"/>
  <c r="J52" i="61" s="1"/>
  <c r="E52" i="61"/>
  <c r="F52" i="61" l="1"/>
  <c r="G52" i="61" s="1"/>
  <c r="I52" i="61" s="1"/>
  <c r="C53" i="61" s="1"/>
  <c r="H53" i="61" l="1"/>
  <c r="J53" i="61" s="1"/>
  <c r="E53" i="61"/>
  <c r="F53" i="61" l="1"/>
  <c r="G53" i="61" s="1"/>
  <c r="I53" i="61" s="1"/>
  <c r="C54" i="61" s="1"/>
  <c r="H54" i="61" l="1"/>
  <c r="J54" i="61" s="1"/>
  <c r="E54" i="61"/>
  <c r="F54" i="61" l="1"/>
  <c r="G54" i="61" s="1"/>
  <c r="I54" i="61" s="1"/>
  <c r="C55" i="61" s="1"/>
  <c r="H55" i="61" l="1"/>
  <c r="J55" i="61" s="1"/>
  <c r="E55" i="61"/>
  <c r="F55" i="61" l="1"/>
  <c r="G55" i="61" s="1"/>
  <c r="I55" i="61" s="1"/>
  <c r="C56" i="61" s="1"/>
  <c r="H56" i="61" l="1"/>
  <c r="J56" i="61" s="1"/>
  <c r="E56" i="61"/>
  <c r="F56" i="61" l="1"/>
  <c r="G56" i="61" s="1"/>
  <c r="I56" i="61" s="1"/>
  <c r="C57" i="61" s="1"/>
  <c r="H57" i="61" l="1"/>
  <c r="J57" i="61" s="1"/>
  <c r="E57" i="61"/>
  <c r="F57" i="61" l="1"/>
  <c r="G57" i="61" s="1"/>
  <c r="I57" i="61" s="1"/>
  <c r="C58" i="61" s="1"/>
  <c r="H58" i="61" l="1"/>
  <c r="J58" i="61" s="1"/>
  <c r="E58" i="61"/>
  <c r="F58" i="61" l="1"/>
  <c r="G58" i="61" s="1"/>
  <c r="I58" i="61" s="1"/>
  <c r="C59" i="61" s="1"/>
  <c r="H59" i="61" l="1"/>
  <c r="J59" i="61" s="1"/>
  <c r="E59" i="61"/>
  <c r="F59" i="61" l="1"/>
  <c r="G59" i="61" s="1"/>
  <c r="I59" i="61" s="1"/>
  <c r="C60" i="61" s="1"/>
  <c r="H60" i="61" l="1"/>
  <c r="J60" i="61" s="1"/>
  <c r="E60" i="61"/>
  <c r="F60" i="61" l="1"/>
  <c r="G60" i="61" s="1"/>
  <c r="I60" i="61" s="1"/>
  <c r="C61" i="61" s="1"/>
  <c r="H61" i="61" l="1"/>
  <c r="J61" i="61" s="1"/>
  <c r="E61" i="61"/>
  <c r="F61" i="61" l="1"/>
  <c r="G61" i="61" s="1"/>
  <c r="I61" i="61" s="1"/>
  <c r="C62" i="61" s="1"/>
  <c r="H62" i="61" l="1"/>
  <c r="J62" i="61" s="1"/>
  <c r="E62" i="61"/>
  <c r="F62" i="61" l="1"/>
  <c r="G62" i="61" s="1"/>
  <c r="I62" i="61" s="1"/>
  <c r="C63" i="61" s="1"/>
  <c r="H63" i="61" l="1"/>
  <c r="J63" i="61" s="1"/>
  <c r="E63" i="61"/>
  <c r="F63" i="61" l="1"/>
  <c r="G63" i="61" s="1"/>
  <c r="I63" i="61" s="1"/>
  <c r="C64" i="61" s="1"/>
  <c r="H64" i="61" l="1"/>
  <c r="J64" i="61" s="1"/>
  <c r="E64" i="61"/>
  <c r="F64" i="61" l="1"/>
  <c r="G64" i="61" s="1"/>
  <c r="I64" i="61" s="1"/>
  <c r="C65" i="61" s="1"/>
  <c r="H65" i="61" l="1"/>
  <c r="J65" i="61" s="1"/>
  <c r="E65" i="61"/>
  <c r="F65" i="61" l="1"/>
  <c r="G65" i="61" s="1"/>
  <c r="I65" i="61" s="1"/>
  <c r="C66" i="61" s="1"/>
  <c r="H66" i="61" l="1"/>
  <c r="J66" i="61" s="1"/>
  <c r="E66" i="61"/>
  <c r="F66" i="61" l="1"/>
  <c r="G66" i="61" s="1"/>
  <c r="I66" i="61" s="1"/>
  <c r="C67" i="61" s="1"/>
  <c r="H67" i="61" l="1"/>
  <c r="J67" i="61" s="1"/>
  <c r="E67" i="61"/>
  <c r="F67" i="61" l="1"/>
  <c r="G67" i="61" s="1"/>
  <c r="I67" i="61" s="1"/>
  <c r="C68" i="61" s="1"/>
  <c r="H68" i="61" l="1"/>
  <c r="J68" i="61" s="1"/>
  <c r="E68" i="61"/>
  <c r="F68" i="61" l="1"/>
  <c r="G68" i="61" s="1"/>
  <c r="I68" i="61" s="1"/>
  <c r="C69" i="61" s="1"/>
  <c r="H69" i="61" l="1"/>
  <c r="J69" i="61" s="1"/>
  <c r="E69" i="61"/>
  <c r="F69" i="61" l="1"/>
  <c r="G69" i="61" s="1"/>
  <c r="I69" i="61" s="1"/>
  <c r="C70" i="61" s="1"/>
  <c r="H70" i="61" l="1"/>
  <c r="J70" i="61" s="1"/>
  <c r="E70" i="61"/>
  <c r="F70" i="61" l="1"/>
  <c r="G70" i="61" s="1"/>
  <c r="I70" i="61" s="1"/>
  <c r="C71" i="61" s="1"/>
  <c r="H71" i="61" l="1"/>
  <c r="J71" i="61" s="1"/>
  <c r="E71" i="61"/>
  <c r="F71" i="61" l="1"/>
  <c r="G71" i="61" s="1"/>
  <c r="I71" i="61" s="1"/>
  <c r="C72" i="61" s="1"/>
  <c r="E72" i="61" l="1"/>
  <c r="H72" i="61"/>
  <c r="J72" i="61" s="1"/>
  <c r="F72" i="61" l="1"/>
  <c r="G72" i="61" s="1"/>
  <c r="I72" i="61" s="1"/>
  <c r="C73" i="61" s="1"/>
  <c r="H73" i="61" l="1"/>
  <c r="J73" i="61" s="1"/>
  <c r="E73" i="61"/>
  <c r="F73" i="61" l="1"/>
  <c r="G73" i="61" s="1"/>
  <c r="I73" i="61" s="1"/>
  <c r="C74" i="61" s="1"/>
  <c r="H74" i="61" l="1"/>
  <c r="J74" i="61" s="1"/>
  <c r="E74" i="61"/>
  <c r="F74" i="61" l="1"/>
  <c r="G74" i="61" s="1"/>
  <c r="I74" i="61" s="1"/>
  <c r="C75" i="61" s="1"/>
  <c r="H75" i="61" l="1"/>
  <c r="J75" i="61" s="1"/>
  <c r="E75" i="61"/>
  <c r="F75" i="61" l="1"/>
  <c r="G75" i="61" s="1"/>
  <c r="I75" i="61" s="1"/>
  <c r="C76" i="61" s="1"/>
  <c r="H76" i="61" l="1"/>
  <c r="J76" i="61" s="1"/>
  <c r="E76" i="61"/>
  <c r="F76" i="61" l="1"/>
  <c r="G76" i="61" s="1"/>
  <c r="I76" i="61" s="1"/>
  <c r="C77" i="61" s="1"/>
  <c r="H77" i="61" l="1"/>
  <c r="J77" i="61" s="1"/>
  <c r="E77" i="61"/>
  <c r="F77" i="61" l="1"/>
  <c r="G77" i="61" s="1"/>
  <c r="I77" i="61" s="1"/>
  <c r="C78" i="61" s="1"/>
  <c r="H78" i="61" l="1"/>
  <c r="J78" i="61" s="1"/>
  <c r="E78" i="61"/>
  <c r="F78" i="61" l="1"/>
  <c r="G78" i="61" s="1"/>
  <c r="I78" i="61" s="1"/>
  <c r="C79" i="61" s="1"/>
  <c r="H79" i="61" l="1"/>
  <c r="J79" i="61" s="1"/>
  <c r="E79" i="61"/>
  <c r="F79" i="61" l="1"/>
  <c r="G79" i="61" s="1"/>
  <c r="I79" i="61" s="1"/>
  <c r="C80" i="61" s="1"/>
  <c r="H80" i="61" l="1"/>
  <c r="J80" i="61" s="1"/>
  <c r="E80" i="61"/>
  <c r="F80" i="61" l="1"/>
  <c r="G80" i="61" s="1"/>
  <c r="I80" i="61" s="1"/>
  <c r="C81" i="61" s="1"/>
  <c r="H81" i="61" l="1"/>
  <c r="J81" i="61" s="1"/>
  <c r="E81" i="61"/>
  <c r="F81" i="61" l="1"/>
  <c r="G81" i="61" s="1"/>
  <c r="I81" i="61" s="1"/>
  <c r="C82" i="61" s="1"/>
  <c r="H82" i="61" l="1"/>
  <c r="J82" i="61" s="1"/>
  <c r="E82" i="61"/>
  <c r="F82" i="61" l="1"/>
  <c r="G82" i="61" s="1"/>
  <c r="I82" i="61" s="1"/>
  <c r="C83" i="61" s="1"/>
  <c r="H83" i="61" l="1"/>
  <c r="J83" i="61" s="1"/>
  <c r="E83" i="61"/>
  <c r="F83" i="61" l="1"/>
  <c r="G83" i="61" s="1"/>
  <c r="I83" i="61" s="1"/>
  <c r="C84" i="61" s="1"/>
  <c r="H84" i="61" l="1"/>
  <c r="J84" i="61" s="1"/>
  <c r="E84" i="61"/>
  <c r="F84" i="61" l="1"/>
  <c r="G84" i="61" s="1"/>
  <c r="I84" i="61" s="1"/>
  <c r="C85" i="61" s="1"/>
  <c r="H85" i="61" l="1"/>
  <c r="J85" i="61" s="1"/>
  <c r="E85" i="61"/>
  <c r="F85" i="61" l="1"/>
  <c r="G85" i="61" s="1"/>
  <c r="I85" i="61" s="1"/>
  <c r="C86" i="61" s="1"/>
  <c r="H86" i="61" l="1"/>
  <c r="J86" i="61" s="1"/>
  <c r="E86" i="61"/>
  <c r="F86" i="61" l="1"/>
  <c r="G86" i="61" s="1"/>
  <c r="I86" i="61" s="1"/>
  <c r="C87" i="61" s="1"/>
  <c r="H87" i="61" l="1"/>
  <c r="J87" i="61" s="1"/>
  <c r="E87" i="61"/>
  <c r="F87" i="61" l="1"/>
  <c r="G87" i="61" s="1"/>
  <c r="I87" i="61" s="1"/>
  <c r="C88" i="61" s="1"/>
  <c r="H88" i="61" l="1"/>
  <c r="J88" i="61" s="1"/>
  <c r="E88" i="61"/>
  <c r="F88" i="61" l="1"/>
  <c r="G88" i="61" s="1"/>
  <c r="I88" i="61" s="1"/>
  <c r="C89" i="61" s="1"/>
  <c r="H89" i="61" l="1"/>
  <c r="J89" i="61" s="1"/>
  <c r="E89" i="61"/>
  <c r="F89" i="61" l="1"/>
  <c r="G89" i="61" s="1"/>
  <c r="I89" i="61" s="1"/>
  <c r="C90" i="61" s="1"/>
  <c r="H90" i="61" l="1"/>
  <c r="J90" i="61" s="1"/>
  <c r="E90" i="61"/>
  <c r="F90" i="61" l="1"/>
  <c r="G90" i="61" s="1"/>
  <c r="I90" i="61" s="1"/>
  <c r="C91" i="61" s="1"/>
  <c r="H91" i="61" l="1"/>
  <c r="J91" i="61" s="1"/>
  <c r="E91" i="61"/>
  <c r="F91" i="61" l="1"/>
  <c r="G91" i="61" s="1"/>
  <c r="I91" i="61" s="1"/>
  <c r="C92" i="61" s="1"/>
  <c r="H92" i="61" l="1"/>
  <c r="J92" i="61" s="1"/>
  <c r="E92" i="61"/>
  <c r="F92" i="61" l="1"/>
  <c r="G92" i="61" s="1"/>
  <c r="I92" i="61" s="1"/>
  <c r="C93" i="61" s="1"/>
  <c r="H93" i="61" l="1"/>
  <c r="J93" i="61" s="1"/>
  <c r="E93" i="61"/>
  <c r="F93" i="61" l="1"/>
  <c r="G93" i="61" s="1"/>
  <c r="I93" i="61" s="1"/>
  <c r="C94" i="61" s="1"/>
  <c r="H94" i="61" l="1"/>
  <c r="J94" i="61" s="1"/>
  <c r="E94" i="61"/>
  <c r="F94" i="61" l="1"/>
  <c r="G94" i="61" s="1"/>
  <c r="I94" i="61" s="1"/>
  <c r="C95" i="61" s="1"/>
  <c r="H95" i="61" l="1"/>
  <c r="J95" i="61" s="1"/>
  <c r="E95" i="61"/>
  <c r="F95" i="61" l="1"/>
  <c r="G95" i="61" s="1"/>
  <c r="I95" i="61" s="1"/>
  <c r="C96" i="61" s="1"/>
  <c r="H96" i="61" l="1"/>
  <c r="J96" i="61" s="1"/>
  <c r="E96" i="61"/>
  <c r="F96" i="61" l="1"/>
  <c r="G96" i="61" s="1"/>
  <c r="I96" i="61" s="1"/>
  <c r="C97" i="61" s="1"/>
  <c r="H97" i="61" l="1"/>
  <c r="J97" i="61" s="1"/>
  <c r="E97" i="61"/>
  <c r="F97" i="61" l="1"/>
  <c r="G97" i="61" s="1"/>
  <c r="I97" i="61" s="1"/>
  <c r="C98" i="61" s="1"/>
  <c r="H98" i="61" l="1"/>
  <c r="J98" i="61" s="1"/>
  <c r="E98" i="61"/>
  <c r="F98" i="61" l="1"/>
  <c r="G98" i="61" s="1"/>
  <c r="I98" i="61" s="1"/>
  <c r="C99" i="61" s="1"/>
  <c r="H99" i="61" l="1"/>
  <c r="J99" i="61" s="1"/>
  <c r="E99" i="61"/>
  <c r="F99" i="61" l="1"/>
  <c r="G99" i="61" s="1"/>
  <c r="I99" i="61" s="1"/>
  <c r="C100" i="61" s="1"/>
  <c r="H100" i="61" l="1"/>
  <c r="J100" i="61" s="1"/>
  <c r="E100" i="61"/>
  <c r="F100" i="61" l="1"/>
  <c r="G100" i="61" s="1"/>
  <c r="I100" i="61" s="1"/>
  <c r="C101" i="61" s="1"/>
  <c r="H101" i="61" l="1"/>
  <c r="J101" i="61" s="1"/>
  <c r="E101" i="61"/>
  <c r="F101" i="61" l="1"/>
  <c r="G101" i="61" s="1"/>
  <c r="I101" i="61" s="1"/>
  <c r="C102" i="61" s="1"/>
  <c r="H102" i="61" l="1"/>
  <c r="J102" i="61" s="1"/>
  <c r="E102" i="61"/>
  <c r="F102" i="61" l="1"/>
  <c r="G102" i="61" s="1"/>
  <c r="I102" i="61" s="1"/>
  <c r="C103" i="61" s="1"/>
  <c r="H103" i="61" l="1"/>
  <c r="J103" i="61" s="1"/>
  <c r="E103" i="61"/>
  <c r="F103" i="61" l="1"/>
  <c r="G103" i="61" s="1"/>
  <c r="I103" i="61" s="1"/>
  <c r="C104" i="61" s="1"/>
  <c r="H104" i="61" l="1"/>
  <c r="J104" i="61" s="1"/>
  <c r="E104" i="61"/>
  <c r="F104" i="61" l="1"/>
  <c r="G104" i="61" s="1"/>
  <c r="I104" i="61" s="1"/>
  <c r="C105" i="61" s="1"/>
  <c r="H105" i="61" l="1"/>
  <c r="J105" i="61" s="1"/>
  <c r="E105" i="61"/>
  <c r="F105" i="61" l="1"/>
  <c r="G105" i="61" s="1"/>
  <c r="I105" i="61" s="1"/>
  <c r="C106" i="61" s="1"/>
  <c r="H106" i="61" l="1"/>
  <c r="J106" i="61" s="1"/>
  <c r="E106" i="61"/>
  <c r="F106" i="61" l="1"/>
  <c r="G106" i="61" s="1"/>
  <c r="I106" i="61" s="1"/>
  <c r="C107" i="61" s="1"/>
  <c r="H107" i="61" l="1"/>
  <c r="J107" i="61" s="1"/>
  <c r="E107" i="61"/>
  <c r="F107" i="61" l="1"/>
  <c r="G107" i="61" s="1"/>
  <c r="I107" i="61" s="1"/>
  <c r="C108" i="61" s="1"/>
  <c r="H108" i="61" l="1"/>
  <c r="J108" i="61" s="1"/>
  <c r="E108" i="61"/>
  <c r="F108" i="61" l="1"/>
  <c r="G108" i="61" s="1"/>
  <c r="I108" i="61" s="1"/>
  <c r="C109" i="61" s="1"/>
  <c r="H109" i="61" l="1"/>
  <c r="J109" i="61" s="1"/>
  <c r="E109" i="61"/>
  <c r="F109" i="61" l="1"/>
  <c r="G109" i="61" s="1"/>
  <c r="I109" i="61" s="1"/>
  <c r="C110" i="61" s="1"/>
  <c r="H110" i="61" l="1"/>
  <c r="J110" i="61" s="1"/>
  <c r="E110" i="61"/>
  <c r="F110" i="61" l="1"/>
  <c r="G110" i="61" s="1"/>
  <c r="I110" i="61" s="1"/>
  <c r="C111" i="61" s="1"/>
  <c r="H111" i="61" l="1"/>
  <c r="J111" i="61" s="1"/>
  <c r="E111" i="61"/>
  <c r="F111" i="61" l="1"/>
  <c r="G111" i="61" s="1"/>
  <c r="I111" i="61" s="1"/>
  <c r="C112" i="61" s="1"/>
  <c r="H112" i="61" l="1"/>
  <c r="J112" i="61" s="1"/>
  <c r="E112" i="61"/>
  <c r="F112" i="61" l="1"/>
  <c r="G112" i="61" s="1"/>
  <c r="I112" i="61" s="1"/>
  <c r="C113" i="61" s="1"/>
  <c r="H113" i="61" l="1"/>
  <c r="J113" i="61" s="1"/>
  <c r="E113" i="61"/>
  <c r="F113" i="61" l="1"/>
  <c r="G113" i="61" s="1"/>
  <c r="I113" i="61" s="1"/>
  <c r="C114" i="61" s="1"/>
  <c r="H114" i="61" l="1"/>
  <c r="J114" i="61" s="1"/>
  <c r="E114" i="61"/>
  <c r="F114" i="61" l="1"/>
  <c r="G114" i="61" s="1"/>
  <c r="I114" i="61" s="1"/>
  <c r="C115" i="61" s="1"/>
  <c r="H115" i="61" l="1"/>
  <c r="J115" i="61" s="1"/>
  <c r="E115" i="61"/>
  <c r="F115" i="61" l="1"/>
  <c r="G115" i="61" s="1"/>
  <c r="I115" i="61" s="1"/>
  <c r="C116" i="61" s="1"/>
  <c r="H116" i="61" l="1"/>
  <c r="J116" i="61" s="1"/>
  <c r="E116" i="61"/>
  <c r="F116" i="61" l="1"/>
  <c r="G116" i="61" s="1"/>
  <c r="I116" i="61" s="1"/>
  <c r="C117" i="61" s="1"/>
  <c r="H117" i="61" l="1"/>
  <c r="J117" i="61" s="1"/>
  <c r="E117" i="61"/>
  <c r="F117" i="61" l="1"/>
  <c r="G117" i="61" s="1"/>
  <c r="I117" i="61" s="1"/>
  <c r="C118" i="61" s="1"/>
  <c r="H118" i="61" l="1"/>
  <c r="J118" i="61" s="1"/>
  <c r="E118" i="61"/>
  <c r="F118" i="61" l="1"/>
  <c r="G118" i="61" s="1"/>
  <c r="I118" i="61" s="1"/>
  <c r="C119" i="61" s="1"/>
  <c r="H119" i="61" l="1"/>
  <c r="J119" i="61" s="1"/>
  <c r="E119" i="61"/>
  <c r="F119" i="61" l="1"/>
  <c r="G119" i="61" s="1"/>
  <c r="I119" i="61" s="1"/>
  <c r="C120" i="61" s="1"/>
  <c r="H120" i="61" l="1"/>
  <c r="J120" i="61" s="1"/>
  <c r="E120" i="61"/>
  <c r="F120" i="61" l="1"/>
  <c r="G120" i="61" s="1"/>
  <c r="I120" i="61" s="1"/>
  <c r="C121" i="61" s="1"/>
  <c r="H121" i="61" l="1"/>
  <c r="J121" i="61" s="1"/>
  <c r="E121" i="61"/>
  <c r="F121" i="61" l="1"/>
  <c r="G121" i="61" s="1"/>
  <c r="I121" i="61" s="1"/>
  <c r="C122" i="61" s="1"/>
  <c r="H122" i="61" l="1"/>
  <c r="J122" i="61" s="1"/>
  <c r="E122" i="61"/>
  <c r="F122" i="61" l="1"/>
  <c r="G122" i="61" s="1"/>
  <c r="I122" i="61" s="1"/>
  <c r="C123" i="61" s="1"/>
  <c r="H123" i="61" l="1"/>
  <c r="J123" i="61" s="1"/>
  <c r="E123" i="61"/>
  <c r="F123" i="61" l="1"/>
  <c r="G123" i="61" s="1"/>
  <c r="I123" i="61" s="1"/>
  <c r="C124" i="61" s="1"/>
  <c r="H124" i="61" l="1"/>
  <c r="J124" i="61" s="1"/>
  <c r="E124" i="61"/>
  <c r="F124" i="61" l="1"/>
  <c r="G124" i="61" s="1"/>
  <c r="I124" i="61" s="1"/>
  <c r="C125" i="61" s="1"/>
  <c r="H125" i="61" l="1"/>
  <c r="J125" i="61" s="1"/>
  <c r="E125" i="61"/>
  <c r="F125" i="61" l="1"/>
  <c r="G125" i="61" s="1"/>
  <c r="I125" i="61" s="1"/>
  <c r="C126" i="61" s="1"/>
  <c r="E126" i="61" l="1"/>
  <c r="H126" i="61"/>
  <c r="J126" i="61" s="1"/>
  <c r="F126" i="61" l="1"/>
  <c r="G126" i="61" s="1"/>
  <c r="I126" i="61" s="1"/>
  <c r="C127" i="61" s="1"/>
  <c r="H127" i="61" l="1"/>
  <c r="J127" i="61" s="1"/>
  <c r="E127" i="61"/>
  <c r="F127" i="61" l="1"/>
  <c r="G127" i="61" s="1"/>
  <c r="I127" i="61" s="1"/>
  <c r="C128" i="61" s="1"/>
  <c r="H128" i="61" l="1"/>
  <c r="J128" i="61" s="1"/>
  <c r="E128" i="61"/>
  <c r="F128" i="61" l="1"/>
  <c r="G128" i="61" s="1"/>
  <c r="I128" i="61" s="1"/>
  <c r="C129" i="61" s="1"/>
  <c r="H129" i="61" l="1"/>
  <c r="J129" i="61" s="1"/>
  <c r="E129" i="61"/>
  <c r="F129" i="61" l="1"/>
  <c r="G129" i="61" s="1"/>
  <c r="I129" i="61" s="1"/>
  <c r="C130" i="61" s="1"/>
  <c r="H130" i="61" l="1"/>
  <c r="J130" i="61" s="1"/>
  <c r="E130" i="61"/>
  <c r="F130" i="61" l="1"/>
  <c r="G130" i="61" s="1"/>
  <c r="I130" i="61" s="1"/>
  <c r="C131" i="61" s="1"/>
  <c r="H131" i="61" l="1"/>
  <c r="J131" i="61" s="1"/>
  <c r="E131" i="61"/>
  <c r="F131" i="61" l="1"/>
  <c r="G131" i="61" s="1"/>
  <c r="I131" i="61" s="1"/>
  <c r="C132" i="61" s="1"/>
  <c r="H132" i="61" l="1"/>
  <c r="J132" i="61" s="1"/>
  <c r="E132" i="61"/>
  <c r="F132" i="61" l="1"/>
  <c r="G132" i="61" s="1"/>
  <c r="I132" i="61" s="1"/>
  <c r="C133" i="61" s="1"/>
  <c r="H133" i="61" l="1"/>
  <c r="J133" i="61" s="1"/>
  <c r="E133" i="61"/>
  <c r="F133" i="61" l="1"/>
  <c r="G133" i="61" s="1"/>
  <c r="I133" i="61" s="1"/>
  <c r="C134" i="61" s="1"/>
  <c r="H134" i="61" l="1"/>
  <c r="J134" i="61" s="1"/>
  <c r="E134" i="61"/>
  <c r="F134" i="61" l="1"/>
  <c r="G134" i="61" s="1"/>
  <c r="I134" i="61" s="1"/>
  <c r="C135" i="61" s="1"/>
  <c r="H135" i="61" l="1"/>
  <c r="J135" i="61" s="1"/>
  <c r="E135" i="61"/>
  <c r="F135" i="61" l="1"/>
  <c r="G135" i="61" s="1"/>
  <c r="I135" i="61" s="1"/>
  <c r="C136" i="61" s="1"/>
  <c r="H136" i="61" l="1"/>
  <c r="J136" i="61" s="1"/>
  <c r="E136" i="61"/>
  <c r="F136" i="61" l="1"/>
  <c r="G136" i="61" s="1"/>
  <c r="I136" i="61" s="1"/>
  <c r="C137" i="61" s="1"/>
  <c r="H137" i="61" l="1"/>
  <c r="J137" i="61" s="1"/>
  <c r="E137" i="61"/>
  <c r="F137" i="61" l="1"/>
  <c r="G137" i="61" s="1"/>
  <c r="I137" i="61" s="1"/>
  <c r="C138" i="61" s="1"/>
  <c r="H138" i="61" l="1"/>
  <c r="J138" i="61" s="1"/>
  <c r="E138" i="61"/>
  <c r="F138" i="61" l="1"/>
  <c r="G138" i="61" s="1"/>
  <c r="I138" i="61" s="1"/>
  <c r="C139" i="61" s="1"/>
  <c r="H139" i="61" l="1"/>
  <c r="J139" i="61" s="1"/>
  <c r="E139" i="61"/>
  <c r="F139" i="61" l="1"/>
  <c r="G139" i="61" s="1"/>
  <c r="I139" i="61" s="1"/>
  <c r="C140" i="61" s="1"/>
  <c r="H140" i="61" l="1"/>
  <c r="J140" i="61" s="1"/>
  <c r="E140" i="61"/>
  <c r="F140" i="61" l="1"/>
  <c r="G140" i="61" s="1"/>
  <c r="I140" i="61" s="1"/>
  <c r="C141" i="61" s="1"/>
  <c r="H141" i="61" l="1"/>
  <c r="J141" i="61" s="1"/>
  <c r="E141" i="61"/>
  <c r="F141" i="61" l="1"/>
  <c r="G141" i="61" s="1"/>
  <c r="I141" i="61" s="1"/>
  <c r="C142" i="61" s="1"/>
  <c r="H142" i="61" l="1"/>
  <c r="J142" i="61" s="1"/>
  <c r="E142" i="61"/>
  <c r="F142" i="61" l="1"/>
  <c r="G142" i="61" s="1"/>
  <c r="I142" i="61" s="1"/>
  <c r="C143" i="61" s="1"/>
  <c r="H143" i="61" l="1"/>
  <c r="J143" i="61" s="1"/>
  <c r="E143" i="61"/>
  <c r="F143" i="61" l="1"/>
  <c r="G143" i="61" s="1"/>
  <c r="I143" i="61" s="1"/>
  <c r="C144" i="61" s="1"/>
  <c r="H144" i="61" l="1"/>
  <c r="J144" i="61" s="1"/>
  <c r="E144" i="61"/>
  <c r="F144" i="61" l="1"/>
  <c r="G144" i="61" s="1"/>
  <c r="I144" i="61" s="1"/>
  <c r="C145" i="61" s="1"/>
  <c r="E145" i="61" l="1"/>
  <c r="H145" i="61"/>
  <c r="J145" i="61" s="1"/>
  <c r="F145" i="61" l="1"/>
  <c r="G145" i="61" s="1"/>
  <c r="I145" i="61" s="1"/>
  <c r="C146" i="61" s="1"/>
  <c r="H146" i="61" l="1"/>
  <c r="J146" i="61" s="1"/>
  <c r="E146" i="61"/>
  <c r="F146" i="61" l="1"/>
  <c r="G146" i="61" s="1"/>
  <c r="I146" i="61" s="1"/>
  <c r="C147" i="61" s="1"/>
  <c r="H147" i="61" l="1"/>
  <c r="J147" i="61" s="1"/>
  <c r="E147" i="61"/>
  <c r="F147" i="61" l="1"/>
  <c r="G147" i="61" s="1"/>
  <c r="I147" i="61" s="1"/>
  <c r="C148" i="61" s="1"/>
  <c r="H148" i="61" l="1"/>
  <c r="J148" i="61" s="1"/>
  <c r="E148" i="61"/>
  <c r="F148" i="61" l="1"/>
  <c r="G148" i="61" s="1"/>
  <c r="I148" i="61" s="1"/>
  <c r="C149" i="61" s="1"/>
  <c r="H149" i="61" l="1"/>
  <c r="J149" i="61" s="1"/>
  <c r="E149" i="61"/>
  <c r="F149" i="61" l="1"/>
  <c r="G149" i="61" s="1"/>
  <c r="I149" i="61" s="1"/>
  <c r="C150" i="61" s="1"/>
  <c r="H150" i="61" l="1"/>
  <c r="J150" i="61" s="1"/>
  <c r="E150" i="61"/>
  <c r="F150" i="61" l="1"/>
  <c r="G150" i="61" s="1"/>
  <c r="I150" i="61" s="1"/>
  <c r="C151" i="61" s="1"/>
  <c r="H151" i="61" l="1"/>
  <c r="J151" i="61" s="1"/>
  <c r="E151" i="61"/>
  <c r="F151" i="61" l="1"/>
  <c r="G151" i="61" s="1"/>
  <c r="I151" i="61" s="1"/>
  <c r="C152" i="61" s="1"/>
  <c r="H152" i="61" l="1"/>
  <c r="J152" i="61" s="1"/>
  <c r="E152" i="61"/>
  <c r="F152" i="61" l="1"/>
  <c r="G152" i="61" s="1"/>
  <c r="I152" i="61" s="1"/>
  <c r="C153" i="61" s="1"/>
  <c r="H153" i="61" l="1"/>
  <c r="J153" i="61" s="1"/>
  <c r="E153" i="61"/>
  <c r="F153" i="61" l="1"/>
  <c r="G153" i="61" s="1"/>
  <c r="I153" i="61" s="1"/>
  <c r="C154" i="61" s="1"/>
  <c r="E154" i="61" l="1"/>
  <c r="H154" i="61"/>
  <c r="J154" i="61" s="1"/>
  <c r="F154" i="61" l="1"/>
  <c r="G154" i="61" s="1"/>
  <c r="I154" i="61" s="1"/>
  <c r="C155" i="61" s="1"/>
  <c r="H155" i="61" l="1"/>
  <c r="J155" i="61" s="1"/>
  <c r="E155" i="61"/>
  <c r="F155" i="61" l="1"/>
  <c r="G155" i="61" s="1"/>
  <c r="I155" i="61" s="1"/>
  <c r="C156" i="61" s="1"/>
  <c r="H156" i="61" l="1"/>
  <c r="J156" i="61" s="1"/>
  <c r="E156" i="61"/>
  <c r="F156" i="61" l="1"/>
  <c r="G156" i="61" s="1"/>
  <c r="I156" i="61" s="1"/>
  <c r="C157" i="61" s="1"/>
  <c r="H157" i="61" l="1"/>
  <c r="J157" i="61" s="1"/>
  <c r="E157" i="61"/>
  <c r="F157" i="61" l="1"/>
  <c r="G157" i="61" s="1"/>
  <c r="I157" i="61" s="1"/>
  <c r="C158" i="61" s="1"/>
  <c r="H158" i="61" l="1"/>
  <c r="J158" i="61" s="1"/>
  <c r="E158" i="61"/>
  <c r="F158" i="61" l="1"/>
  <c r="G158" i="61" s="1"/>
  <c r="I158" i="61" s="1"/>
  <c r="C159" i="61" s="1"/>
  <c r="H159" i="61" l="1"/>
  <c r="J159" i="61" s="1"/>
  <c r="E159" i="61"/>
  <c r="F159" i="61" l="1"/>
  <c r="G159" i="61" s="1"/>
  <c r="I159" i="61" s="1"/>
  <c r="C160" i="61" s="1"/>
  <c r="H160" i="61" l="1"/>
  <c r="J160" i="61" s="1"/>
  <c r="E160" i="61"/>
  <c r="F160" i="61" l="1"/>
  <c r="G160" i="61" s="1"/>
  <c r="I160" i="61" s="1"/>
  <c r="C161" i="61" s="1"/>
  <c r="H161" i="61" l="1"/>
  <c r="J161" i="61" s="1"/>
  <c r="E161" i="61"/>
  <c r="F161" i="61" l="1"/>
  <c r="G161" i="61" s="1"/>
  <c r="I161" i="61" s="1"/>
  <c r="C162" i="61" s="1"/>
  <c r="H162" i="61" l="1"/>
  <c r="J162" i="61" s="1"/>
  <c r="E162" i="61"/>
  <c r="F162" i="61" l="1"/>
  <c r="G162" i="61" s="1"/>
  <c r="I162" i="61" s="1"/>
  <c r="C163" i="61" s="1"/>
  <c r="H163" i="61" l="1"/>
  <c r="J163" i="61" s="1"/>
  <c r="E163" i="61"/>
  <c r="F163" i="61" l="1"/>
  <c r="G163" i="61" s="1"/>
  <c r="I163" i="61" s="1"/>
  <c r="C164" i="61" s="1"/>
  <c r="H164" i="61" l="1"/>
  <c r="J164" i="61" s="1"/>
  <c r="E164" i="61"/>
  <c r="F164" i="61" l="1"/>
  <c r="G164" i="61" s="1"/>
  <c r="I164" i="61" s="1"/>
  <c r="C165" i="61" s="1"/>
  <c r="H165" i="61" l="1"/>
  <c r="J165" i="61" s="1"/>
  <c r="E165" i="61"/>
  <c r="F165" i="61" l="1"/>
  <c r="G165" i="61" s="1"/>
  <c r="I165" i="61" s="1"/>
  <c r="C166" i="61" s="1"/>
  <c r="H166" i="61" l="1"/>
  <c r="J166" i="61" s="1"/>
  <c r="E166" i="61"/>
  <c r="F166" i="61" l="1"/>
  <c r="G166" i="61" s="1"/>
  <c r="I166" i="61" s="1"/>
  <c r="C167" i="61" s="1"/>
  <c r="H167" i="61" l="1"/>
  <c r="J167" i="61" s="1"/>
  <c r="E167" i="61"/>
  <c r="F167" i="61" l="1"/>
  <c r="G167" i="61" s="1"/>
  <c r="I167" i="61" s="1"/>
  <c r="C168" i="61" s="1"/>
  <c r="H168" i="61" l="1"/>
  <c r="J168" i="61" s="1"/>
  <c r="E168" i="61"/>
  <c r="F168" i="61" l="1"/>
  <c r="G168" i="61" s="1"/>
  <c r="I168" i="61" s="1"/>
  <c r="C169" i="61" s="1"/>
  <c r="S10" i="17"/>
  <c r="M19" i="13"/>
  <c r="H169" i="61" l="1"/>
  <c r="J169" i="61" s="1"/>
  <c r="E169" i="61"/>
  <c r="S9" i="17"/>
  <c r="F169" i="61" l="1"/>
  <c r="G169" i="61" s="1"/>
  <c r="I169" i="61" s="1"/>
  <c r="C170" i="61" s="1"/>
  <c r="H170" i="61" l="1"/>
  <c r="J170" i="61" s="1"/>
  <c r="E170" i="61"/>
  <c r="F170" i="61" l="1"/>
  <c r="G170" i="61" s="1"/>
  <c r="I170" i="61" s="1"/>
  <c r="C171" i="61" s="1"/>
  <c r="H171" i="61" l="1"/>
  <c r="J171" i="61" s="1"/>
  <c r="E171" i="61"/>
  <c r="F171" i="61" l="1"/>
  <c r="G171" i="61" s="1"/>
  <c r="I171" i="61" s="1"/>
  <c r="C172" i="61" s="1"/>
  <c r="H172" i="61" l="1"/>
  <c r="J172" i="61" s="1"/>
  <c r="E172" i="61"/>
  <c r="F172" i="61" l="1"/>
  <c r="G172" i="61" s="1"/>
  <c r="I172" i="61" s="1"/>
  <c r="C173" i="61" s="1"/>
  <c r="H173" i="61" l="1"/>
  <c r="J173" i="61" s="1"/>
  <c r="E173" i="61"/>
  <c r="F173" i="61" l="1"/>
  <c r="G173" i="61" s="1"/>
  <c r="I173" i="61" s="1"/>
  <c r="C174" i="61" s="1"/>
  <c r="H174" i="61" l="1"/>
  <c r="J174" i="61" s="1"/>
  <c r="E174" i="61"/>
  <c r="F174" i="61" l="1"/>
  <c r="G174" i="61" s="1"/>
  <c r="I174" i="61" s="1"/>
  <c r="C175" i="61" s="1"/>
  <c r="H175" i="61" l="1"/>
  <c r="J175" i="61" s="1"/>
  <c r="E175" i="61"/>
  <c r="F175" i="61" l="1"/>
  <c r="G175" i="61" s="1"/>
  <c r="I175" i="61" s="1"/>
  <c r="C176" i="61" s="1"/>
  <c r="H176" i="61" l="1"/>
  <c r="J176" i="61" s="1"/>
  <c r="E176" i="61"/>
  <c r="F176" i="61" l="1"/>
  <c r="G176" i="61" s="1"/>
  <c r="I176" i="61" s="1"/>
  <c r="C177" i="61" s="1"/>
  <c r="H177" i="61" l="1"/>
  <c r="J177" i="61" s="1"/>
  <c r="E177" i="61"/>
  <c r="F177" i="61" l="1"/>
  <c r="G177" i="61" s="1"/>
  <c r="I177" i="61" s="1"/>
  <c r="C178" i="61" s="1"/>
  <c r="H178" i="61" l="1"/>
  <c r="J178" i="61" s="1"/>
  <c r="E178" i="61"/>
  <c r="F178" i="61" l="1"/>
  <c r="G178" i="61" s="1"/>
  <c r="I178" i="61" s="1"/>
  <c r="C179" i="61" s="1"/>
  <c r="H179" i="61" l="1"/>
  <c r="J179" i="61" s="1"/>
  <c r="E179" i="61"/>
  <c r="F179" i="61" l="1"/>
  <c r="G179" i="61" s="1"/>
  <c r="I179" i="61" s="1"/>
  <c r="C180" i="61" s="1"/>
  <c r="H180" i="61" l="1"/>
  <c r="J180" i="61" s="1"/>
  <c r="E180" i="61"/>
  <c r="F180" i="61" l="1"/>
  <c r="G180" i="61" s="1"/>
  <c r="I180" i="61" s="1"/>
  <c r="C181" i="61" s="1"/>
  <c r="H181" i="61" l="1"/>
  <c r="J181" i="61" s="1"/>
  <c r="E181" i="61"/>
  <c r="F181" i="61" l="1"/>
  <c r="G181" i="61" s="1"/>
  <c r="I181" i="61" s="1"/>
  <c r="C182" i="61" s="1"/>
  <c r="H182" i="61" l="1"/>
  <c r="J182" i="61" s="1"/>
  <c r="E182" i="61"/>
  <c r="F182" i="61" l="1"/>
  <c r="G182" i="61" s="1"/>
  <c r="I182" i="61" s="1"/>
  <c r="C183" i="61" s="1"/>
  <c r="H183" i="61" l="1"/>
  <c r="J183" i="61" s="1"/>
  <c r="E183" i="61"/>
  <c r="F183" i="61" l="1"/>
  <c r="G183" i="61" s="1"/>
  <c r="I183" i="61" s="1"/>
  <c r="C184" i="61" s="1"/>
  <c r="H184" i="61" l="1"/>
  <c r="J184" i="61" s="1"/>
  <c r="E184" i="61"/>
  <c r="F184" i="61" l="1"/>
  <c r="G184" i="61" s="1"/>
  <c r="I184" i="61" s="1"/>
  <c r="C185" i="61" s="1"/>
  <c r="H185" i="61" l="1"/>
  <c r="J185" i="61" s="1"/>
  <c r="E185" i="61"/>
  <c r="F185" i="61" l="1"/>
  <c r="G185" i="61" s="1"/>
  <c r="I185" i="61" s="1"/>
  <c r="C186" i="61" s="1"/>
  <c r="H186" i="61" l="1"/>
  <c r="J186" i="61" s="1"/>
  <c r="E186" i="61"/>
  <c r="F186" i="61" l="1"/>
  <c r="G186" i="61" s="1"/>
  <c r="I186" i="61" s="1"/>
  <c r="C187" i="61" s="1"/>
  <c r="H187" i="61" l="1"/>
  <c r="J187" i="61" s="1"/>
  <c r="E187" i="61"/>
  <c r="F187" i="61" l="1"/>
  <c r="G187" i="61" s="1"/>
  <c r="I187" i="61" s="1"/>
  <c r="C188" i="61" s="1"/>
  <c r="H188" i="61" l="1"/>
  <c r="J188" i="61" s="1"/>
  <c r="E188" i="61"/>
  <c r="F188" i="61" l="1"/>
  <c r="G188" i="61" s="1"/>
  <c r="I188" i="61" s="1"/>
  <c r="C189" i="61" s="1"/>
  <c r="H189" i="61" l="1"/>
  <c r="J189" i="61" s="1"/>
  <c r="E189" i="61"/>
  <c r="F189" i="61" l="1"/>
  <c r="G189" i="61" s="1"/>
  <c r="I189" i="61" s="1"/>
  <c r="C190" i="61" s="1"/>
  <c r="H190" i="61" l="1"/>
  <c r="J190" i="61" s="1"/>
  <c r="E190" i="61"/>
  <c r="F190" i="61" l="1"/>
  <c r="G190" i="61" s="1"/>
  <c r="I190" i="61" s="1"/>
  <c r="C191" i="61" s="1"/>
  <c r="H191" i="61" l="1"/>
  <c r="J191" i="61" s="1"/>
  <c r="E191" i="61"/>
  <c r="F191" i="61" l="1"/>
  <c r="G191" i="61" s="1"/>
  <c r="I191" i="61" s="1"/>
  <c r="C192" i="61" s="1"/>
  <c r="E192" i="61" l="1"/>
  <c r="H192" i="61"/>
  <c r="J192" i="61" s="1"/>
  <c r="F192" i="61" l="1"/>
  <c r="G192" i="61" s="1"/>
  <c r="I192" i="61" s="1"/>
  <c r="C193" i="61" s="1"/>
  <c r="H193" i="61" l="1"/>
  <c r="J193" i="61" s="1"/>
  <c r="E193" i="61"/>
  <c r="F193" i="61" l="1"/>
  <c r="G193" i="61" s="1"/>
  <c r="I193" i="61" s="1"/>
  <c r="C194" i="61" s="1"/>
  <c r="H194" i="61" l="1"/>
  <c r="J194" i="61" s="1"/>
  <c r="E194" i="61"/>
  <c r="F194" i="61" l="1"/>
  <c r="G194" i="61" s="1"/>
  <c r="I194" i="61" s="1"/>
  <c r="C195" i="61" s="1"/>
  <c r="H195" i="61" l="1"/>
  <c r="J195" i="61" s="1"/>
  <c r="E195" i="61"/>
  <c r="F195" i="61" l="1"/>
  <c r="G195" i="61" s="1"/>
  <c r="I195" i="61" s="1"/>
  <c r="C196" i="61" s="1"/>
  <c r="H196" i="61" l="1"/>
  <c r="J196" i="61" s="1"/>
  <c r="E196" i="61"/>
  <c r="F196" i="61" l="1"/>
  <c r="G196" i="61" s="1"/>
  <c r="I196" i="61" s="1"/>
  <c r="C197" i="61" s="1"/>
  <c r="H197" i="61" l="1"/>
  <c r="J197" i="61" s="1"/>
  <c r="E197" i="61"/>
  <c r="F197" i="61" l="1"/>
  <c r="G197" i="61" s="1"/>
  <c r="I197" i="61" s="1"/>
  <c r="C198" i="61" s="1"/>
  <c r="H198" i="61" l="1"/>
  <c r="J198" i="61" s="1"/>
  <c r="E198" i="61"/>
  <c r="F198" i="61" l="1"/>
  <c r="G198" i="61" s="1"/>
  <c r="I198" i="61" s="1"/>
  <c r="C199" i="61" s="1"/>
  <c r="H199" i="61" l="1"/>
  <c r="J199" i="61" s="1"/>
  <c r="E199" i="61"/>
  <c r="F199" i="61" l="1"/>
  <c r="G199" i="61" s="1"/>
  <c r="I199" i="61" s="1"/>
  <c r="C200" i="61" s="1"/>
  <c r="H200" i="61" l="1"/>
  <c r="J200" i="61" s="1"/>
  <c r="E200" i="61"/>
  <c r="F200" i="61" l="1"/>
  <c r="G200" i="61" s="1"/>
  <c r="I200" i="61" s="1"/>
  <c r="C201" i="61" s="1"/>
  <c r="H201" i="61" l="1"/>
  <c r="J201" i="61" s="1"/>
  <c r="E201" i="61"/>
  <c r="F201" i="61" l="1"/>
  <c r="G201" i="61" s="1"/>
  <c r="I201" i="61" s="1"/>
  <c r="C202" i="61" s="1"/>
  <c r="H202" i="61" l="1"/>
  <c r="J202" i="61" s="1"/>
  <c r="E202" i="61"/>
  <c r="F202" i="61" l="1"/>
  <c r="G202" i="61" s="1"/>
  <c r="I202" i="61" s="1"/>
  <c r="C203" i="61" s="1"/>
  <c r="H203" i="61" l="1"/>
  <c r="J203" i="61" s="1"/>
  <c r="E203" i="61"/>
  <c r="F203" i="61" l="1"/>
  <c r="G203" i="61" s="1"/>
  <c r="I203" i="61" s="1"/>
  <c r="C204" i="61" s="1"/>
  <c r="H204" i="61" l="1"/>
  <c r="J204" i="61" s="1"/>
  <c r="E204" i="61"/>
  <c r="F204" i="61" l="1"/>
  <c r="G204" i="61" s="1"/>
  <c r="I204" i="61" s="1"/>
  <c r="C205" i="61" s="1"/>
  <c r="H205" i="61" l="1"/>
  <c r="J205" i="61" s="1"/>
  <c r="E205" i="61"/>
  <c r="F205" i="61" l="1"/>
  <c r="G205" i="61" s="1"/>
  <c r="I205" i="61" s="1"/>
  <c r="C206" i="61" s="1"/>
  <c r="H206" i="61" l="1"/>
  <c r="J206" i="61" s="1"/>
  <c r="E206" i="61"/>
  <c r="F206" i="61" l="1"/>
  <c r="G206" i="61" s="1"/>
  <c r="I206" i="61" s="1"/>
  <c r="C207" i="61" s="1"/>
  <c r="H207" i="61" l="1"/>
  <c r="J207" i="61" s="1"/>
  <c r="E207" i="61"/>
  <c r="F207" i="61" l="1"/>
  <c r="G207" i="61" s="1"/>
  <c r="I207" i="61" s="1"/>
  <c r="C208" i="61" s="1"/>
  <c r="H208" i="61" l="1"/>
  <c r="J208" i="61" s="1"/>
  <c r="E208" i="61"/>
  <c r="F208" i="61" l="1"/>
  <c r="G208" i="61" s="1"/>
  <c r="I208" i="61" s="1"/>
  <c r="C209" i="61" s="1"/>
  <c r="H209" i="61" l="1"/>
  <c r="J209" i="61" s="1"/>
  <c r="E209" i="61"/>
  <c r="F209" i="61" l="1"/>
  <c r="G209" i="61" s="1"/>
  <c r="I209" i="61" s="1"/>
  <c r="C210" i="61" s="1"/>
  <c r="H210" i="61" l="1"/>
  <c r="J210" i="61" s="1"/>
  <c r="E210" i="61"/>
  <c r="F210" i="61" l="1"/>
  <c r="G210" i="61" s="1"/>
  <c r="I210" i="61" s="1"/>
  <c r="C211" i="61" s="1"/>
  <c r="H211" i="61" l="1"/>
  <c r="J211" i="61" s="1"/>
  <c r="E211" i="61"/>
  <c r="F211" i="61" l="1"/>
  <c r="G211" i="61" s="1"/>
  <c r="I211" i="61" s="1"/>
  <c r="C212" i="61" s="1"/>
  <c r="H212" i="61" l="1"/>
  <c r="J212" i="61" s="1"/>
  <c r="E212" i="61"/>
  <c r="F212" i="61" l="1"/>
  <c r="G212" i="61" s="1"/>
  <c r="I212" i="61" s="1"/>
  <c r="C213" i="61" s="1"/>
  <c r="H213" i="61" l="1"/>
  <c r="J213" i="61" s="1"/>
  <c r="E213" i="61"/>
  <c r="F213" i="61" l="1"/>
  <c r="G213" i="61" s="1"/>
  <c r="I213" i="61" s="1"/>
  <c r="C214" i="61" s="1"/>
  <c r="H214" i="61" l="1"/>
  <c r="J214" i="61" s="1"/>
  <c r="E214" i="61"/>
  <c r="F214" i="61" l="1"/>
  <c r="G214" i="61" s="1"/>
  <c r="I214" i="61" s="1"/>
  <c r="C215" i="61" s="1"/>
  <c r="H215" i="61" l="1"/>
  <c r="J215" i="61" s="1"/>
  <c r="E215" i="61"/>
  <c r="F215" i="61" l="1"/>
  <c r="G215" i="61" s="1"/>
  <c r="I215" i="61" s="1"/>
  <c r="C216" i="61" s="1"/>
  <c r="H216" i="61" l="1"/>
  <c r="J216" i="61" s="1"/>
  <c r="E216" i="61"/>
  <c r="F216" i="61" l="1"/>
  <c r="G216" i="61" s="1"/>
  <c r="I216" i="61" s="1"/>
  <c r="C217" i="61" s="1"/>
  <c r="H217" i="61" l="1"/>
  <c r="J217" i="61" s="1"/>
  <c r="E217" i="61"/>
  <c r="F217" i="61" l="1"/>
  <c r="G217" i="61" s="1"/>
  <c r="I217" i="61" s="1"/>
  <c r="C218" i="61" s="1"/>
  <c r="H218" i="61" l="1"/>
  <c r="J218" i="61" s="1"/>
  <c r="E218" i="61"/>
  <c r="F218" i="61" l="1"/>
  <c r="G218" i="61" s="1"/>
  <c r="I218" i="61" s="1"/>
  <c r="C219" i="61" s="1"/>
  <c r="H219" i="61" l="1"/>
  <c r="J219" i="61" s="1"/>
  <c r="E219" i="61"/>
  <c r="F219" i="61" l="1"/>
  <c r="G219" i="61" s="1"/>
  <c r="I219" i="61" s="1"/>
  <c r="C220" i="61" s="1"/>
  <c r="H220" i="61" l="1"/>
  <c r="J220" i="61" s="1"/>
  <c r="E220" i="61"/>
  <c r="F220" i="61" l="1"/>
  <c r="G220" i="61" s="1"/>
  <c r="I220" i="61" s="1"/>
  <c r="C221" i="61" s="1"/>
  <c r="H221" i="61" l="1"/>
  <c r="J221" i="61" s="1"/>
  <c r="E221" i="61"/>
  <c r="F221" i="61" l="1"/>
  <c r="G221" i="61" s="1"/>
  <c r="I221" i="61" s="1"/>
  <c r="C222" i="61" s="1"/>
  <c r="H222" i="61" l="1"/>
  <c r="J222" i="61" s="1"/>
  <c r="E222" i="61"/>
  <c r="F222" i="61" l="1"/>
  <c r="G222" i="61" s="1"/>
  <c r="I222" i="61" s="1"/>
  <c r="C223" i="61" s="1"/>
  <c r="H223" i="61" l="1"/>
  <c r="J223" i="61" s="1"/>
  <c r="E223" i="61"/>
  <c r="F223" i="61" l="1"/>
  <c r="G223" i="61" s="1"/>
  <c r="I223" i="61" s="1"/>
  <c r="C224" i="61" s="1"/>
  <c r="H224" i="61" l="1"/>
  <c r="J224" i="61" s="1"/>
  <c r="E224" i="61"/>
  <c r="F224" i="61" l="1"/>
  <c r="G224" i="61" s="1"/>
  <c r="I224" i="61" s="1"/>
  <c r="C225" i="61" s="1"/>
  <c r="H225" i="61" l="1"/>
  <c r="J225" i="61" s="1"/>
  <c r="E225" i="61"/>
  <c r="F225" i="61" l="1"/>
  <c r="G225" i="61" s="1"/>
  <c r="I225" i="61" s="1"/>
  <c r="C226" i="61" s="1"/>
  <c r="H226" i="61" l="1"/>
  <c r="J226" i="61" s="1"/>
  <c r="E226" i="61"/>
  <c r="F226" i="61" l="1"/>
  <c r="G226" i="61" s="1"/>
  <c r="I226" i="61" s="1"/>
  <c r="C227" i="61" s="1"/>
  <c r="H227" i="61" l="1"/>
  <c r="J227" i="61" s="1"/>
  <c r="E227" i="61"/>
  <c r="F227" i="61" l="1"/>
  <c r="G227" i="61" s="1"/>
  <c r="I227" i="61" s="1"/>
  <c r="C228" i="61" s="1"/>
  <c r="H228" i="61" l="1"/>
  <c r="J228" i="61" s="1"/>
  <c r="E228" i="61"/>
  <c r="F228" i="61" l="1"/>
  <c r="G228" i="61" s="1"/>
  <c r="I228" i="61" s="1"/>
  <c r="C229" i="61" s="1"/>
  <c r="H229" i="61" l="1"/>
  <c r="J229" i="61" s="1"/>
  <c r="E229" i="61"/>
  <c r="F229" i="61" l="1"/>
  <c r="G229" i="61" s="1"/>
  <c r="I229" i="61" s="1"/>
  <c r="C230" i="61" s="1"/>
  <c r="H230" i="61" l="1"/>
  <c r="J230" i="61" s="1"/>
  <c r="E230" i="61"/>
  <c r="F230" i="61" l="1"/>
  <c r="G230" i="61" s="1"/>
  <c r="I230" i="61" s="1"/>
  <c r="C231" i="61" s="1"/>
  <c r="H231" i="61" l="1"/>
  <c r="J231" i="61" s="1"/>
  <c r="E231" i="61"/>
  <c r="F231" i="61" l="1"/>
  <c r="G231" i="61" s="1"/>
  <c r="I231" i="61" s="1"/>
  <c r="C232" i="61" s="1"/>
  <c r="H232" i="61" l="1"/>
  <c r="J232" i="61" s="1"/>
  <c r="E232" i="61"/>
  <c r="F232" i="61" l="1"/>
  <c r="G232" i="61" s="1"/>
  <c r="I232" i="61" s="1"/>
  <c r="C233" i="61" s="1"/>
  <c r="H233" i="61" l="1"/>
  <c r="J233" i="61" s="1"/>
  <c r="E233" i="61"/>
  <c r="F233" i="61" l="1"/>
  <c r="G233" i="61" s="1"/>
  <c r="I233" i="61" s="1"/>
  <c r="C234" i="61" s="1"/>
  <c r="H234" i="61" l="1"/>
  <c r="J234" i="61" s="1"/>
  <c r="E234" i="61"/>
  <c r="F234" i="61" l="1"/>
  <c r="G234" i="61" s="1"/>
  <c r="I234" i="61" s="1"/>
  <c r="C235" i="61" s="1"/>
  <c r="H235" i="61" l="1"/>
  <c r="J235" i="61" s="1"/>
  <c r="E235" i="61"/>
  <c r="F235" i="61" l="1"/>
  <c r="G235" i="61" s="1"/>
  <c r="I235" i="61" s="1"/>
  <c r="C236" i="61" s="1"/>
  <c r="H236" i="61" l="1"/>
  <c r="J236" i="61" s="1"/>
  <c r="E236" i="61"/>
  <c r="F236" i="61" l="1"/>
  <c r="G236" i="61" s="1"/>
  <c r="I236" i="61" s="1"/>
  <c r="C237" i="61" s="1"/>
  <c r="H237" i="61" l="1"/>
  <c r="J237" i="61" s="1"/>
  <c r="E237" i="61"/>
  <c r="F237" i="61" l="1"/>
  <c r="G237" i="61" s="1"/>
  <c r="I237" i="61" s="1"/>
  <c r="C238" i="61" s="1"/>
  <c r="H238" i="61" l="1"/>
  <c r="J238" i="61" s="1"/>
  <c r="E238" i="61"/>
  <c r="F238" i="61" l="1"/>
  <c r="G238" i="61" s="1"/>
  <c r="I238" i="61" s="1"/>
  <c r="C239" i="61" s="1"/>
  <c r="H239" i="61" l="1"/>
  <c r="J239" i="61" s="1"/>
  <c r="E239" i="61"/>
  <c r="F239" i="61" l="1"/>
  <c r="G239" i="61" s="1"/>
  <c r="I239" i="61" s="1"/>
  <c r="C240" i="61" s="1"/>
  <c r="H240" i="61" l="1"/>
  <c r="J240" i="61" s="1"/>
  <c r="E240" i="61"/>
  <c r="F240" i="61" l="1"/>
  <c r="G240" i="61" s="1"/>
  <c r="I240" i="61" s="1"/>
  <c r="C241" i="61" s="1"/>
  <c r="H241" i="61" l="1"/>
  <c r="J241" i="61" s="1"/>
  <c r="E241" i="61"/>
  <c r="F241" i="61" l="1"/>
  <c r="G241" i="61" s="1"/>
  <c r="I241" i="61" s="1"/>
  <c r="C242" i="61" s="1"/>
  <c r="H242" i="61" l="1"/>
  <c r="J242" i="61" s="1"/>
  <c r="E242" i="61"/>
  <c r="F242" i="61" l="1"/>
  <c r="G242" i="61" s="1"/>
  <c r="I242" i="61" s="1"/>
  <c r="C243" i="61" s="1"/>
  <c r="H243" i="61" l="1"/>
  <c r="J243" i="61" s="1"/>
  <c r="E243" i="61"/>
  <c r="F243" i="61" l="1"/>
  <c r="G243" i="61" s="1"/>
  <c r="I243" i="61" s="1"/>
  <c r="C244" i="61" s="1"/>
  <c r="H244" i="61" l="1"/>
  <c r="J244" i="61" s="1"/>
  <c r="E244" i="61"/>
  <c r="F244" i="61" l="1"/>
  <c r="G244" i="61" s="1"/>
  <c r="I244" i="61" s="1"/>
  <c r="C245" i="61" s="1"/>
  <c r="H245" i="61" l="1"/>
  <c r="J245" i="61" s="1"/>
  <c r="E245" i="61"/>
  <c r="F245" i="61" l="1"/>
  <c r="G245" i="61" s="1"/>
  <c r="I245" i="61" s="1"/>
  <c r="C246" i="61" s="1"/>
  <c r="H246" i="61" l="1"/>
  <c r="J246" i="61" s="1"/>
  <c r="E246" i="61"/>
  <c r="F246" i="61" l="1"/>
  <c r="G246" i="61" s="1"/>
  <c r="I246" i="61" s="1"/>
  <c r="C247" i="61" s="1"/>
  <c r="H247" i="61" l="1"/>
  <c r="J247" i="61" s="1"/>
  <c r="E247" i="61"/>
  <c r="F247" i="61" l="1"/>
  <c r="G247" i="61" s="1"/>
  <c r="I247" i="61" s="1"/>
  <c r="C248" i="61" s="1"/>
  <c r="H248" i="61" l="1"/>
  <c r="J248" i="61" s="1"/>
  <c r="E248" i="61"/>
  <c r="F248" i="61" l="1"/>
  <c r="G248" i="61" s="1"/>
  <c r="I248" i="61" s="1"/>
  <c r="C249" i="61" s="1"/>
  <c r="H249" i="61" l="1"/>
  <c r="J249" i="61" s="1"/>
  <c r="E249" i="61"/>
  <c r="F249" i="61" l="1"/>
  <c r="G249" i="61" s="1"/>
  <c r="I249" i="61" s="1"/>
  <c r="C250" i="61" s="1"/>
  <c r="H250" i="61" l="1"/>
  <c r="J250" i="61" s="1"/>
  <c r="E250" i="61"/>
  <c r="F250" i="61" l="1"/>
  <c r="G250" i="61" s="1"/>
  <c r="I250" i="61" s="1"/>
  <c r="C251" i="61" s="1"/>
  <c r="H251" i="61" l="1"/>
  <c r="J251" i="61" s="1"/>
  <c r="E251" i="61"/>
  <c r="F251" i="61" l="1"/>
  <c r="G251" i="61" s="1"/>
  <c r="I251" i="61" s="1"/>
  <c r="C252" i="61" s="1"/>
  <c r="H252" i="61" l="1"/>
  <c r="J252" i="61" s="1"/>
  <c r="E252" i="61"/>
  <c r="F252" i="61" l="1"/>
  <c r="G252" i="61" s="1"/>
  <c r="I252" i="61" s="1"/>
  <c r="C253" i="61" s="1"/>
  <c r="H253" i="61" l="1"/>
  <c r="J253" i="61" s="1"/>
  <c r="E253" i="61"/>
  <c r="F253" i="61" l="1"/>
  <c r="G253" i="61" s="1"/>
  <c r="I253" i="61" s="1"/>
  <c r="C254" i="61" s="1"/>
  <c r="H254" i="61" l="1"/>
  <c r="J254" i="61" s="1"/>
  <c r="E254" i="61"/>
  <c r="F254" i="61" l="1"/>
  <c r="G254" i="61" s="1"/>
  <c r="I254" i="61" s="1"/>
  <c r="C255" i="61" s="1"/>
  <c r="H255" i="61" l="1"/>
  <c r="J255" i="61" s="1"/>
  <c r="E255" i="61"/>
  <c r="F255" i="61" l="1"/>
  <c r="G255" i="61" s="1"/>
  <c r="I255" i="61" s="1"/>
  <c r="C256" i="61" s="1"/>
  <c r="H256" i="61" l="1"/>
  <c r="J256" i="61" s="1"/>
  <c r="E256" i="61"/>
  <c r="F256" i="61" l="1"/>
  <c r="G256" i="61" s="1"/>
  <c r="I256" i="61" s="1"/>
  <c r="C257" i="61" s="1"/>
  <c r="H257" i="61" l="1"/>
  <c r="J257" i="61" s="1"/>
  <c r="E257" i="61"/>
  <c r="F257" i="61" l="1"/>
  <c r="G257" i="61" s="1"/>
  <c r="I257" i="61" s="1"/>
  <c r="C258" i="61" s="1"/>
  <c r="H258" i="61" l="1"/>
  <c r="J258" i="61" s="1"/>
  <c r="E258" i="61"/>
  <c r="F258" i="61" l="1"/>
  <c r="G258" i="61" s="1"/>
  <c r="I258" i="61" s="1"/>
  <c r="C259" i="61" s="1"/>
  <c r="H259" i="61" l="1"/>
  <c r="J259" i="61" s="1"/>
  <c r="E259" i="61"/>
  <c r="F259" i="61" l="1"/>
  <c r="G259" i="61" s="1"/>
  <c r="I259" i="61" s="1"/>
  <c r="C260" i="61" s="1"/>
  <c r="H260" i="61" l="1"/>
  <c r="J260" i="61" s="1"/>
  <c r="E260" i="61"/>
  <c r="F260" i="61" l="1"/>
  <c r="G260" i="61" s="1"/>
  <c r="I260" i="61" s="1"/>
  <c r="C261" i="61" s="1"/>
  <c r="H261" i="61" l="1"/>
  <c r="J261" i="61" s="1"/>
  <c r="E261" i="61"/>
  <c r="F261" i="61" l="1"/>
  <c r="G261" i="61" s="1"/>
  <c r="I261" i="61" s="1"/>
  <c r="C262" i="61" s="1"/>
  <c r="H262" i="61" l="1"/>
  <c r="J262" i="61" s="1"/>
  <c r="E262" i="61"/>
  <c r="F262" i="61" l="1"/>
  <c r="G262" i="61" s="1"/>
  <c r="I262" i="61" s="1"/>
  <c r="C263" i="61" s="1"/>
  <c r="H263" i="61" l="1"/>
  <c r="J263" i="61" s="1"/>
  <c r="E263" i="61"/>
  <c r="F263" i="61" l="1"/>
  <c r="G263" i="61" s="1"/>
  <c r="I263" i="61" s="1"/>
  <c r="C264" i="61" s="1"/>
  <c r="H264" i="61" l="1"/>
  <c r="J264" i="61" s="1"/>
  <c r="E264" i="61"/>
  <c r="F264" i="61" l="1"/>
  <c r="G264" i="61" s="1"/>
  <c r="I264" i="61" s="1"/>
  <c r="C265" i="61" s="1"/>
  <c r="H265" i="61" l="1"/>
  <c r="J265" i="61" s="1"/>
  <c r="E265" i="61"/>
  <c r="F265" i="61" l="1"/>
  <c r="G265" i="61" s="1"/>
  <c r="I265" i="61" s="1"/>
  <c r="C266" i="61" s="1"/>
  <c r="H266" i="61" l="1"/>
  <c r="J266" i="61" s="1"/>
  <c r="E266" i="61"/>
  <c r="F266" i="61" l="1"/>
  <c r="G266" i="61" s="1"/>
  <c r="I266" i="61" s="1"/>
  <c r="C267" i="61" s="1"/>
  <c r="H267" i="61" l="1"/>
  <c r="J267" i="61" s="1"/>
  <c r="E267" i="61"/>
  <c r="F267" i="61" l="1"/>
  <c r="G267" i="61" s="1"/>
  <c r="I267" i="61" s="1"/>
  <c r="C268" i="61" s="1"/>
  <c r="H268" i="61" l="1"/>
  <c r="J268" i="61" s="1"/>
  <c r="E268" i="61"/>
  <c r="F268" i="61" l="1"/>
  <c r="G268" i="61" s="1"/>
  <c r="I268" i="61" s="1"/>
  <c r="C269" i="61" s="1"/>
  <c r="H269" i="61" l="1"/>
  <c r="J269" i="61" s="1"/>
  <c r="E269" i="61"/>
  <c r="F269" i="61" l="1"/>
  <c r="G269" i="61" s="1"/>
  <c r="I269" i="61" s="1"/>
  <c r="C270" i="61" s="1"/>
  <c r="H270" i="61" l="1"/>
  <c r="J270" i="61" s="1"/>
  <c r="E270" i="61"/>
  <c r="F270" i="61" l="1"/>
  <c r="G270" i="61" s="1"/>
  <c r="I270" i="61" s="1"/>
  <c r="C271" i="61" s="1"/>
  <c r="H271" i="61" l="1"/>
  <c r="J271" i="61" s="1"/>
  <c r="E271" i="61"/>
  <c r="F271" i="61" l="1"/>
  <c r="G271" i="61" s="1"/>
  <c r="I271" i="61" s="1"/>
  <c r="C272" i="61" s="1"/>
  <c r="H272" i="61" l="1"/>
  <c r="J272" i="61" s="1"/>
  <c r="E272" i="61"/>
  <c r="F272" i="61" l="1"/>
  <c r="G272" i="61" s="1"/>
  <c r="I272" i="61" s="1"/>
  <c r="C273" i="61" s="1"/>
  <c r="H273" i="61" l="1"/>
  <c r="J273" i="61" s="1"/>
  <c r="E273" i="61"/>
  <c r="F273" i="61" l="1"/>
  <c r="G273" i="61" s="1"/>
  <c r="I273" i="61" s="1"/>
  <c r="C274" i="61" s="1"/>
  <c r="H274" i="61" l="1"/>
  <c r="J274" i="61" s="1"/>
  <c r="E274" i="61"/>
  <c r="F274" i="61" l="1"/>
  <c r="G274" i="61" s="1"/>
  <c r="I274" i="61" s="1"/>
  <c r="C275" i="61" s="1"/>
  <c r="H275" i="61" l="1"/>
  <c r="J275" i="61" s="1"/>
  <c r="E275" i="61"/>
  <c r="F275" i="61" l="1"/>
  <c r="G275" i="61" s="1"/>
  <c r="I275" i="61" s="1"/>
  <c r="C276" i="61" s="1"/>
  <c r="H276" i="61" l="1"/>
  <c r="J276" i="61" s="1"/>
  <c r="E276" i="61"/>
  <c r="F276" i="61" l="1"/>
  <c r="G276" i="61" s="1"/>
  <c r="I276" i="61" s="1"/>
  <c r="C277" i="61" s="1"/>
  <c r="H277" i="61" l="1"/>
  <c r="J277" i="61" s="1"/>
  <c r="E277" i="61"/>
  <c r="F277" i="61" l="1"/>
  <c r="G277" i="61" s="1"/>
  <c r="I277" i="61" s="1"/>
  <c r="C278" i="61" s="1"/>
  <c r="H278" i="61" l="1"/>
  <c r="J278" i="61" s="1"/>
  <c r="E278" i="61"/>
  <c r="F278" i="61" l="1"/>
  <c r="G278" i="61" s="1"/>
  <c r="I278" i="61" s="1"/>
  <c r="C279" i="61" s="1"/>
  <c r="H279" i="61" l="1"/>
  <c r="J279" i="61" s="1"/>
  <c r="E279" i="61"/>
  <c r="F279" i="61" l="1"/>
  <c r="G279" i="61" s="1"/>
  <c r="I279" i="61" s="1"/>
  <c r="C280" i="61" s="1"/>
  <c r="H280" i="61" l="1"/>
  <c r="J280" i="61" s="1"/>
  <c r="E280" i="61"/>
  <c r="F280" i="61" l="1"/>
  <c r="G280" i="61" s="1"/>
  <c r="I280" i="61" s="1"/>
  <c r="C281" i="61" s="1"/>
  <c r="H281" i="61" l="1"/>
  <c r="J281" i="61" s="1"/>
  <c r="E281" i="61"/>
  <c r="F281" i="61" l="1"/>
  <c r="G281" i="61" s="1"/>
  <c r="I281" i="61" s="1"/>
  <c r="C282" i="61" s="1"/>
  <c r="H282" i="61" l="1"/>
  <c r="J282" i="61" s="1"/>
  <c r="E282" i="61"/>
  <c r="F282" i="61" l="1"/>
  <c r="G282" i="61" s="1"/>
  <c r="I282" i="61" s="1"/>
  <c r="C283" i="61" s="1"/>
  <c r="H283" i="61" l="1"/>
  <c r="J283" i="61" s="1"/>
  <c r="E283" i="61"/>
  <c r="F283" i="61" l="1"/>
  <c r="G283" i="61" s="1"/>
  <c r="I283" i="61" s="1"/>
  <c r="C284" i="61" s="1"/>
  <c r="H284" i="61" l="1"/>
  <c r="J284" i="61" s="1"/>
  <c r="E284" i="61"/>
  <c r="F284" i="61" l="1"/>
  <c r="G284" i="61" s="1"/>
  <c r="I284" i="61" s="1"/>
  <c r="C285" i="61" s="1"/>
  <c r="H285" i="61" l="1"/>
  <c r="J285" i="61" s="1"/>
  <c r="E285" i="61"/>
  <c r="F285" i="61" l="1"/>
  <c r="G285" i="61" s="1"/>
  <c r="I285" i="61" s="1"/>
  <c r="C286" i="61" s="1"/>
  <c r="H286" i="61" l="1"/>
  <c r="J286" i="61" s="1"/>
  <c r="E286" i="61"/>
  <c r="F286" i="61" l="1"/>
  <c r="G286" i="61" s="1"/>
  <c r="I286" i="61" s="1"/>
  <c r="C287" i="61" s="1"/>
  <c r="H287" i="61" l="1"/>
  <c r="J287" i="61" s="1"/>
  <c r="E287" i="61"/>
  <c r="F287" i="61" l="1"/>
  <c r="G287" i="61" s="1"/>
  <c r="I287" i="61" s="1"/>
  <c r="C288" i="61" s="1"/>
  <c r="H288" i="61" l="1"/>
  <c r="J288" i="61" s="1"/>
  <c r="E288" i="61"/>
  <c r="F288" i="61" l="1"/>
  <c r="G288" i="61" s="1"/>
  <c r="I288" i="61" s="1"/>
  <c r="C289" i="61" s="1"/>
  <c r="H289" i="61" l="1"/>
  <c r="J289" i="61" s="1"/>
  <c r="E289" i="61"/>
  <c r="F289" i="61" l="1"/>
  <c r="G289" i="61" s="1"/>
  <c r="I289" i="61" s="1"/>
  <c r="C290" i="61" s="1"/>
  <c r="H290" i="61" l="1"/>
  <c r="J290" i="61" s="1"/>
  <c r="E290" i="61"/>
  <c r="F290" i="61" l="1"/>
  <c r="G290" i="61" s="1"/>
  <c r="I290" i="61" s="1"/>
  <c r="C291" i="61" s="1"/>
  <c r="H291" i="61" l="1"/>
  <c r="J291" i="61" s="1"/>
  <c r="E291" i="61"/>
  <c r="F291" i="61" l="1"/>
  <c r="G291" i="61" s="1"/>
  <c r="I291" i="61" s="1"/>
  <c r="C292" i="61" s="1"/>
  <c r="H292" i="61" l="1"/>
  <c r="J292" i="61" s="1"/>
  <c r="E292" i="61"/>
  <c r="F292" i="61" l="1"/>
  <c r="G292" i="61" s="1"/>
  <c r="I292" i="61" s="1"/>
  <c r="C293" i="61" s="1"/>
  <c r="H293" i="61" l="1"/>
  <c r="J293" i="61" s="1"/>
  <c r="E293" i="61"/>
  <c r="F293" i="61" l="1"/>
  <c r="G293" i="61" s="1"/>
  <c r="I293" i="61" s="1"/>
  <c r="C294" i="61" s="1"/>
  <c r="H294" i="61" l="1"/>
  <c r="J294" i="61" s="1"/>
  <c r="E294" i="61"/>
  <c r="F294" i="61" l="1"/>
  <c r="G294" i="61" s="1"/>
  <c r="I294" i="61" s="1"/>
  <c r="C295" i="61" s="1"/>
  <c r="H295" i="61" l="1"/>
  <c r="J295" i="61" s="1"/>
  <c r="E295" i="61"/>
  <c r="F295" i="61" l="1"/>
  <c r="G295" i="61" s="1"/>
  <c r="I295" i="61" s="1"/>
  <c r="C296" i="61" s="1"/>
  <c r="H296" i="61" l="1"/>
  <c r="J296" i="61" s="1"/>
  <c r="E296" i="61"/>
  <c r="F296" i="61" l="1"/>
  <c r="G296" i="61" s="1"/>
  <c r="I296" i="61" s="1"/>
  <c r="C297" i="61" s="1"/>
  <c r="H297" i="61" l="1"/>
  <c r="J297" i="61" s="1"/>
  <c r="E297" i="61"/>
  <c r="F297" i="61" l="1"/>
  <c r="G297" i="61" s="1"/>
  <c r="I297" i="61" s="1"/>
  <c r="C298" i="61" s="1"/>
  <c r="H298" i="61" l="1"/>
  <c r="J298" i="61" s="1"/>
  <c r="E298" i="61"/>
  <c r="F298" i="61" l="1"/>
  <c r="G298" i="61" s="1"/>
  <c r="I298" i="61" s="1"/>
  <c r="C299" i="61" s="1"/>
  <c r="H299" i="61" l="1"/>
  <c r="J299" i="61" s="1"/>
  <c r="E299" i="61"/>
  <c r="F299" i="61" l="1"/>
  <c r="G299" i="61" s="1"/>
  <c r="I299" i="61" s="1"/>
  <c r="C300" i="61" s="1"/>
  <c r="H300" i="61" l="1"/>
  <c r="J300" i="61" s="1"/>
  <c r="E300" i="61"/>
  <c r="F300" i="61" l="1"/>
  <c r="G300" i="61" s="1"/>
  <c r="I300" i="61" s="1"/>
  <c r="C301" i="61" s="1"/>
  <c r="H301" i="61" l="1"/>
  <c r="J301" i="61" s="1"/>
  <c r="E301" i="61"/>
  <c r="F301" i="61" l="1"/>
  <c r="G301" i="61" s="1"/>
  <c r="I301" i="61" s="1"/>
  <c r="C302" i="61" s="1"/>
  <c r="H302" i="61" l="1"/>
  <c r="J302" i="61" s="1"/>
  <c r="E302" i="61"/>
  <c r="F302" i="61" l="1"/>
  <c r="G302" i="61" s="1"/>
  <c r="I302" i="61" s="1"/>
  <c r="C303" i="61" s="1"/>
  <c r="H303" i="61" l="1"/>
  <c r="J303" i="61" s="1"/>
  <c r="E303" i="61"/>
  <c r="F303" i="61" l="1"/>
  <c r="G303" i="61" s="1"/>
  <c r="I303" i="61" s="1"/>
  <c r="C304" i="61" s="1"/>
  <c r="H304" i="61" l="1"/>
  <c r="J304" i="61" s="1"/>
  <c r="E304" i="61"/>
  <c r="F304" i="61" l="1"/>
  <c r="G304" i="61" s="1"/>
  <c r="I304" i="61" s="1"/>
  <c r="C305" i="61" s="1"/>
  <c r="H305" i="61" l="1"/>
  <c r="J305" i="61" s="1"/>
  <c r="E305" i="61"/>
  <c r="F305" i="61" l="1"/>
  <c r="G305" i="61" s="1"/>
  <c r="I305" i="61" s="1"/>
  <c r="C306" i="61" s="1"/>
  <c r="H306" i="61" l="1"/>
  <c r="J306" i="61" s="1"/>
  <c r="E306" i="61"/>
  <c r="F306" i="61" l="1"/>
  <c r="G306" i="61" s="1"/>
  <c r="I306" i="61" s="1"/>
  <c r="C307" i="61" s="1"/>
  <c r="H307" i="61" l="1"/>
  <c r="J307" i="61" s="1"/>
  <c r="E307" i="61"/>
  <c r="F307" i="61" l="1"/>
  <c r="G307" i="61" s="1"/>
  <c r="I307" i="61" s="1"/>
  <c r="C308" i="61" s="1"/>
  <c r="H308" i="61" l="1"/>
  <c r="J308" i="61" s="1"/>
  <c r="E308" i="61"/>
  <c r="F308" i="61" l="1"/>
  <c r="G308" i="61" s="1"/>
  <c r="I308" i="61" s="1"/>
  <c r="C309" i="61" s="1"/>
  <c r="H309" i="61" l="1"/>
  <c r="J309" i="61" s="1"/>
  <c r="E309" i="61"/>
  <c r="F309" i="61" l="1"/>
  <c r="G309" i="61" s="1"/>
  <c r="I309" i="61" s="1"/>
  <c r="C310" i="61" s="1"/>
  <c r="H310" i="61" l="1"/>
  <c r="J310" i="61" s="1"/>
  <c r="E310" i="61"/>
  <c r="F310" i="61" l="1"/>
  <c r="G310" i="61" s="1"/>
  <c r="I310" i="61" s="1"/>
  <c r="C311" i="61" s="1"/>
  <c r="H311" i="61" l="1"/>
  <c r="J311" i="61" s="1"/>
  <c r="E311" i="61"/>
  <c r="F311" i="61" l="1"/>
  <c r="G311" i="61" s="1"/>
  <c r="I311" i="61" s="1"/>
  <c r="C312" i="61" s="1"/>
  <c r="H312" i="61" l="1"/>
  <c r="J312" i="61" s="1"/>
  <c r="E312" i="61"/>
  <c r="F312" i="61" l="1"/>
  <c r="G312" i="61" s="1"/>
  <c r="I312" i="61" s="1"/>
  <c r="C313" i="61" s="1"/>
  <c r="H313" i="61" l="1"/>
  <c r="J313" i="61" s="1"/>
  <c r="E313" i="61"/>
  <c r="F313" i="61" l="1"/>
  <c r="G313" i="61" s="1"/>
  <c r="I313" i="61" s="1"/>
  <c r="C314" i="61" s="1"/>
  <c r="H314" i="61" l="1"/>
  <c r="J314" i="61" s="1"/>
  <c r="E314" i="61"/>
  <c r="F314" i="61" l="1"/>
  <c r="G314" i="61" s="1"/>
  <c r="I314" i="61" s="1"/>
  <c r="C315" i="61" s="1"/>
  <c r="H315" i="61" l="1"/>
  <c r="J315" i="61" s="1"/>
  <c r="E315" i="61"/>
  <c r="F315" i="61" l="1"/>
  <c r="G315" i="61" s="1"/>
  <c r="I315" i="61" s="1"/>
  <c r="C316" i="61" s="1"/>
  <c r="H316" i="61" l="1"/>
  <c r="J316" i="61" s="1"/>
  <c r="E316" i="61"/>
  <c r="F316" i="61" l="1"/>
  <c r="G316" i="61" s="1"/>
  <c r="I316" i="61" s="1"/>
  <c r="C317" i="61" s="1"/>
  <c r="H317" i="61" l="1"/>
  <c r="J317" i="61" s="1"/>
  <c r="E317" i="61"/>
  <c r="F317" i="61" l="1"/>
  <c r="G317" i="61" s="1"/>
  <c r="I317" i="61" s="1"/>
  <c r="C318" i="61" s="1"/>
  <c r="H318" i="61" l="1"/>
  <c r="J318" i="61" s="1"/>
  <c r="E318" i="61"/>
  <c r="F318" i="61" l="1"/>
  <c r="G318" i="61" s="1"/>
  <c r="I318" i="61"/>
  <c r="C319" i="61" s="1"/>
  <c r="H319" i="61" l="1"/>
  <c r="J319" i="61" s="1"/>
  <c r="E319" i="61"/>
  <c r="F319" i="61" l="1"/>
  <c r="G319" i="61" s="1"/>
  <c r="I319" i="61"/>
  <c r="C320" i="61" s="1"/>
  <c r="H320" i="61" l="1"/>
  <c r="J320" i="61" s="1"/>
  <c r="E320" i="61"/>
  <c r="F320" i="61" l="1"/>
  <c r="G320" i="61" s="1"/>
  <c r="I320" i="61"/>
  <c r="C321" i="61" s="1"/>
  <c r="H321" i="61" l="1"/>
  <c r="J321" i="61" s="1"/>
  <c r="E321" i="61"/>
  <c r="F321" i="61" l="1"/>
  <c r="G321" i="61" s="1"/>
  <c r="I321" i="61"/>
  <c r="C322" i="61" s="1"/>
  <c r="H322" i="61" l="1"/>
  <c r="J322" i="61" s="1"/>
  <c r="E322" i="61"/>
  <c r="F322" i="61" l="1"/>
  <c r="G322" i="61" s="1"/>
  <c r="I322" i="61"/>
  <c r="C323" i="61" s="1"/>
  <c r="H323" i="61" l="1"/>
  <c r="J323" i="61" s="1"/>
  <c r="E323" i="61"/>
  <c r="I323" i="61" l="1"/>
  <c r="C324" i="61" s="1"/>
  <c r="F323" i="61"/>
  <c r="G323" i="61" s="1"/>
  <c r="H324" i="61" l="1"/>
  <c r="J324" i="61" s="1"/>
  <c r="E324" i="61"/>
  <c r="F324" i="61" l="1"/>
  <c r="G324" i="61" s="1"/>
  <c r="I324" i="61"/>
  <c r="C325" i="61" s="1"/>
  <c r="H325" i="61" l="1"/>
  <c r="J325" i="61" s="1"/>
  <c r="E325" i="61"/>
  <c r="F325" i="61" l="1"/>
  <c r="G325" i="61" s="1"/>
  <c r="I325" i="61"/>
  <c r="C326" i="61" s="1"/>
  <c r="H326" i="61" l="1"/>
  <c r="J326" i="61" s="1"/>
  <c r="E326" i="61"/>
  <c r="F326" i="61" l="1"/>
  <c r="G326" i="61" s="1"/>
  <c r="I326" i="61"/>
  <c r="C327" i="61" s="1"/>
  <c r="H327" i="61" l="1"/>
  <c r="J327" i="61" s="1"/>
  <c r="E327" i="61"/>
  <c r="I327" i="61" l="1"/>
  <c r="C328" i="61" s="1"/>
  <c r="F327" i="61"/>
  <c r="G327" i="61" s="1"/>
  <c r="H328" i="61" l="1"/>
  <c r="J328" i="61" s="1"/>
  <c r="E328" i="61"/>
  <c r="I328" i="61" l="1"/>
  <c r="C329" i="61" s="1"/>
  <c r="F328" i="61"/>
  <c r="G328" i="61" s="1"/>
  <c r="H329" i="61" l="1"/>
  <c r="J329" i="61" s="1"/>
  <c r="E329" i="61"/>
  <c r="I329" i="61" l="1"/>
  <c r="C330" i="61" s="1"/>
  <c r="F329" i="61"/>
  <c r="G329" i="61" s="1"/>
  <c r="H330" i="61" l="1"/>
  <c r="J330" i="61" s="1"/>
  <c r="E330" i="61"/>
  <c r="F330" i="61" l="1"/>
  <c r="G330" i="61" s="1"/>
  <c r="I330" i="61"/>
  <c r="C331" i="61" s="1"/>
  <c r="H331" i="61" l="1"/>
  <c r="J331" i="61" s="1"/>
  <c r="E331" i="61"/>
  <c r="I331" i="61" l="1"/>
  <c r="C332" i="61" s="1"/>
  <c r="F331" i="61"/>
  <c r="G331" i="61" s="1"/>
  <c r="H332" i="61" l="1"/>
  <c r="J332" i="61" s="1"/>
  <c r="E332" i="61"/>
  <c r="I332" i="61" l="1"/>
  <c r="C333" i="61" s="1"/>
  <c r="F332" i="61"/>
  <c r="G332" i="61" s="1"/>
  <c r="H333" i="61" l="1"/>
  <c r="J333" i="61" s="1"/>
  <c r="E333" i="61"/>
  <c r="F333" i="61" l="1"/>
  <c r="G333" i="61" s="1"/>
  <c r="I333" i="61"/>
  <c r="C334" i="61" s="1"/>
  <c r="H334" i="61" l="1"/>
  <c r="J334" i="61" s="1"/>
  <c r="E334" i="61"/>
  <c r="F334" i="61" l="1"/>
  <c r="G334" i="61" s="1"/>
  <c r="I334" i="61"/>
  <c r="C335" i="61" s="1"/>
  <c r="H335" i="61" l="1"/>
  <c r="J335" i="61" s="1"/>
  <c r="E335" i="61"/>
  <c r="I335" i="61" l="1"/>
  <c r="C336" i="61" s="1"/>
  <c r="F335" i="61"/>
  <c r="G335" i="61" s="1"/>
  <c r="H336" i="61" l="1"/>
  <c r="J336" i="61" s="1"/>
  <c r="E336" i="61"/>
  <c r="F336" i="61" l="1"/>
  <c r="G336" i="61" s="1"/>
  <c r="I336" i="61"/>
  <c r="C337" i="61" s="1"/>
  <c r="H337" i="61" l="1"/>
  <c r="J337" i="61" s="1"/>
  <c r="E337" i="61"/>
  <c r="I337" i="61" l="1"/>
  <c r="C338" i="61" s="1"/>
  <c r="F337" i="61"/>
  <c r="G337" i="61" s="1"/>
  <c r="H338" i="61" l="1"/>
  <c r="J338" i="61" s="1"/>
  <c r="E338" i="61"/>
  <c r="F338" i="61" l="1"/>
  <c r="G338" i="61" s="1"/>
  <c r="I338" i="61"/>
  <c r="C339" i="61" s="1"/>
  <c r="H339" i="61" l="1"/>
  <c r="J339" i="61" s="1"/>
  <c r="E339" i="61"/>
  <c r="I339" i="61" l="1"/>
  <c r="C340" i="61" s="1"/>
  <c r="F339" i="61"/>
  <c r="G339" i="61" s="1"/>
  <c r="H340" i="61" l="1"/>
  <c r="J340" i="61" s="1"/>
  <c r="E340" i="61"/>
  <c r="I340" i="61" l="1"/>
  <c r="C341" i="61" s="1"/>
  <c r="F340" i="61"/>
  <c r="G340" i="61" s="1"/>
  <c r="H341" i="61" l="1"/>
  <c r="J341" i="61" s="1"/>
  <c r="E341" i="61"/>
  <c r="I341" i="61" l="1"/>
  <c r="C342" i="61" s="1"/>
  <c r="F341" i="61"/>
  <c r="G341" i="61" s="1"/>
  <c r="H342" i="61" l="1"/>
  <c r="J342" i="61" s="1"/>
  <c r="E342" i="61"/>
  <c r="I342" i="61" l="1"/>
  <c r="C343" i="61" s="1"/>
  <c r="F342" i="61"/>
  <c r="G342" i="61" s="1"/>
  <c r="H343" i="61" l="1"/>
  <c r="J343" i="61" s="1"/>
  <c r="E343" i="61"/>
  <c r="I343" i="61" l="1"/>
  <c r="C344" i="61" s="1"/>
  <c r="F343" i="61"/>
  <c r="G343" i="61" s="1"/>
  <c r="H344" i="61" l="1"/>
  <c r="J344" i="61" s="1"/>
  <c r="E344" i="61"/>
  <c r="F344" i="61" l="1"/>
  <c r="G344" i="61" s="1"/>
  <c r="I344" i="61"/>
  <c r="C345" i="61" s="1"/>
  <c r="H345" i="61" l="1"/>
  <c r="J345" i="61" s="1"/>
  <c r="E345" i="61"/>
  <c r="I345" i="61" l="1"/>
  <c r="C346" i="61" s="1"/>
  <c r="F345" i="61"/>
  <c r="G345" i="61" s="1"/>
  <c r="H346" i="61" l="1"/>
  <c r="J346" i="61" s="1"/>
  <c r="E346" i="61"/>
  <c r="F346" i="61" l="1"/>
  <c r="G346" i="61" s="1"/>
  <c r="I346" i="61"/>
  <c r="C347" i="61" s="1"/>
  <c r="H347" i="61" l="1"/>
  <c r="J347" i="61" s="1"/>
  <c r="E347" i="61"/>
  <c r="I347" i="61" l="1"/>
  <c r="C348" i="61" s="1"/>
  <c r="F347" i="61"/>
  <c r="G347" i="61" s="1"/>
  <c r="H348" i="61" l="1"/>
  <c r="J348" i="61" s="1"/>
  <c r="E348" i="61"/>
  <c r="F348" i="61" l="1"/>
  <c r="G348" i="61" s="1"/>
  <c r="I348" i="61"/>
  <c r="C349" i="61" s="1"/>
  <c r="H349" i="61" l="1"/>
  <c r="J349" i="61" s="1"/>
  <c r="E349" i="61"/>
  <c r="I349" i="61" l="1"/>
  <c r="C350" i="61" s="1"/>
  <c r="F349" i="61"/>
  <c r="G349" i="61" s="1"/>
  <c r="H350" i="61" l="1"/>
  <c r="J350" i="61" s="1"/>
  <c r="E350" i="61"/>
  <c r="I350" i="61" l="1"/>
  <c r="C351" i="61" s="1"/>
  <c r="F350" i="61"/>
  <c r="G350" i="61" s="1"/>
  <c r="H351" i="61" l="1"/>
  <c r="J351" i="61" s="1"/>
  <c r="E351" i="61"/>
  <c r="F351" i="61" l="1"/>
  <c r="G351" i="61" s="1"/>
  <c r="I351" i="61"/>
  <c r="C352" i="61" s="1"/>
  <c r="H352" i="61" l="1"/>
  <c r="J352" i="61" s="1"/>
  <c r="E352" i="61"/>
  <c r="F352" i="61" l="1"/>
  <c r="G352" i="61" s="1"/>
  <c r="I352" i="61"/>
  <c r="C353" i="61" s="1"/>
  <c r="H353" i="61" l="1"/>
  <c r="J353" i="61" s="1"/>
  <c r="E353" i="61"/>
  <c r="F353" i="61" l="1"/>
  <c r="G353" i="61" s="1"/>
  <c r="I353" i="61"/>
  <c r="C354" i="61" s="1"/>
  <c r="H354" i="61" l="1"/>
  <c r="J354" i="61" s="1"/>
  <c r="E354" i="61"/>
  <c r="F354" i="61" l="1"/>
  <c r="G354" i="61" s="1"/>
  <c r="I354" i="61"/>
  <c r="C355" i="61" s="1"/>
  <c r="H355" i="61" l="1"/>
  <c r="J355" i="61" s="1"/>
  <c r="E355" i="61"/>
  <c r="F355" i="61" l="1"/>
  <c r="G355" i="61" s="1"/>
  <c r="I355" i="61"/>
  <c r="C356" i="61" s="1"/>
  <c r="H356" i="61" l="1"/>
  <c r="J356" i="61" s="1"/>
  <c r="E356" i="61"/>
  <c r="F356" i="61" l="1"/>
  <c r="G356" i="61" s="1"/>
  <c r="I356" i="61"/>
  <c r="C357" i="61" s="1"/>
  <c r="H357" i="61" l="1"/>
  <c r="J357" i="61" s="1"/>
  <c r="E357" i="61"/>
  <c r="F357" i="61" l="1"/>
  <c r="G357" i="61" s="1"/>
  <c r="I357" i="61"/>
  <c r="C358" i="61" s="1"/>
  <c r="H358" i="61" l="1"/>
  <c r="J358" i="61" s="1"/>
  <c r="E358" i="61"/>
  <c r="F358" i="61" l="1"/>
  <c r="G358" i="61" s="1"/>
  <c r="I358" i="61"/>
  <c r="C359" i="61" s="1"/>
  <c r="H359" i="61" l="1"/>
  <c r="J359" i="61" s="1"/>
  <c r="E359" i="61"/>
  <c r="I359" i="61" l="1"/>
  <c r="C360" i="61" s="1"/>
  <c r="F359" i="61"/>
  <c r="G359" i="61" s="1"/>
  <c r="H360" i="61" l="1"/>
  <c r="J360" i="61" s="1"/>
  <c r="E360" i="61"/>
  <c r="F360" i="61" l="1"/>
  <c r="G360" i="61" s="1"/>
  <c r="I360" i="61"/>
  <c r="C361" i="61" s="1"/>
  <c r="E361" i="61" l="1"/>
  <c r="H361" i="61"/>
  <c r="J361" i="61" s="1"/>
  <c r="F361" i="61" l="1"/>
  <c r="G361" i="61" s="1"/>
  <c r="I361" i="61"/>
  <c r="C362" i="61" s="1"/>
  <c r="H362" i="61" l="1"/>
  <c r="J362" i="61" s="1"/>
  <c r="E362" i="61"/>
  <c r="F362" i="61" l="1"/>
  <c r="G362" i="61" s="1"/>
  <c r="I362" i="61"/>
  <c r="C363" i="61" s="1"/>
  <c r="H363" i="61" l="1"/>
  <c r="J363" i="61" s="1"/>
  <c r="E363" i="61"/>
  <c r="I363" i="61" l="1"/>
  <c r="C364" i="61" s="1"/>
  <c r="F363" i="61"/>
  <c r="G363" i="61" s="1"/>
  <c r="H364" i="61" l="1"/>
  <c r="J364" i="61" s="1"/>
  <c r="E364" i="61"/>
  <c r="F364" i="61" l="1"/>
  <c r="G364" i="61" s="1"/>
  <c r="I364" i="61"/>
  <c r="C365" i="61" s="1"/>
  <c r="H365" i="61" l="1"/>
  <c r="J365" i="61" s="1"/>
  <c r="E365" i="61"/>
  <c r="I365" i="61" l="1"/>
  <c r="C366" i="61" s="1"/>
  <c r="F365" i="61"/>
  <c r="G365" i="61" s="1"/>
  <c r="H366" i="61" l="1"/>
  <c r="J366" i="61" s="1"/>
  <c r="E366" i="61"/>
  <c r="F366" i="61" l="1"/>
  <c r="G366" i="61" s="1"/>
  <c r="I366" i="61"/>
  <c r="C367" i="61" s="1"/>
  <c r="H367" i="61" l="1"/>
  <c r="J367" i="61" s="1"/>
  <c r="E367" i="61"/>
  <c r="F367" i="61" l="1"/>
  <c r="G367" i="61" s="1"/>
  <c r="I367" i="61"/>
  <c r="C368" i="61" s="1"/>
  <c r="H368" i="61" l="1"/>
  <c r="J368" i="61" s="1"/>
  <c r="E368" i="61"/>
  <c r="F368" i="61" l="1"/>
  <c r="G368" i="61" s="1"/>
  <c r="I368" i="61"/>
  <c r="C369" i="61" s="1"/>
  <c r="H369" i="61" l="1"/>
  <c r="J369" i="61" s="1"/>
  <c r="E369" i="61"/>
  <c r="I369" i="61" l="1"/>
  <c r="C370" i="61" s="1"/>
  <c r="F369" i="61"/>
  <c r="G369" i="61" s="1"/>
  <c r="H370" i="61" l="1"/>
  <c r="J370" i="61" s="1"/>
  <c r="E370" i="61"/>
  <c r="F370" i="61" l="1"/>
  <c r="G370" i="61" s="1"/>
  <c r="I370" i="61"/>
  <c r="C371" i="61" s="1"/>
  <c r="H371" i="61" l="1"/>
  <c r="J371" i="61" s="1"/>
  <c r="E371" i="61"/>
  <c r="I371" i="61" l="1"/>
  <c r="C372" i="61" s="1"/>
  <c r="F371" i="61"/>
  <c r="G371" i="61" s="1"/>
  <c r="H372" i="61" l="1"/>
  <c r="J372" i="61" s="1"/>
  <c r="E372" i="61"/>
  <c r="F372" i="61" l="1"/>
  <c r="G372" i="61" s="1"/>
  <c r="I372" i="61"/>
  <c r="C373" i="61" s="1"/>
  <c r="H373" i="61" l="1"/>
  <c r="J373" i="61" s="1"/>
  <c r="E373" i="61"/>
  <c r="F373" i="61" l="1"/>
  <c r="G373" i="61" s="1"/>
  <c r="I373" i="61"/>
  <c r="C374" i="61" s="1"/>
  <c r="H374" i="61" l="1"/>
  <c r="J374" i="61" s="1"/>
  <c r="E374" i="61"/>
  <c r="F374" i="61" l="1"/>
  <c r="G374" i="61" s="1"/>
  <c r="I374" i="61"/>
  <c r="C375" i="61" s="1"/>
  <c r="H375" i="61" l="1"/>
  <c r="J375" i="61" s="1"/>
  <c r="E375" i="61"/>
  <c r="I375" i="61" l="1"/>
  <c r="C376" i="61" s="1"/>
  <c r="F375" i="61"/>
  <c r="G375" i="61" s="1"/>
  <c r="H376" i="61" l="1"/>
  <c r="J376" i="61" s="1"/>
  <c r="E376" i="61"/>
  <c r="I376" i="61" l="1"/>
  <c r="C377" i="61" s="1"/>
  <c r="F376" i="61"/>
  <c r="G376" i="61" s="1"/>
  <c r="H377" i="61" l="1"/>
  <c r="J377" i="61" s="1"/>
  <c r="E377" i="61"/>
  <c r="I377" i="61" l="1"/>
  <c r="C378" i="61" s="1"/>
  <c r="F377" i="61"/>
  <c r="G377" i="61" s="1"/>
  <c r="E378" i="61" l="1"/>
  <c r="H378" i="61"/>
  <c r="J378" i="61" s="1"/>
  <c r="H10" i="61"/>
  <c r="H9" i="61"/>
  <c r="F378" i="61" l="1"/>
  <c r="G378" i="61" s="1"/>
  <c r="I378" i="61"/>
  <c r="H8" i="61" s="1"/>
  <c r="D33" i="5" l="1"/>
  <c r="H33" i="5" l="1"/>
  <c r="D42" i="5" l="1"/>
  <c r="D56" i="5" l="1"/>
  <c r="D57" i="5" s="1"/>
  <c r="I62" i="8" l="1"/>
  <c r="E16" i="8" l="1"/>
  <c r="E25" i="8" s="1"/>
  <c r="D34" i="5" l="1"/>
  <c r="D59" i="5"/>
  <c r="P7" i="5" l="1"/>
  <c r="E122" i="5"/>
  <c r="I98" i="5"/>
  <c r="H149" i="10"/>
  <c r="D149" i="10"/>
  <c r="P23" i="5"/>
  <c r="K122" i="5"/>
  <c r="G154" i="10"/>
  <c r="J31" i="5"/>
  <c r="L7" i="80"/>
  <c r="D128" i="10"/>
  <c r="D142" i="10"/>
  <c r="I99" i="5"/>
  <c r="J19" i="5"/>
  <c r="K19" i="5" s="1"/>
  <c r="J20" i="5"/>
  <c r="K20" i="5" s="1"/>
  <c r="J21" i="5"/>
  <c r="K21" i="5" s="1"/>
  <c r="J14" i="5"/>
  <c r="J27" i="5"/>
  <c r="K27" i="5" s="1"/>
  <c r="J17" i="5"/>
  <c r="K17" i="5" s="1"/>
  <c r="J32" i="5"/>
  <c r="K32" i="5" s="1"/>
  <c r="J46" i="5"/>
  <c r="K46" i="5" s="1"/>
  <c r="J6" i="5"/>
  <c r="K6" i="5" s="1"/>
  <c r="J39" i="5"/>
  <c r="J28" i="5"/>
  <c r="K28" i="5" s="1"/>
  <c r="G29" i="10"/>
  <c r="J8" i="5"/>
  <c r="K8" i="5" s="1"/>
  <c r="J26" i="5"/>
  <c r="K26" i="5" s="1"/>
  <c r="G10" i="10"/>
  <c r="J56" i="5"/>
  <c r="J10" i="5"/>
  <c r="K10" i="5" s="1"/>
  <c r="J24" i="5"/>
  <c r="K24" i="5" s="1"/>
  <c r="J37" i="5"/>
  <c r="K37" i="5" s="1"/>
  <c r="J42" i="5"/>
  <c r="K42" i="5" s="1"/>
  <c r="J7" i="5"/>
  <c r="K7" i="5" s="1"/>
  <c r="J53" i="5"/>
  <c r="K53" i="5" s="1"/>
  <c r="J48" i="5"/>
  <c r="K48" i="5" s="1"/>
  <c r="J13" i="5"/>
  <c r="K13" i="5" s="1"/>
  <c r="J5" i="5"/>
  <c r="K5" i="5" s="1"/>
  <c r="J18" i="5"/>
  <c r="K18" i="5" s="1"/>
  <c r="C85" i="10"/>
  <c r="I160" i="10" s="1"/>
  <c r="I161" i="10" s="1"/>
  <c r="J4" i="5"/>
  <c r="K4" i="5" s="1"/>
  <c r="J12" i="5"/>
  <c r="K12" i="5" s="1"/>
  <c r="J22" i="5"/>
  <c r="K22" i="5" s="1"/>
  <c r="J29" i="5"/>
  <c r="K29" i="5" s="1"/>
  <c r="J57" i="5"/>
  <c r="J44" i="5"/>
  <c r="K44" i="5" s="1"/>
  <c r="J55" i="5"/>
  <c r="K55" i="5" s="1"/>
  <c r="J9" i="5"/>
  <c r="K9" i="5" s="1"/>
  <c r="J25" i="5"/>
  <c r="K25" i="5" s="1"/>
  <c r="J51" i="5"/>
  <c r="K51" i="5" s="1"/>
  <c r="G20" i="10"/>
  <c r="J11" i="5"/>
  <c r="K11" i="5" s="1"/>
  <c r="J23" i="5"/>
  <c r="K23" i="5" s="1"/>
  <c r="J38" i="5"/>
  <c r="K38" i="5" s="1"/>
  <c r="J50" i="5"/>
  <c r="K50" i="5" s="1"/>
  <c r="J49" i="5"/>
  <c r="K49" i="5" s="1"/>
  <c r="J52" i="5"/>
  <c r="K52" i="5" s="1"/>
  <c r="J30" i="5"/>
  <c r="K30" i="5" s="1"/>
  <c r="J54" i="5"/>
  <c r="K54" i="5" s="1"/>
  <c r="J34" i="5"/>
  <c r="J47" i="5"/>
  <c r="K47" i="5" s="1"/>
  <c r="C18" i="71"/>
  <c r="J33" i="5"/>
  <c r="K33" i="5" s="1"/>
  <c r="J43" i="5"/>
  <c r="K43" i="5" s="1"/>
  <c r="J45" i="5"/>
  <c r="K45" i="5" s="1"/>
  <c r="M7" i="8" l="1"/>
  <c r="M7" i="122"/>
  <c r="J132" i="5"/>
  <c r="E132" i="5"/>
  <c r="E133" i="5"/>
  <c r="E123" i="5"/>
  <c r="H150" i="10"/>
  <c r="H153" i="10"/>
  <c r="I27" i="71"/>
  <c r="I22" i="71"/>
  <c r="L4" i="18"/>
  <c r="G85" i="10"/>
  <c r="G89" i="10"/>
  <c r="C45" i="71" s="1"/>
  <c r="K85" i="10"/>
  <c r="C87" i="10"/>
  <c r="C89" i="10" s="1"/>
  <c r="C90" i="10" s="1"/>
  <c r="K86" i="10"/>
  <c r="G86" i="10"/>
  <c r="K59" i="5"/>
  <c r="J59" i="5"/>
  <c r="E34" i="22"/>
  <c r="G34" i="28"/>
  <c r="Q34" i="22"/>
  <c r="I34" i="25"/>
  <c r="M34" i="31"/>
  <c r="O34" i="28"/>
  <c r="I34" i="22"/>
  <c r="K34" i="28"/>
  <c r="O34" i="31"/>
  <c r="K34" i="31"/>
  <c r="C34" i="25"/>
  <c r="Q34" i="25"/>
  <c r="Q34" i="34"/>
  <c r="E34" i="31"/>
  <c r="E34" i="28"/>
  <c r="C34" i="34"/>
  <c r="G34" i="22"/>
  <c r="I34" i="28"/>
  <c r="Q34" i="28"/>
  <c r="O34" i="34"/>
  <c r="G34" i="25"/>
  <c r="O34" i="25"/>
  <c r="I34" i="31"/>
  <c r="K34" i="34"/>
  <c r="G34" i="34"/>
  <c r="C34" i="22"/>
  <c r="M34" i="34"/>
  <c r="C34" i="28"/>
  <c r="M34" i="25"/>
  <c r="I34" i="34"/>
  <c r="M34" i="28"/>
  <c r="E34" i="34"/>
  <c r="O34" i="22"/>
  <c r="K34" i="25"/>
  <c r="G34" i="31"/>
  <c r="Q34" i="31"/>
  <c r="C34" i="31"/>
  <c r="M34" i="22"/>
  <c r="K34" i="22"/>
  <c r="E34" i="25"/>
  <c r="K123" i="5" l="1"/>
  <c r="C16" i="71"/>
  <c r="I41" i="34"/>
  <c r="I46" i="34"/>
  <c r="I51" i="34"/>
  <c r="I56" i="34"/>
  <c r="M51" i="34"/>
  <c r="M56" i="34"/>
  <c r="M46" i="34"/>
  <c r="M41" i="34"/>
  <c r="G56" i="34"/>
  <c r="G41" i="34"/>
  <c r="G46" i="34"/>
  <c r="G51" i="34"/>
  <c r="Q41" i="34"/>
  <c r="Q56" i="34"/>
  <c r="Q46" i="34"/>
  <c r="Q51" i="34"/>
  <c r="E51" i="34"/>
  <c r="E56" i="34"/>
  <c r="E46" i="34"/>
  <c r="E41" i="34"/>
  <c r="K46" i="34"/>
  <c r="K51" i="34"/>
  <c r="K41" i="34"/>
  <c r="K56" i="34"/>
  <c r="O56" i="34"/>
  <c r="O41" i="34"/>
  <c r="O46" i="34"/>
  <c r="O51" i="34"/>
  <c r="C51" i="34"/>
  <c r="C56" i="34"/>
  <c r="C46" i="34"/>
  <c r="C41" i="34"/>
  <c r="G56" i="31"/>
  <c r="G41" i="31"/>
  <c r="G46" i="31"/>
  <c r="G51" i="31"/>
  <c r="I41" i="31"/>
  <c r="I46" i="31"/>
  <c r="I51" i="31"/>
  <c r="I56" i="31"/>
  <c r="E51" i="31"/>
  <c r="E56" i="31"/>
  <c r="E41" i="31"/>
  <c r="E46" i="31"/>
  <c r="K46" i="31"/>
  <c r="K51" i="31"/>
  <c r="K56" i="31"/>
  <c r="K41" i="31"/>
  <c r="O56" i="31"/>
  <c r="O41" i="31"/>
  <c r="O46" i="31"/>
  <c r="O51" i="31"/>
  <c r="M51" i="31"/>
  <c r="M56" i="31"/>
  <c r="M41" i="31"/>
  <c r="M46" i="31"/>
  <c r="Q41" i="31"/>
  <c r="Q46" i="31"/>
  <c r="Q51" i="31"/>
  <c r="Q56" i="31"/>
  <c r="C46" i="31"/>
  <c r="C56" i="31"/>
  <c r="C51" i="31"/>
  <c r="C41" i="31"/>
  <c r="E51" i="28"/>
  <c r="E56" i="28"/>
  <c r="E41" i="28"/>
  <c r="E46" i="28"/>
  <c r="G56" i="28"/>
  <c r="G46" i="28"/>
  <c r="G41" i="28"/>
  <c r="G51" i="28"/>
  <c r="I41" i="28"/>
  <c r="I46" i="28"/>
  <c r="I51" i="28"/>
  <c r="I56" i="28"/>
  <c r="M51" i="28"/>
  <c r="M56" i="28"/>
  <c r="M41" i="28"/>
  <c r="M46" i="28"/>
  <c r="Q41" i="28"/>
  <c r="Q46" i="28"/>
  <c r="Q51" i="28"/>
  <c r="Q56" i="28"/>
  <c r="O56" i="28"/>
  <c r="O46" i="28"/>
  <c r="O51" i="28"/>
  <c r="O41" i="28"/>
  <c r="K46" i="28"/>
  <c r="K51" i="28"/>
  <c r="K56" i="28"/>
  <c r="K41" i="28"/>
  <c r="C51" i="28"/>
  <c r="C41" i="28"/>
  <c r="C56" i="28"/>
  <c r="C46" i="28"/>
  <c r="Q41" i="25"/>
  <c r="Q46" i="25"/>
  <c r="Q51" i="25"/>
  <c r="Q56" i="25"/>
  <c r="K46" i="25"/>
  <c r="K41" i="25"/>
  <c r="K51" i="25"/>
  <c r="K56" i="25"/>
  <c r="O56" i="25"/>
  <c r="O41" i="25"/>
  <c r="O46" i="25"/>
  <c r="O51" i="25"/>
  <c r="M51" i="25"/>
  <c r="M46" i="25"/>
  <c r="M56" i="25"/>
  <c r="M41" i="25"/>
  <c r="G56" i="25"/>
  <c r="G41" i="25"/>
  <c r="G46" i="25"/>
  <c r="G51" i="25"/>
  <c r="E51" i="25"/>
  <c r="E46" i="25"/>
  <c r="E56" i="25"/>
  <c r="E41" i="25"/>
  <c r="I41" i="25"/>
  <c r="I46" i="25"/>
  <c r="I56" i="25"/>
  <c r="I51" i="25"/>
  <c r="C46" i="25"/>
  <c r="C56" i="25"/>
  <c r="C51" i="25"/>
  <c r="C41" i="25"/>
  <c r="M41" i="22"/>
  <c r="M56" i="22"/>
  <c r="M51" i="22"/>
  <c r="M46" i="22"/>
  <c r="I51" i="22"/>
  <c r="I46" i="22"/>
  <c r="I41" i="22"/>
  <c r="I56" i="22"/>
  <c r="K46" i="22"/>
  <c r="K41" i="22"/>
  <c r="K56" i="22"/>
  <c r="K51" i="22"/>
  <c r="Q51" i="22"/>
  <c r="Q46" i="22"/>
  <c r="Q41" i="22"/>
  <c r="Q56" i="22"/>
  <c r="O56" i="22"/>
  <c r="O51" i="22"/>
  <c r="O46" i="22"/>
  <c r="O41" i="22"/>
  <c r="G56" i="22"/>
  <c r="G51" i="22"/>
  <c r="G46" i="22"/>
  <c r="G41" i="22"/>
  <c r="E51" i="22"/>
  <c r="E41" i="22"/>
  <c r="E56" i="22"/>
  <c r="E46" i="22"/>
  <c r="C46" i="22"/>
  <c r="C51" i="22"/>
  <c r="C56" i="22"/>
  <c r="C41" i="22"/>
  <c r="C36" i="28"/>
  <c r="C35" i="28"/>
  <c r="M35" i="34"/>
  <c r="M36" i="34"/>
  <c r="C36" i="22"/>
  <c r="C35" i="22"/>
  <c r="O35" i="25"/>
  <c r="O36" i="25"/>
  <c r="G36" i="22"/>
  <c r="G35" i="22"/>
  <c r="C36" i="34"/>
  <c r="C35" i="34"/>
  <c r="C36" i="25"/>
  <c r="C35" i="25"/>
  <c r="O36" i="28"/>
  <c r="O35" i="28"/>
  <c r="Q35" i="22"/>
  <c r="Q36" i="22"/>
  <c r="G36" i="28"/>
  <c r="G35" i="28"/>
  <c r="E35" i="34"/>
  <c r="E36" i="34"/>
  <c r="G35" i="34"/>
  <c r="G36" i="34"/>
  <c r="K35" i="34"/>
  <c r="K36" i="34"/>
  <c r="I36" i="31"/>
  <c r="I35" i="31"/>
  <c r="G36" i="25"/>
  <c r="G35" i="25"/>
  <c r="Q35" i="28"/>
  <c r="Q36" i="28"/>
  <c r="I35" i="28"/>
  <c r="I36" i="28"/>
  <c r="K36" i="31"/>
  <c r="K35" i="31"/>
  <c r="I36" i="22"/>
  <c r="I35" i="22"/>
  <c r="O35" i="22"/>
  <c r="O36" i="22"/>
  <c r="E36" i="25"/>
  <c r="E35" i="25"/>
  <c r="Q36" i="31"/>
  <c r="Q35" i="31"/>
  <c r="O36" i="34"/>
  <c r="O35" i="34"/>
  <c r="Q36" i="34"/>
  <c r="Q35" i="34"/>
  <c r="Q36" i="25"/>
  <c r="Q35" i="25"/>
  <c r="O36" i="31"/>
  <c r="O35" i="31"/>
  <c r="K36" i="28"/>
  <c r="K35" i="28"/>
  <c r="M35" i="31"/>
  <c r="M36" i="31"/>
  <c r="C35" i="31"/>
  <c r="C36" i="31"/>
  <c r="G36" i="31"/>
  <c r="G35" i="31"/>
  <c r="I35" i="34"/>
  <c r="I36" i="34"/>
  <c r="K36" i="22"/>
  <c r="K35" i="22"/>
  <c r="M35" i="22"/>
  <c r="M36" i="22"/>
  <c r="K36" i="25"/>
  <c r="K35" i="25"/>
  <c r="M35" i="28"/>
  <c r="M36" i="28"/>
  <c r="M36" i="25"/>
  <c r="M35" i="25"/>
  <c r="E36" i="28"/>
  <c r="E35" i="28"/>
  <c r="E36" i="31"/>
  <c r="E35" i="31"/>
  <c r="I36" i="25"/>
  <c r="I35" i="25"/>
  <c r="E36" i="22"/>
  <c r="E35" i="22"/>
  <c r="J133" i="5" l="1"/>
  <c r="E124" i="5"/>
  <c r="E126" i="5" s="1"/>
  <c r="E98" i="5" s="1"/>
  <c r="J129" i="5"/>
  <c r="K124" i="5" l="1"/>
  <c r="K126" i="5" s="1"/>
  <c r="H17" i="5" s="1"/>
  <c r="I16" i="122" s="1"/>
  <c r="E17" i="5" l="1"/>
  <c r="I16" i="8"/>
  <c r="F16" i="8" l="1"/>
  <c r="F16" i="122"/>
  <c r="G26" i="8"/>
  <c r="F60" i="5"/>
  <c r="F65" i="5" s="1"/>
  <c r="G65" i="5" l="1"/>
  <c r="H65" i="5" s="1"/>
  <c r="F83" i="5" l="1"/>
  <c r="I38" i="19"/>
  <c r="C48" i="19"/>
  <c r="G38" i="19"/>
  <c r="O38" i="19"/>
  <c r="Q48" i="19"/>
  <c r="E34" i="19"/>
  <c r="M48" i="19"/>
  <c r="K34" i="19"/>
  <c r="G75" i="5" l="1"/>
  <c r="O43" i="19"/>
  <c r="K48" i="19"/>
  <c r="G48" i="19"/>
  <c r="M34" i="19"/>
  <c r="M56" i="19" s="1"/>
  <c r="C43" i="19"/>
  <c r="C34" i="19"/>
  <c r="C46" i="19" s="1"/>
  <c r="E51" i="19"/>
  <c r="E36" i="19"/>
  <c r="E35" i="19"/>
  <c r="E46" i="19"/>
  <c r="E56" i="19"/>
  <c r="E41" i="19"/>
  <c r="K46" i="19"/>
  <c r="K51" i="19"/>
  <c r="K41" i="19"/>
  <c r="K56" i="19"/>
  <c r="K35" i="19"/>
  <c r="K36" i="19"/>
  <c r="O34" i="19"/>
  <c r="E43" i="19"/>
  <c r="K38" i="19"/>
  <c r="I53" i="19"/>
  <c r="Q53" i="19"/>
  <c r="G43" i="19"/>
  <c r="C38" i="19"/>
  <c r="C53" i="19"/>
  <c r="Q43" i="19"/>
  <c r="G53" i="19"/>
  <c r="E48" i="19"/>
  <c r="G34" i="19"/>
  <c r="M43" i="19"/>
  <c r="M38" i="19"/>
  <c r="M53" i="19"/>
  <c r="K43" i="19"/>
  <c r="K53" i="19"/>
  <c r="I34" i="19"/>
  <c r="O53" i="19"/>
  <c r="O48" i="19"/>
  <c r="Q34" i="19"/>
  <c r="I43" i="19"/>
  <c r="Q38" i="19"/>
  <c r="I48" i="19"/>
  <c r="E38" i="19"/>
  <c r="E53" i="19"/>
  <c r="H35" i="8" l="1"/>
  <c r="H35" i="122"/>
  <c r="M36" i="19"/>
  <c r="C56" i="19"/>
  <c r="C41" i="19"/>
  <c r="M46" i="19"/>
  <c r="M51" i="19"/>
  <c r="M41" i="19"/>
  <c r="M35" i="19"/>
  <c r="C51" i="19"/>
  <c r="C36" i="19"/>
  <c r="C35" i="19"/>
  <c r="Q36" i="19"/>
  <c r="Q51" i="19"/>
  <c r="Q35" i="19"/>
  <c r="Q46" i="19"/>
  <c r="Q56" i="19"/>
  <c r="Q41" i="19"/>
  <c r="I41" i="19"/>
  <c r="I46" i="19"/>
  <c r="I51" i="19"/>
  <c r="I35" i="19"/>
  <c r="I36" i="19"/>
  <c r="I56" i="19"/>
  <c r="G51" i="19"/>
  <c r="G46" i="19"/>
  <c r="G41" i="19"/>
  <c r="G56" i="19"/>
  <c r="G35" i="19"/>
  <c r="G36" i="19"/>
  <c r="O41" i="19"/>
  <c r="O56" i="19"/>
  <c r="O46" i="19"/>
  <c r="O51" i="19"/>
  <c r="O36" i="19"/>
  <c r="O35" i="19"/>
  <c r="M11" i="75" l="1"/>
  <c r="M19" i="75"/>
  <c r="L20" i="75" l="1"/>
  <c r="M20" i="75" s="1"/>
  <c r="S20" i="75" s="1"/>
  <c r="L52" i="75" l="1"/>
  <c r="M52" i="75" s="1"/>
  <c r="L60" i="75"/>
  <c r="M60" i="75" s="1"/>
  <c r="L63" i="75" l="1"/>
  <c r="M63" i="75" s="1"/>
  <c r="L66" i="75" l="1"/>
  <c r="L76" i="75" s="1"/>
  <c r="L85" i="75" l="1"/>
  <c r="S16" i="75"/>
  <c r="L97" i="75" l="1"/>
  <c r="S17" i="75"/>
  <c r="G22" i="47"/>
  <c r="G22" i="38"/>
  <c r="G41" i="38"/>
  <c r="G22" i="41"/>
  <c r="G41" i="47"/>
  <c r="G22" i="44"/>
  <c r="G41" i="44" l="1"/>
  <c r="G41" i="41"/>
  <c r="G38" i="41"/>
  <c r="G40" i="41" s="1"/>
  <c r="G26" i="41"/>
  <c r="G26" i="47"/>
  <c r="G38" i="47" s="1"/>
  <c r="G40" i="47" s="1"/>
  <c r="G26" i="38"/>
  <c r="G38" i="38" s="1"/>
  <c r="G40" i="38" s="1"/>
  <c r="G26" i="44"/>
  <c r="G38" i="44" s="1"/>
  <c r="G40" i="44" s="1"/>
  <c r="I102" i="5" l="1"/>
  <c r="H31" i="5" s="1"/>
  <c r="G31" i="5" l="1"/>
  <c r="I17" i="122"/>
  <c r="I17" i="8"/>
  <c r="H34" i="5"/>
  <c r="E27" i="16" s="1"/>
  <c r="I27" i="16" s="1"/>
  <c r="I29" i="16" s="1"/>
  <c r="H17" i="8" l="1"/>
  <c r="H25" i="8" s="1"/>
  <c r="H26" i="8" s="1"/>
  <c r="H17" i="122"/>
  <c r="H25" i="122" s="1"/>
  <c r="H26" i="122" s="1"/>
  <c r="D124" i="10"/>
  <c r="G59" i="5"/>
  <c r="G34" i="5"/>
  <c r="F66" i="5"/>
  <c r="F75" i="5" s="1"/>
  <c r="D66" i="5"/>
  <c r="C111" i="10" s="1"/>
  <c r="G66" i="5"/>
  <c r="E66" i="5"/>
  <c r="E75" i="5" s="1"/>
  <c r="E34" i="5"/>
  <c r="G35" i="8" l="1"/>
  <c r="G35" i="122"/>
  <c r="F35" i="8"/>
  <c r="F35" i="122"/>
  <c r="G115" i="10"/>
  <c r="C113" i="10"/>
  <c r="C115" i="10" s="1"/>
  <c r="C116" i="10" s="1"/>
  <c r="K112" i="10"/>
  <c r="G112" i="10"/>
  <c r="G111" i="10"/>
  <c r="K111" i="10"/>
  <c r="D127" i="10"/>
  <c r="G60" i="5"/>
  <c r="H50" i="5"/>
  <c r="I21" i="122" s="1"/>
  <c r="I25" i="122" s="1"/>
  <c r="H66" i="5"/>
  <c r="K86" i="5"/>
  <c r="F79" i="5"/>
  <c r="F81" i="5"/>
  <c r="F80" i="5"/>
  <c r="C14" i="71"/>
  <c r="D75" i="5"/>
  <c r="E35" i="122" s="1"/>
  <c r="H56" i="5" l="1"/>
  <c r="E50" i="5"/>
  <c r="F21" i="122" s="1"/>
  <c r="F25" i="122" s="1"/>
  <c r="F26" i="122" s="1"/>
  <c r="I26" i="122" s="1"/>
  <c r="I21" i="8"/>
  <c r="I25" i="8" s="1"/>
  <c r="F84" i="5"/>
  <c r="D2" i="59"/>
  <c r="E35" i="8"/>
  <c r="I16" i="71"/>
  <c r="D6" i="60"/>
  <c r="G69" i="5"/>
  <c r="H29" i="122" s="1"/>
  <c r="H89" i="75"/>
  <c r="E30" i="12"/>
  <c r="E34" i="68" s="1"/>
  <c r="C30" i="12"/>
  <c r="C34" i="68" s="1"/>
  <c r="F89" i="75"/>
  <c r="G30" i="12"/>
  <c r="G34" i="68" s="1"/>
  <c r="O30" i="12"/>
  <c r="O34" i="68" s="1"/>
  <c r="Q30" i="12"/>
  <c r="Q34" i="68" s="1"/>
  <c r="D89" i="75"/>
  <c r="I30" i="12"/>
  <c r="I34" i="68" s="1"/>
  <c r="M30" i="12"/>
  <c r="M34" i="68" s="1"/>
  <c r="J89" i="75"/>
  <c r="K30" i="12"/>
  <c r="K34" i="68" s="1"/>
  <c r="F21" i="8" l="1"/>
  <c r="F25" i="8" s="1"/>
  <c r="E56" i="5"/>
  <c r="E57" i="5" s="1"/>
  <c r="E59" i="5"/>
  <c r="E16" i="16"/>
  <c r="D123" i="10"/>
  <c r="E125" i="10" s="1"/>
  <c r="H57" i="5"/>
  <c r="H59" i="5" s="1"/>
  <c r="D60" i="5" s="1"/>
  <c r="C58" i="5"/>
  <c r="G74" i="5"/>
  <c r="H29" i="8"/>
  <c r="H69" i="5"/>
  <c r="I29" i="122" s="1"/>
  <c r="H7" i="60"/>
  <c r="H6" i="60"/>
  <c r="C19" i="60"/>
  <c r="A19" i="60"/>
  <c r="A20" i="60" s="1"/>
  <c r="A21" i="60" s="1"/>
  <c r="A22" i="60" s="1"/>
  <c r="A23" i="60" s="1"/>
  <c r="A24" i="60" s="1"/>
  <c r="A25" i="60" s="1"/>
  <c r="A26" i="60" s="1"/>
  <c r="A27" i="60" s="1"/>
  <c r="A28" i="60" s="1"/>
  <c r="A29" i="60" s="1"/>
  <c r="A30" i="60" s="1"/>
  <c r="A31" i="60" s="1"/>
  <c r="A32" i="60" s="1"/>
  <c r="A33" i="60" s="1"/>
  <c r="A34" i="60" s="1"/>
  <c r="A35" i="60" s="1"/>
  <c r="A36" i="60" s="1"/>
  <c r="A37" i="60" s="1"/>
  <c r="A38" i="60" s="1"/>
  <c r="A39" i="60" s="1"/>
  <c r="A40" i="60" s="1"/>
  <c r="A41" i="60" s="1"/>
  <c r="A42" i="60" s="1"/>
  <c r="A43" i="60" s="1"/>
  <c r="A44" i="60" s="1"/>
  <c r="A45" i="60" s="1"/>
  <c r="A46" i="60" s="1"/>
  <c r="A47" i="60" s="1"/>
  <c r="A48" i="60" s="1"/>
  <c r="A49" i="60" s="1"/>
  <c r="A50" i="60" s="1"/>
  <c r="A51" i="60" s="1"/>
  <c r="A52" i="60" s="1"/>
  <c r="A53" i="60" s="1"/>
  <c r="A54" i="60" s="1"/>
  <c r="A55" i="60" s="1"/>
  <c r="A56" i="60" s="1"/>
  <c r="A57" i="60" s="1"/>
  <c r="A58" i="60" s="1"/>
  <c r="A59" i="60" s="1"/>
  <c r="A60" i="60" s="1"/>
  <c r="A61" i="60" s="1"/>
  <c r="A62" i="60" s="1"/>
  <c r="A63" i="60" s="1"/>
  <c r="A64" i="60" s="1"/>
  <c r="A65" i="60" s="1"/>
  <c r="A66" i="60" s="1"/>
  <c r="A67" i="60" s="1"/>
  <c r="A68" i="60" s="1"/>
  <c r="A69" i="60" s="1"/>
  <c r="A70" i="60" s="1"/>
  <c r="A71" i="60" s="1"/>
  <c r="A72" i="60" s="1"/>
  <c r="A73" i="60" s="1"/>
  <c r="A74" i="60" s="1"/>
  <c r="A75" i="60" s="1"/>
  <c r="A76" i="60" s="1"/>
  <c r="A77" i="60" s="1"/>
  <c r="A78" i="60" s="1"/>
  <c r="A79" i="60" s="1"/>
  <c r="A80" i="60" s="1"/>
  <c r="A81" i="60" s="1"/>
  <c r="A82" i="60" s="1"/>
  <c r="A83" i="60" s="1"/>
  <c r="A84" i="60" s="1"/>
  <c r="A85" i="60" s="1"/>
  <c r="A86" i="60" s="1"/>
  <c r="A87" i="60" s="1"/>
  <c r="A88" i="60" s="1"/>
  <c r="A89" i="60" s="1"/>
  <c r="A90" i="60" s="1"/>
  <c r="A91" i="60" s="1"/>
  <c r="A92" i="60" s="1"/>
  <c r="A93" i="60" s="1"/>
  <c r="A94" i="60" s="1"/>
  <c r="A95" i="60" s="1"/>
  <c r="A96" i="60" s="1"/>
  <c r="A97" i="60" s="1"/>
  <c r="A98" i="60" s="1"/>
  <c r="A99" i="60" s="1"/>
  <c r="A100" i="60" s="1"/>
  <c r="A101" i="60" s="1"/>
  <c r="A102" i="60" s="1"/>
  <c r="A103" i="60" s="1"/>
  <c r="A104" i="60" s="1"/>
  <c r="A105" i="60" s="1"/>
  <c r="A106" i="60" s="1"/>
  <c r="A107" i="60" s="1"/>
  <c r="A108" i="60" s="1"/>
  <c r="A109" i="60" s="1"/>
  <c r="A110" i="60" s="1"/>
  <c r="A111" i="60" s="1"/>
  <c r="A112" i="60" s="1"/>
  <c r="A113" i="60" s="1"/>
  <c r="A114" i="60" s="1"/>
  <c r="A115" i="60" s="1"/>
  <c r="A116" i="60" s="1"/>
  <c r="A117" i="60" s="1"/>
  <c r="A118" i="60" s="1"/>
  <c r="A119" i="60" s="1"/>
  <c r="A120" i="60" s="1"/>
  <c r="A121" i="60" s="1"/>
  <c r="A122" i="60" s="1"/>
  <c r="A123" i="60" s="1"/>
  <c r="A124" i="60" s="1"/>
  <c r="A125" i="60" s="1"/>
  <c r="A126" i="60" s="1"/>
  <c r="A127" i="60" s="1"/>
  <c r="A128" i="60" s="1"/>
  <c r="A129" i="60" s="1"/>
  <c r="A130" i="60" s="1"/>
  <c r="A131" i="60" s="1"/>
  <c r="A132" i="60" s="1"/>
  <c r="A133" i="60" s="1"/>
  <c r="A134" i="60" s="1"/>
  <c r="A135" i="60" s="1"/>
  <c r="A136" i="60" s="1"/>
  <c r="A137" i="60" s="1"/>
  <c r="A138" i="60" s="1"/>
  <c r="A139" i="60" s="1"/>
  <c r="A140" i="60" s="1"/>
  <c r="A141" i="60" s="1"/>
  <c r="A142" i="60" s="1"/>
  <c r="A143" i="60" s="1"/>
  <c r="A144" i="60" s="1"/>
  <c r="A145" i="60" s="1"/>
  <c r="A146" i="60" s="1"/>
  <c r="A147" i="60" s="1"/>
  <c r="A148" i="60" s="1"/>
  <c r="A149" i="60" s="1"/>
  <c r="A150" i="60" s="1"/>
  <c r="A151" i="60" s="1"/>
  <c r="A152" i="60" s="1"/>
  <c r="A153" i="60" s="1"/>
  <c r="A154" i="60" s="1"/>
  <c r="A155" i="60" s="1"/>
  <c r="A156" i="60" s="1"/>
  <c r="A157" i="60" s="1"/>
  <c r="A158" i="60" s="1"/>
  <c r="A159" i="60" s="1"/>
  <c r="A160" i="60" s="1"/>
  <c r="A161" i="60" s="1"/>
  <c r="A162" i="60" s="1"/>
  <c r="A163" i="60" s="1"/>
  <c r="A164" i="60" s="1"/>
  <c r="A165" i="60" s="1"/>
  <c r="A166" i="60" s="1"/>
  <c r="A167" i="60" s="1"/>
  <c r="A168" i="60" s="1"/>
  <c r="A169" i="60" s="1"/>
  <c r="A170" i="60" s="1"/>
  <c r="A171" i="60" s="1"/>
  <c r="A172" i="60" s="1"/>
  <c r="A173" i="60" s="1"/>
  <c r="A174" i="60" s="1"/>
  <c r="A175" i="60" s="1"/>
  <c r="A176" i="60" s="1"/>
  <c r="A177" i="60" s="1"/>
  <c r="A178" i="60" s="1"/>
  <c r="A179" i="60" s="1"/>
  <c r="A180" i="60" s="1"/>
  <c r="A181" i="60" s="1"/>
  <c r="A182" i="60" s="1"/>
  <c r="A183" i="60" s="1"/>
  <c r="A184" i="60" s="1"/>
  <c r="A185" i="60" s="1"/>
  <c r="A186" i="60" s="1"/>
  <c r="A187" i="60" s="1"/>
  <c r="A188" i="60" s="1"/>
  <c r="A189" i="60" s="1"/>
  <c r="A190" i="60" s="1"/>
  <c r="A191" i="60" s="1"/>
  <c r="A192" i="60" s="1"/>
  <c r="A193" i="60" s="1"/>
  <c r="A194" i="60" s="1"/>
  <c r="A195" i="60" s="1"/>
  <c r="A196" i="60" s="1"/>
  <c r="A197" i="60" s="1"/>
  <c r="A198" i="60" s="1"/>
  <c r="A199" i="60" s="1"/>
  <c r="A200" i="60" s="1"/>
  <c r="A201" i="60" s="1"/>
  <c r="A202" i="60" s="1"/>
  <c r="A203" i="60" s="1"/>
  <c r="A204" i="60" s="1"/>
  <c r="A205" i="60" s="1"/>
  <c r="A206" i="60" s="1"/>
  <c r="A207" i="60" s="1"/>
  <c r="A208" i="60" s="1"/>
  <c r="A209" i="60" s="1"/>
  <c r="A210" i="60" s="1"/>
  <c r="A211" i="60" s="1"/>
  <c r="A212" i="60" s="1"/>
  <c r="A213" i="60" s="1"/>
  <c r="A214" i="60" s="1"/>
  <c r="A215" i="60" s="1"/>
  <c r="A216" i="60" s="1"/>
  <c r="A217" i="60" s="1"/>
  <c r="A218" i="60" s="1"/>
  <c r="A219" i="60" s="1"/>
  <c r="A220" i="60" s="1"/>
  <c r="A221" i="60" s="1"/>
  <c r="A222" i="60" s="1"/>
  <c r="A223" i="60" s="1"/>
  <c r="A224" i="60" s="1"/>
  <c r="A225" i="60" s="1"/>
  <c r="A226" i="60" s="1"/>
  <c r="A227" i="60" s="1"/>
  <c r="A228" i="60" s="1"/>
  <c r="A229" i="60" s="1"/>
  <c r="A230" i="60" s="1"/>
  <c r="A231" i="60" s="1"/>
  <c r="A232" i="60" s="1"/>
  <c r="A233" i="60" s="1"/>
  <c r="A234" i="60" s="1"/>
  <c r="A235" i="60" s="1"/>
  <c r="A236" i="60" s="1"/>
  <c r="A237" i="60" s="1"/>
  <c r="A238" i="60" s="1"/>
  <c r="A239" i="60" s="1"/>
  <c r="A240" i="60" s="1"/>
  <c r="A241" i="60" s="1"/>
  <c r="A242" i="60" s="1"/>
  <c r="A243" i="60" s="1"/>
  <c r="A244" i="60" s="1"/>
  <c r="A245" i="60" s="1"/>
  <c r="A246" i="60" s="1"/>
  <c r="A247" i="60" s="1"/>
  <c r="A248" i="60" s="1"/>
  <c r="A249" i="60" s="1"/>
  <c r="A250" i="60" s="1"/>
  <c r="A251" i="60" s="1"/>
  <c r="A252" i="60" s="1"/>
  <c r="A253" i="60" s="1"/>
  <c r="A254" i="60" s="1"/>
  <c r="A255" i="60" s="1"/>
  <c r="A256" i="60" s="1"/>
  <c r="A257" i="60" s="1"/>
  <c r="A258" i="60" s="1"/>
  <c r="A259" i="60" s="1"/>
  <c r="A260" i="60" s="1"/>
  <c r="A261" i="60" s="1"/>
  <c r="A262" i="60" s="1"/>
  <c r="A263" i="60" s="1"/>
  <c r="A264" i="60" s="1"/>
  <c r="A265" i="60" s="1"/>
  <c r="A266" i="60" s="1"/>
  <c r="A267" i="60" s="1"/>
  <c r="A268" i="60" s="1"/>
  <c r="A269" i="60" s="1"/>
  <c r="A270" i="60" s="1"/>
  <c r="A271" i="60" s="1"/>
  <c r="A272" i="60" s="1"/>
  <c r="A273" i="60" s="1"/>
  <c r="A274" i="60" s="1"/>
  <c r="A275" i="60" s="1"/>
  <c r="A276" i="60" s="1"/>
  <c r="A277" i="60" s="1"/>
  <c r="A278" i="60" s="1"/>
  <c r="A279" i="60" s="1"/>
  <c r="A280" i="60" s="1"/>
  <c r="A281" i="60" s="1"/>
  <c r="A282" i="60" s="1"/>
  <c r="A283" i="60" s="1"/>
  <c r="A284" i="60" s="1"/>
  <c r="A285" i="60" s="1"/>
  <c r="A286" i="60" s="1"/>
  <c r="A287" i="60" s="1"/>
  <c r="A288" i="60" s="1"/>
  <c r="A289" i="60" s="1"/>
  <c r="A290" i="60" s="1"/>
  <c r="A291" i="60" s="1"/>
  <c r="A292" i="60" s="1"/>
  <c r="A293" i="60" s="1"/>
  <c r="A294" i="60" s="1"/>
  <c r="A295" i="60" s="1"/>
  <c r="A296" i="60" s="1"/>
  <c r="A297" i="60" s="1"/>
  <c r="A298" i="60" s="1"/>
  <c r="A299" i="60" s="1"/>
  <c r="A300" i="60" s="1"/>
  <c r="A301" i="60" s="1"/>
  <c r="A302" i="60" s="1"/>
  <c r="A303" i="60" s="1"/>
  <c r="A304" i="60" s="1"/>
  <c r="A305" i="60" s="1"/>
  <c r="A306" i="60" s="1"/>
  <c r="A307" i="60" s="1"/>
  <c r="A308" i="60" s="1"/>
  <c r="A309" i="60" s="1"/>
  <c r="A310" i="60" s="1"/>
  <c r="A311" i="60" s="1"/>
  <c r="A312" i="60" s="1"/>
  <c r="A313" i="60" s="1"/>
  <c r="A314" i="60" s="1"/>
  <c r="A315" i="60" s="1"/>
  <c r="A316" i="60" s="1"/>
  <c r="A317" i="60" s="1"/>
  <c r="A318" i="60" s="1"/>
  <c r="A319" i="60" s="1"/>
  <c r="A320" i="60" s="1"/>
  <c r="A321" i="60" s="1"/>
  <c r="A322" i="60" s="1"/>
  <c r="A323" i="60" s="1"/>
  <c r="A324" i="60" s="1"/>
  <c r="A325" i="60" s="1"/>
  <c r="A326" i="60" s="1"/>
  <c r="A327" i="60" s="1"/>
  <c r="A328" i="60" s="1"/>
  <c r="A329" i="60" s="1"/>
  <c r="A330" i="60" s="1"/>
  <c r="A331" i="60" s="1"/>
  <c r="A332" i="60" s="1"/>
  <c r="A333" i="60" s="1"/>
  <c r="A334" i="60" s="1"/>
  <c r="A335" i="60" s="1"/>
  <c r="A336" i="60" s="1"/>
  <c r="A337" i="60" s="1"/>
  <c r="A338" i="60" s="1"/>
  <c r="A339" i="60" s="1"/>
  <c r="A340" i="60" s="1"/>
  <c r="A341" i="60" s="1"/>
  <c r="A342" i="60" s="1"/>
  <c r="A343" i="60" s="1"/>
  <c r="A344" i="60" s="1"/>
  <c r="A345" i="60" s="1"/>
  <c r="A346" i="60" s="1"/>
  <c r="A347" i="60" s="1"/>
  <c r="A348" i="60" s="1"/>
  <c r="A349" i="60" s="1"/>
  <c r="A350" i="60" s="1"/>
  <c r="A351" i="60" s="1"/>
  <c r="A352" i="60" s="1"/>
  <c r="A353" i="60" s="1"/>
  <c r="A354" i="60" s="1"/>
  <c r="A355" i="60" s="1"/>
  <c r="A356" i="60" s="1"/>
  <c r="A357" i="60" s="1"/>
  <c r="A358" i="60" s="1"/>
  <c r="A359" i="60" s="1"/>
  <c r="A360" i="60" s="1"/>
  <c r="A361" i="60" s="1"/>
  <c r="A362" i="60" s="1"/>
  <c r="A363" i="60" s="1"/>
  <c r="A364" i="60" s="1"/>
  <c r="A365" i="60" s="1"/>
  <c r="A366" i="60" s="1"/>
  <c r="A367" i="60" s="1"/>
  <c r="A368" i="60" s="1"/>
  <c r="A369" i="60" s="1"/>
  <c r="A370" i="60" s="1"/>
  <c r="A371" i="60" s="1"/>
  <c r="A372" i="60" s="1"/>
  <c r="A373" i="60" s="1"/>
  <c r="A374" i="60" s="1"/>
  <c r="A375" i="60" s="1"/>
  <c r="A376" i="60" s="1"/>
  <c r="A377" i="60" s="1"/>
  <c r="A378" i="60" s="1"/>
  <c r="B10" i="59"/>
  <c r="J10" i="59" s="1"/>
  <c r="B18" i="59"/>
  <c r="J18" i="59" s="1"/>
  <c r="B5" i="59"/>
  <c r="J5" i="59" s="1"/>
  <c r="B30" i="59"/>
  <c r="J30" i="59" s="1"/>
  <c r="B4" i="59"/>
  <c r="J4" i="59" s="1"/>
  <c r="I25" i="71" s="1"/>
  <c r="P20" i="5" s="1"/>
  <c r="B23" i="59"/>
  <c r="J23" i="59" s="1"/>
  <c r="B17" i="59"/>
  <c r="J17" i="59" s="1"/>
  <c r="B16" i="59"/>
  <c r="J16" i="59" s="1"/>
  <c r="B12" i="59"/>
  <c r="J12" i="59" s="1"/>
  <c r="B29" i="59"/>
  <c r="J29" i="59" s="1"/>
  <c r="B22" i="59"/>
  <c r="J22" i="59" s="1"/>
  <c r="B24" i="59"/>
  <c r="J24" i="59" s="1"/>
  <c r="B28" i="59"/>
  <c r="J28" i="59" s="1"/>
  <c r="B6" i="59"/>
  <c r="J6" i="59" s="1"/>
  <c r="B11" i="59"/>
  <c r="J11" i="59" s="1"/>
  <c r="H34" i="8" l="1"/>
  <c r="H34" i="122"/>
  <c r="M20" i="122"/>
  <c r="M20" i="8"/>
  <c r="E26" i="8"/>
  <c r="B58" i="5"/>
  <c r="F26" i="8"/>
  <c r="I58" i="5"/>
  <c r="H61" i="5"/>
  <c r="E60" i="5"/>
  <c r="H60" i="5" s="1"/>
  <c r="D126" i="10"/>
  <c r="H126" i="10" s="1"/>
  <c r="H127" i="10" s="1"/>
  <c r="H128" i="10" s="1"/>
  <c r="G53" i="16"/>
  <c r="I53" i="16" s="1"/>
  <c r="I56" i="16" s="1"/>
  <c r="L6" i="80"/>
  <c r="L9" i="80" s="1"/>
  <c r="H58" i="5"/>
  <c r="D125" i="10"/>
  <c r="F14" i="69"/>
  <c r="D141" i="10"/>
  <c r="D147" i="10" s="1"/>
  <c r="B61" i="5"/>
  <c r="C61" i="5"/>
  <c r="I61" i="5"/>
  <c r="I16" i="16"/>
  <c r="I24" i="16" s="1"/>
  <c r="I30" i="16" s="1"/>
  <c r="E59" i="16"/>
  <c r="Q49" i="12"/>
  <c r="C49" i="12"/>
  <c r="E49" i="12"/>
  <c r="I49" i="12"/>
  <c r="G49" i="12"/>
  <c r="K49" i="12"/>
  <c r="M49" i="12"/>
  <c r="O49" i="12"/>
  <c r="O54" i="12"/>
  <c r="I54" i="12"/>
  <c r="G54" i="12"/>
  <c r="K54" i="12"/>
  <c r="M54" i="12"/>
  <c r="E54" i="12"/>
  <c r="C54" i="12"/>
  <c r="Q54" i="12"/>
  <c r="Q44" i="12"/>
  <c r="K44" i="12"/>
  <c r="I44" i="12"/>
  <c r="M44" i="12"/>
  <c r="E44" i="12"/>
  <c r="G44" i="12"/>
  <c r="C44" i="12"/>
  <c r="O44" i="12"/>
  <c r="J98" i="75"/>
  <c r="J97" i="75" s="1"/>
  <c r="I39" i="12"/>
  <c r="E39" i="12"/>
  <c r="K39" i="12"/>
  <c r="H98" i="75"/>
  <c r="H97" i="75" s="1"/>
  <c r="G39" i="12"/>
  <c r="O39" i="12"/>
  <c r="Q39" i="12"/>
  <c r="D98" i="75"/>
  <c r="D97" i="75" s="1"/>
  <c r="M39" i="12"/>
  <c r="F98" i="75"/>
  <c r="F97" i="75" s="1"/>
  <c r="C39" i="12"/>
  <c r="H87" i="75"/>
  <c r="H93" i="75" s="1"/>
  <c r="H100" i="75" s="1"/>
  <c r="M28" i="12"/>
  <c r="G28" i="12"/>
  <c r="J87" i="75"/>
  <c r="J93" i="75" s="1"/>
  <c r="L93" i="75" s="1"/>
  <c r="S14" i="75" s="1"/>
  <c r="O28" i="12"/>
  <c r="D87" i="75"/>
  <c r="D93" i="75" s="1"/>
  <c r="D95" i="75" s="1"/>
  <c r="I28" i="12"/>
  <c r="F87" i="75"/>
  <c r="F93" i="75" s="1"/>
  <c r="F95" i="75" s="1"/>
  <c r="Q28" i="12"/>
  <c r="C28" i="12"/>
  <c r="K28" i="12"/>
  <c r="E28" i="12"/>
  <c r="D346" i="60"/>
  <c r="B346" i="60"/>
  <c r="B24" i="60"/>
  <c r="D24" i="60"/>
  <c r="B101" i="60"/>
  <c r="D101" i="60"/>
  <c r="B133" i="60"/>
  <c r="D133" i="60"/>
  <c r="D289" i="60"/>
  <c r="B289" i="60"/>
  <c r="B34" i="60"/>
  <c r="D34" i="60"/>
  <c r="D68" i="60"/>
  <c r="B68" i="60"/>
  <c r="B142" i="60"/>
  <c r="D142" i="60"/>
  <c r="B344" i="60"/>
  <c r="D344" i="60"/>
  <c r="B205" i="60"/>
  <c r="D205" i="60"/>
  <c r="D343" i="60"/>
  <c r="B343" i="60"/>
  <c r="D229" i="60"/>
  <c r="B229" i="60"/>
  <c r="B62" i="60"/>
  <c r="D62" i="60"/>
  <c r="B28" i="60"/>
  <c r="D28" i="60"/>
  <c r="B145" i="60"/>
  <c r="D145" i="60"/>
  <c r="B219" i="60"/>
  <c r="D219" i="60"/>
  <c r="D296" i="60"/>
  <c r="B296" i="60"/>
  <c r="B354" i="60"/>
  <c r="D354" i="60"/>
  <c r="D35" i="60"/>
  <c r="B35" i="60"/>
  <c r="B75" i="60"/>
  <c r="D75" i="60"/>
  <c r="D191" i="60"/>
  <c r="B191" i="60"/>
  <c r="B206" i="60"/>
  <c r="D206" i="60"/>
  <c r="D173" i="60"/>
  <c r="B173" i="60"/>
  <c r="B338" i="60"/>
  <c r="D338" i="60"/>
  <c r="D128" i="60"/>
  <c r="B128" i="60"/>
  <c r="B253" i="60"/>
  <c r="D253" i="60"/>
  <c r="D244" i="60"/>
  <c r="B244" i="60"/>
  <c r="D130" i="60"/>
  <c r="B130" i="60"/>
  <c r="B345" i="60"/>
  <c r="D345" i="60"/>
  <c r="D183" i="60"/>
  <c r="B183" i="60"/>
  <c r="B256" i="60"/>
  <c r="D256" i="60"/>
  <c r="B230" i="60"/>
  <c r="D230" i="60"/>
  <c r="D180" i="60"/>
  <c r="B180" i="60"/>
  <c r="D147" i="60"/>
  <c r="B147" i="60"/>
  <c r="B357" i="60"/>
  <c r="D357" i="60"/>
  <c r="B104" i="60"/>
  <c r="D104" i="60"/>
  <c r="D351" i="60"/>
  <c r="B351" i="60"/>
  <c r="B53" i="60"/>
  <c r="D53" i="60"/>
  <c r="B291" i="60"/>
  <c r="D291" i="60"/>
  <c r="B236" i="60"/>
  <c r="D236" i="60"/>
  <c r="B47" i="60"/>
  <c r="D47" i="60"/>
  <c r="B117" i="60"/>
  <c r="D117" i="60"/>
  <c r="D251" i="60"/>
  <c r="B251" i="60"/>
  <c r="D152" i="60"/>
  <c r="B152" i="60"/>
  <c r="D48" i="60"/>
  <c r="B48" i="60"/>
  <c r="B115" i="60"/>
  <c r="D115" i="60"/>
  <c r="B222" i="60"/>
  <c r="D222" i="60"/>
  <c r="B303" i="60"/>
  <c r="D303" i="60"/>
  <c r="B318" i="60"/>
  <c r="D318" i="60"/>
  <c r="B321" i="60"/>
  <c r="D321" i="60"/>
  <c r="D136" i="60"/>
  <c r="B136" i="60"/>
  <c r="D372" i="60"/>
  <c r="B372" i="60"/>
  <c r="D150" i="60"/>
  <c r="B150" i="60"/>
  <c r="D359" i="60"/>
  <c r="B359" i="60"/>
  <c r="B58" i="60"/>
  <c r="D58" i="60"/>
  <c r="D228" i="60"/>
  <c r="B228" i="60"/>
  <c r="B273" i="60"/>
  <c r="D273" i="60"/>
  <c r="B368" i="60"/>
  <c r="D368" i="60"/>
  <c r="D51" i="60"/>
  <c r="B51" i="60"/>
  <c r="B54" i="60"/>
  <c r="D54" i="60"/>
  <c r="B90" i="60"/>
  <c r="D90" i="60"/>
  <c r="D123" i="60"/>
  <c r="B123" i="60"/>
  <c r="B246" i="60"/>
  <c r="D246" i="60"/>
  <c r="B209" i="60"/>
  <c r="D209" i="60"/>
  <c r="B371" i="60"/>
  <c r="D371" i="60"/>
  <c r="B92" i="60"/>
  <c r="D92" i="60"/>
  <c r="D160" i="60"/>
  <c r="B160" i="60"/>
  <c r="B103" i="60"/>
  <c r="D103" i="60"/>
  <c r="D274" i="60"/>
  <c r="B274" i="60"/>
  <c r="D261" i="60"/>
  <c r="B261" i="60"/>
  <c r="B328" i="60"/>
  <c r="D328" i="60"/>
  <c r="D376" i="60"/>
  <c r="B376" i="60"/>
  <c r="D32" i="60"/>
  <c r="B32" i="60"/>
  <c r="D144" i="60"/>
  <c r="B144" i="60"/>
  <c r="B137" i="60"/>
  <c r="D137" i="60"/>
  <c r="D269" i="60"/>
  <c r="B269" i="60"/>
  <c r="D165" i="60"/>
  <c r="B165" i="60"/>
  <c r="B360" i="60"/>
  <c r="D360" i="60"/>
  <c r="I29" i="8"/>
  <c r="H74" i="5"/>
  <c r="I34" i="122" s="1"/>
  <c r="B89" i="60"/>
  <c r="D89" i="60"/>
  <c r="D162" i="60"/>
  <c r="B162" i="60"/>
  <c r="D194" i="60"/>
  <c r="B194" i="60"/>
  <c r="D181" i="60"/>
  <c r="B181" i="60"/>
  <c r="B271" i="60"/>
  <c r="D271" i="60"/>
  <c r="B311" i="60"/>
  <c r="D311" i="60"/>
  <c r="D327" i="60"/>
  <c r="B327" i="60"/>
  <c r="D67" i="60"/>
  <c r="B67" i="60"/>
  <c r="B135" i="60"/>
  <c r="D135" i="60"/>
  <c r="D377" i="60"/>
  <c r="B377" i="60"/>
  <c r="B59" i="60"/>
  <c r="D59" i="60"/>
  <c r="D265" i="60"/>
  <c r="B265" i="60"/>
  <c r="B214" i="60"/>
  <c r="D214" i="60"/>
  <c r="D38" i="60"/>
  <c r="B38" i="60"/>
  <c r="B106" i="60"/>
  <c r="D106" i="60"/>
  <c r="B231" i="60"/>
  <c r="D231" i="60"/>
  <c r="B297" i="60"/>
  <c r="D297" i="60"/>
  <c r="D143" i="60"/>
  <c r="B143" i="60"/>
  <c r="B238" i="60"/>
  <c r="D238" i="60"/>
  <c r="B134" i="60"/>
  <c r="D134" i="60"/>
  <c r="B254" i="60"/>
  <c r="D254" i="60"/>
  <c r="D305" i="60"/>
  <c r="B305" i="60"/>
  <c r="B207" i="60"/>
  <c r="D207" i="60"/>
  <c r="D76" i="60"/>
  <c r="B76" i="60"/>
  <c r="B310" i="60"/>
  <c r="D310" i="60"/>
  <c r="B221" i="60"/>
  <c r="D221" i="60"/>
  <c r="B323" i="60"/>
  <c r="D323" i="60"/>
  <c r="B335" i="60"/>
  <c r="D335" i="60"/>
  <c r="D300" i="60"/>
  <c r="B300" i="60"/>
  <c r="B329" i="60"/>
  <c r="D329" i="60"/>
  <c r="B267" i="60"/>
  <c r="D267" i="60"/>
  <c r="D349" i="60"/>
  <c r="B349" i="60"/>
  <c r="D65" i="60"/>
  <c r="B65" i="60"/>
  <c r="B237" i="60"/>
  <c r="D237" i="60"/>
  <c r="D69" i="60"/>
  <c r="B69" i="60"/>
  <c r="B317" i="60"/>
  <c r="D317" i="60"/>
  <c r="B277" i="60"/>
  <c r="D277" i="60"/>
  <c r="D178" i="60"/>
  <c r="B178" i="60"/>
  <c r="D332" i="60"/>
  <c r="B332" i="60"/>
  <c r="D40" i="60"/>
  <c r="B40" i="60"/>
  <c r="B107" i="60"/>
  <c r="D107" i="60"/>
  <c r="B167" i="60"/>
  <c r="D167" i="60"/>
  <c r="B212" i="60"/>
  <c r="D212" i="60"/>
  <c r="B223" i="60"/>
  <c r="D223" i="60"/>
  <c r="B363" i="60"/>
  <c r="D363" i="60"/>
  <c r="D23" i="60"/>
  <c r="B23" i="60"/>
  <c r="D36" i="60"/>
  <c r="B36" i="60"/>
  <c r="D154" i="60"/>
  <c r="B154" i="60"/>
  <c r="B172" i="60"/>
  <c r="D172" i="60"/>
  <c r="B334" i="60"/>
  <c r="D334" i="60"/>
  <c r="B258" i="60"/>
  <c r="D258" i="60"/>
  <c r="B336" i="60"/>
  <c r="D336" i="60"/>
  <c r="D93" i="60"/>
  <c r="B93" i="60"/>
  <c r="D66" i="60"/>
  <c r="B66" i="60"/>
  <c r="B95" i="60"/>
  <c r="D95" i="60"/>
  <c r="B278" i="60"/>
  <c r="D278" i="60"/>
  <c r="B255" i="60"/>
  <c r="D255" i="60"/>
  <c r="D304" i="60"/>
  <c r="B304" i="60"/>
  <c r="D361" i="60"/>
  <c r="B361" i="60"/>
  <c r="D88" i="60"/>
  <c r="B88" i="60"/>
  <c r="D81" i="60"/>
  <c r="B81" i="60"/>
  <c r="D159" i="60"/>
  <c r="B159" i="60"/>
  <c r="D242" i="60"/>
  <c r="B242" i="60"/>
  <c r="B352" i="60"/>
  <c r="D352" i="60"/>
  <c r="B283" i="60"/>
  <c r="D283" i="60"/>
  <c r="B373" i="60"/>
  <c r="D373" i="60"/>
  <c r="B121" i="60"/>
  <c r="D121" i="60"/>
  <c r="D148" i="60"/>
  <c r="B148" i="60"/>
  <c r="B164" i="60"/>
  <c r="D164" i="60"/>
  <c r="B279" i="60"/>
  <c r="D279" i="60"/>
  <c r="B367" i="60"/>
  <c r="D367" i="60"/>
  <c r="D358" i="60"/>
  <c r="B358" i="60"/>
  <c r="D340" i="60"/>
  <c r="B340" i="60"/>
  <c r="D268" i="60"/>
  <c r="B268" i="60"/>
  <c r="D235" i="60"/>
  <c r="B235" i="60"/>
  <c r="B175" i="60"/>
  <c r="D175" i="60"/>
  <c r="B211" i="60"/>
  <c r="D211" i="60"/>
  <c r="B55" i="60"/>
  <c r="D55" i="60"/>
  <c r="D213" i="60"/>
  <c r="B213" i="60"/>
  <c r="D198" i="60"/>
  <c r="B198" i="60"/>
  <c r="B116" i="60"/>
  <c r="D116" i="60"/>
  <c r="B264" i="60"/>
  <c r="D264" i="60"/>
  <c r="B257" i="60"/>
  <c r="D257" i="60"/>
  <c r="B356" i="60"/>
  <c r="D356" i="60"/>
  <c r="D64" i="60"/>
  <c r="B64" i="60"/>
  <c r="D294" i="60"/>
  <c r="B294" i="60"/>
  <c r="D73" i="60"/>
  <c r="B73" i="60"/>
  <c r="B86" i="60"/>
  <c r="D86" i="60"/>
  <c r="D170" i="60"/>
  <c r="B170" i="60"/>
  <c r="B288" i="60"/>
  <c r="D288" i="60"/>
  <c r="D313" i="60"/>
  <c r="B313" i="60"/>
  <c r="D52" i="60"/>
  <c r="B52" i="60"/>
  <c r="B153" i="60"/>
  <c r="D153" i="60"/>
  <c r="B218" i="60"/>
  <c r="D218" i="60"/>
  <c r="B370" i="60"/>
  <c r="D370" i="60"/>
  <c r="D250" i="60"/>
  <c r="B250" i="60"/>
  <c r="B365" i="60"/>
  <c r="D365" i="60"/>
  <c r="D45" i="60"/>
  <c r="B45" i="60"/>
  <c r="D79" i="60"/>
  <c r="B79" i="60"/>
  <c r="D109" i="60"/>
  <c r="B109" i="60"/>
  <c r="B189" i="60"/>
  <c r="D189" i="60"/>
  <c r="B266" i="60"/>
  <c r="D266" i="60"/>
  <c r="D295" i="60"/>
  <c r="B295" i="60"/>
  <c r="B87" i="60"/>
  <c r="D87" i="60"/>
  <c r="B44" i="60"/>
  <c r="D44" i="60"/>
  <c r="B155" i="60"/>
  <c r="D155" i="60"/>
  <c r="B220" i="60"/>
  <c r="D220" i="60"/>
  <c r="D280" i="60"/>
  <c r="B280" i="60"/>
  <c r="B225" i="60"/>
  <c r="D225" i="60"/>
  <c r="B362" i="60"/>
  <c r="D362" i="60"/>
  <c r="D112" i="60"/>
  <c r="B112" i="60"/>
  <c r="D151" i="60"/>
  <c r="B151" i="60"/>
  <c r="D113" i="60"/>
  <c r="B113" i="60"/>
  <c r="B292" i="60"/>
  <c r="D292" i="60"/>
  <c r="D285" i="60"/>
  <c r="B285" i="60"/>
  <c r="D298" i="60"/>
  <c r="B298" i="60"/>
  <c r="D111" i="60"/>
  <c r="B111" i="60"/>
  <c r="B100" i="60"/>
  <c r="D100" i="60"/>
  <c r="B166" i="60"/>
  <c r="D166" i="60"/>
  <c r="B208" i="60"/>
  <c r="D208" i="60"/>
  <c r="B330" i="60"/>
  <c r="D330" i="60"/>
  <c r="B293" i="60"/>
  <c r="D293" i="60"/>
  <c r="D366" i="60"/>
  <c r="B366" i="60"/>
  <c r="B195" i="60"/>
  <c r="D195" i="60"/>
  <c r="D105" i="60"/>
  <c r="B105" i="60"/>
  <c r="D204" i="60"/>
  <c r="B204" i="60"/>
  <c r="B216" i="60"/>
  <c r="D216" i="60"/>
  <c r="D239" i="60"/>
  <c r="B239" i="60"/>
  <c r="B282" i="60"/>
  <c r="D282" i="60"/>
  <c r="D241" i="60"/>
  <c r="B241" i="60"/>
  <c r="B77" i="60"/>
  <c r="D77" i="60"/>
  <c r="B302" i="60"/>
  <c r="D302" i="60"/>
  <c r="D248" i="60"/>
  <c r="B248" i="60"/>
  <c r="B259" i="60"/>
  <c r="D259" i="60"/>
  <c r="D284" i="60"/>
  <c r="B284" i="60"/>
  <c r="B375" i="60"/>
  <c r="D375" i="60"/>
  <c r="D270" i="60"/>
  <c r="B270" i="60"/>
  <c r="B378" i="60"/>
  <c r="D378" i="60"/>
  <c r="D149" i="60"/>
  <c r="B149" i="60"/>
  <c r="B199" i="60"/>
  <c r="D199" i="60"/>
  <c r="D193" i="60"/>
  <c r="B193" i="60"/>
  <c r="B124" i="60"/>
  <c r="D124" i="60"/>
  <c r="D233" i="60"/>
  <c r="B233" i="60"/>
  <c r="B355" i="60"/>
  <c r="D355" i="60"/>
  <c r="D97" i="60"/>
  <c r="B97" i="60"/>
  <c r="D187" i="60"/>
  <c r="B187" i="60"/>
  <c r="B307" i="60"/>
  <c r="D307" i="60"/>
  <c r="D341" i="60"/>
  <c r="B341" i="60"/>
  <c r="B46" i="60"/>
  <c r="D46" i="60"/>
  <c r="D41" i="60"/>
  <c r="B41" i="60"/>
  <c r="B31" i="60"/>
  <c r="D31" i="60"/>
  <c r="B132" i="60"/>
  <c r="D132" i="60"/>
  <c r="B98" i="60"/>
  <c r="D98" i="60"/>
  <c r="B185" i="60"/>
  <c r="D185" i="60"/>
  <c r="D325" i="60"/>
  <c r="B325" i="60"/>
  <c r="D364" i="60"/>
  <c r="B364" i="60"/>
  <c r="D156" i="60"/>
  <c r="B156" i="60"/>
  <c r="B215" i="60"/>
  <c r="D215" i="60"/>
  <c r="B286" i="60"/>
  <c r="D286" i="60"/>
  <c r="B272" i="60"/>
  <c r="D272" i="60"/>
  <c r="D39" i="60"/>
  <c r="B39" i="60"/>
  <c r="D83" i="60"/>
  <c r="B83" i="60"/>
  <c r="D78" i="60"/>
  <c r="B78" i="60"/>
  <c r="D129" i="60"/>
  <c r="B129" i="60"/>
  <c r="D252" i="60"/>
  <c r="B252" i="60"/>
  <c r="D210" i="60"/>
  <c r="B210" i="60"/>
  <c r="B299" i="60"/>
  <c r="D299" i="60"/>
  <c r="D200" i="60"/>
  <c r="B200" i="60"/>
  <c r="B42" i="60"/>
  <c r="D42" i="60"/>
  <c r="B84" i="60"/>
  <c r="D84" i="60"/>
  <c r="D126" i="60"/>
  <c r="B126" i="60"/>
  <c r="D196" i="60"/>
  <c r="B196" i="60"/>
  <c r="D276" i="60"/>
  <c r="B276" i="60"/>
  <c r="D290" i="60"/>
  <c r="B290" i="60"/>
  <c r="B43" i="60"/>
  <c r="D43" i="60"/>
  <c r="B72" i="60"/>
  <c r="D72" i="60"/>
  <c r="D37" i="60"/>
  <c r="B37" i="60"/>
  <c r="B138" i="60"/>
  <c r="D138" i="60"/>
  <c r="B217" i="60"/>
  <c r="D217" i="60"/>
  <c r="B224" i="60"/>
  <c r="D224" i="60"/>
  <c r="D369" i="60"/>
  <c r="B369" i="60"/>
  <c r="B243" i="60"/>
  <c r="D243" i="60"/>
  <c r="D120" i="60"/>
  <c r="B120" i="60"/>
  <c r="B122" i="60"/>
  <c r="D122" i="60"/>
  <c r="D249" i="60"/>
  <c r="B249" i="60"/>
  <c r="D308" i="60"/>
  <c r="B308" i="60"/>
  <c r="D312" i="60"/>
  <c r="B312" i="60"/>
  <c r="B234" i="60"/>
  <c r="D234" i="60"/>
  <c r="B337" i="60"/>
  <c r="D337" i="60"/>
  <c r="D99" i="60"/>
  <c r="B99" i="60"/>
  <c r="D188" i="60"/>
  <c r="B188" i="60"/>
  <c r="D263" i="60"/>
  <c r="B263" i="60"/>
  <c r="B339" i="60"/>
  <c r="D339" i="60"/>
  <c r="D94" i="60"/>
  <c r="B94" i="60"/>
  <c r="H19" i="60"/>
  <c r="D19" i="60"/>
  <c r="B19" i="60"/>
  <c r="D118" i="60"/>
  <c r="B118" i="60"/>
  <c r="B192" i="60"/>
  <c r="D192" i="60"/>
  <c r="D331" i="60"/>
  <c r="B331" i="60"/>
  <c r="B342" i="60"/>
  <c r="D342" i="60"/>
  <c r="B56" i="60"/>
  <c r="D56" i="60"/>
  <c r="D110" i="60"/>
  <c r="B110" i="60"/>
  <c r="B177" i="60"/>
  <c r="D177" i="60"/>
  <c r="B326" i="60"/>
  <c r="D326" i="60"/>
  <c r="B348" i="60"/>
  <c r="D348" i="60"/>
  <c r="B125" i="60"/>
  <c r="D125" i="60"/>
  <c r="D30" i="60"/>
  <c r="B30" i="60"/>
  <c r="D140" i="60"/>
  <c r="B140" i="60"/>
  <c r="D182" i="60"/>
  <c r="B182" i="60"/>
  <c r="D240" i="60"/>
  <c r="B240" i="60"/>
  <c r="B316" i="60"/>
  <c r="D316" i="60"/>
  <c r="D85" i="60"/>
  <c r="B85" i="60"/>
  <c r="B60" i="60"/>
  <c r="D60" i="60"/>
  <c r="D57" i="60"/>
  <c r="B57" i="60"/>
  <c r="D127" i="60"/>
  <c r="B127" i="60"/>
  <c r="B176" i="60"/>
  <c r="D176" i="60"/>
  <c r="D197" i="60"/>
  <c r="B197" i="60"/>
  <c r="B315" i="60"/>
  <c r="D315" i="60"/>
  <c r="D96" i="60"/>
  <c r="B96" i="60"/>
  <c r="D25" i="60"/>
  <c r="B25" i="60"/>
  <c r="B70" i="60"/>
  <c r="D70" i="60"/>
  <c r="D203" i="60"/>
  <c r="B203" i="60"/>
  <c r="B281" i="60"/>
  <c r="D281" i="60"/>
  <c r="D262" i="60"/>
  <c r="B262" i="60"/>
  <c r="B374" i="60"/>
  <c r="D374" i="60"/>
  <c r="B27" i="60"/>
  <c r="D27" i="60"/>
  <c r="D171" i="60"/>
  <c r="B171" i="60"/>
  <c r="D163" i="60"/>
  <c r="B163" i="60"/>
  <c r="B247" i="60"/>
  <c r="D247" i="60"/>
  <c r="D174" i="60"/>
  <c r="B174" i="60"/>
  <c r="D245" i="60"/>
  <c r="B245" i="60"/>
  <c r="B309" i="60"/>
  <c r="D309" i="60"/>
  <c r="D49" i="60"/>
  <c r="B49" i="60"/>
  <c r="D29" i="60"/>
  <c r="B29" i="60"/>
  <c r="D306" i="60"/>
  <c r="B306" i="60"/>
  <c r="B26" i="60"/>
  <c r="D26" i="60"/>
  <c r="D61" i="60"/>
  <c r="B61" i="60"/>
  <c r="B91" i="60"/>
  <c r="D91" i="60"/>
  <c r="B226" i="60"/>
  <c r="D226" i="60"/>
  <c r="B71" i="60"/>
  <c r="D71" i="60"/>
  <c r="B146" i="60"/>
  <c r="D146" i="60"/>
  <c r="D190" i="60"/>
  <c r="B190" i="60"/>
  <c r="B320" i="60"/>
  <c r="D320" i="60"/>
  <c r="D350" i="60"/>
  <c r="B350" i="60"/>
  <c r="B201" i="60"/>
  <c r="D201" i="60"/>
  <c r="B80" i="60"/>
  <c r="D80" i="60"/>
  <c r="D82" i="60"/>
  <c r="B82" i="60"/>
  <c r="B119" i="60"/>
  <c r="D119" i="60"/>
  <c r="B157" i="60"/>
  <c r="D157" i="60"/>
  <c r="B232" i="60"/>
  <c r="D232" i="60"/>
  <c r="D353" i="60"/>
  <c r="B353" i="60"/>
  <c r="B21" i="60"/>
  <c r="D21" i="60"/>
  <c r="B158" i="60"/>
  <c r="D158" i="60"/>
  <c r="D161" i="60"/>
  <c r="B161" i="60"/>
  <c r="D287" i="60"/>
  <c r="B287" i="60"/>
  <c r="D301" i="60"/>
  <c r="B301" i="60"/>
  <c r="B139" i="60"/>
  <c r="D139" i="60"/>
  <c r="B63" i="60"/>
  <c r="D63" i="60"/>
  <c r="B33" i="60"/>
  <c r="D33" i="60"/>
  <c r="B169" i="60"/>
  <c r="D169" i="60"/>
  <c r="D275" i="60"/>
  <c r="B275" i="60"/>
  <c r="B184" i="60"/>
  <c r="D184" i="60"/>
  <c r="B322" i="60"/>
  <c r="D322" i="60"/>
  <c r="B333" i="60"/>
  <c r="D333" i="60"/>
  <c r="D22" i="60"/>
  <c r="B22" i="60"/>
  <c r="D114" i="60"/>
  <c r="B114" i="60"/>
  <c r="B141" i="60"/>
  <c r="D141" i="60"/>
  <c r="D186" i="60"/>
  <c r="B186" i="60"/>
  <c r="B324" i="60"/>
  <c r="D324" i="60"/>
  <c r="B319" i="60"/>
  <c r="D319" i="60"/>
  <c r="B102" i="60"/>
  <c r="D102" i="60"/>
  <c r="B20" i="60"/>
  <c r="D20" i="60"/>
  <c r="D131" i="60"/>
  <c r="B131" i="60"/>
  <c r="B168" i="60"/>
  <c r="D168" i="60"/>
  <c r="B202" i="60"/>
  <c r="D202" i="60"/>
  <c r="B227" i="60"/>
  <c r="D227" i="60"/>
  <c r="B347" i="60"/>
  <c r="D347" i="60"/>
  <c r="D50" i="60"/>
  <c r="B50" i="60"/>
  <c r="B74" i="60"/>
  <c r="D74" i="60"/>
  <c r="B108" i="60"/>
  <c r="D108" i="60"/>
  <c r="D179" i="60"/>
  <c r="B179" i="60"/>
  <c r="D260" i="60"/>
  <c r="B260" i="60"/>
  <c r="B314" i="60"/>
  <c r="D314" i="60"/>
  <c r="I26" i="8" l="1"/>
  <c r="D100" i="75"/>
  <c r="S34" i="75"/>
  <c r="S35" i="75" s="1"/>
  <c r="S36" i="75" s="1"/>
  <c r="D94" i="75"/>
  <c r="K48" i="12"/>
  <c r="K53" i="68"/>
  <c r="Q34" i="12"/>
  <c r="Q46" i="12" s="1"/>
  <c r="Q32" i="68"/>
  <c r="Q38" i="68" s="1"/>
  <c r="G48" i="12"/>
  <c r="G53" i="68"/>
  <c r="M34" i="12"/>
  <c r="M46" i="12" s="1"/>
  <c r="M32" i="68"/>
  <c r="M38" i="68" s="1"/>
  <c r="G43" i="12"/>
  <c r="G48" i="68"/>
  <c r="E53" i="12"/>
  <c r="E58" i="68"/>
  <c r="E43" i="12"/>
  <c r="E48" i="68"/>
  <c r="K38" i="12"/>
  <c r="K43" i="68"/>
  <c r="I48" i="12"/>
  <c r="I53" i="68"/>
  <c r="I34" i="12"/>
  <c r="I56" i="12" s="1"/>
  <c r="I32" i="68"/>
  <c r="I38" i="68" s="1"/>
  <c r="E38" i="12"/>
  <c r="E43" i="68"/>
  <c r="G53" i="12"/>
  <c r="G58" i="68"/>
  <c r="M38" i="12"/>
  <c r="M43" i="68"/>
  <c r="I38" i="12"/>
  <c r="I43" i="68"/>
  <c r="I53" i="12"/>
  <c r="I58" i="68"/>
  <c r="C48" i="12"/>
  <c r="C53" i="68"/>
  <c r="O34" i="12"/>
  <c r="O32" i="68"/>
  <c r="O38" i="68" s="1"/>
  <c r="Q43" i="12"/>
  <c r="Q48" i="68"/>
  <c r="O53" i="12"/>
  <c r="O58" i="68"/>
  <c r="Q48" i="12"/>
  <c r="Q53" i="68"/>
  <c r="K34" i="12"/>
  <c r="K36" i="12" s="1"/>
  <c r="L15" i="17" s="1"/>
  <c r="K32" i="68"/>
  <c r="K38" i="68" s="1"/>
  <c r="C34" i="12"/>
  <c r="D11" i="73" s="1"/>
  <c r="D12" i="73" s="1"/>
  <c r="C32" i="68"/>
  <c r="C38" i="68" s="1"/>
  <c r="G38" i="12"/>
  <c r="G43" i="68"/>
  <c r="M53" i="12"/>
  <c r="M58" i="68"/>
  <c r="C38" i="12"/>
  <c r="C43" i="68"/>
  <c r="M43" i="12"/>
  <c r="M48" i="68"/>
  <c r="K53" i="12"/>
  <c r="K58" i="68"/>
  <c r="I43" i="12"/>
  <c r="I48" i="68"/>
  <c r="E48" i="12"/>
  <c r="E53" i="68"/>
  <c r="K43" i="12"/>
  <c r="K48" i="68"/>
  <c r="E34" i="12"/>
  <c r="E46" i="12" s="1"/>
  <c r="E32" i="68"/>
  <c r="E38" i="68" s="1"/>
  <c r="Q38" i="12"/>
  <c r="Q43" i="68"/>
  <c r="O43" i="12"/>
  <c r="O48" i="68"/>
  <c r="Q53" i="12"/>
  <c r="Q58" i="68"/>
  <c r="O48" i="12"/>
  <c r="O53" i="68"/>
  <c r="G34" i="12"/>
  <c r="G51" i="12" s="1"/>
  <c r="H16" i="17" s="1"/>
  <c r="G32" i="68"/>
  <c r="G38" i="68" s="1"/>
  <c r="O38" i="12"/>
  <c r="O43" i="68"/>
  <c r="C43" i="12"/>
  <c r="C48" i="68"/>
  <c r="C53" i="12"/>
  <c r="C58" i="68"/>
  <c r="M48" i="12"/>
  <c r="M53" i="68"/>
  <c r="F94" i="75"/>
  <c r="F100" i="75"/>
  <c r="H95" i="75"/>
  <c r="D150" i="10"/>
  <c r="D152" i="10"/>
  <c r="A18" i="69"/>
  <c r="F18" i="69" s="1"/>
  <c r="C20" i="69" s="1"/>
  <c r="C21" i="69" s="1"/>
  <c r="E128" i="10"/>
  <c r="J44" i="16"/>
  <c r="J55" i="16"/>
  <c r="J10" i="16"/>
  <c r="J28" i="16"/>
  <c r="J30" i="16"/>
  <c r="J34" i="16"/>
  <c r="J43" i="16"/>
  <c r="J15" i="16"/>
  <c r="J52" i="16"/>
  <c r="J24" i="16"/>
  <c r="J35" i="16"/>
  <c r="J53" i="16"/>
  <c r="J26" i="16"/>
  <c r="J33" i="16"/>
  <c r="J7" i="16"/>
  <c r="J17" i="16"/>
  <c r="J29" i="16"/>
  <c r="J9" i="16"/>
  <c r="J16" i="16"/>
  <c r="J49" i="16"/>
  <c r="J41" i="16"/>
  <c r="J48" i="16"/>
  <c r="J56" i="16"/>
  <c r="J54" i="16"/>
  <c r="J20" i="16"/>
  <c r="J23" i="16"/>
  <c r="J11" i="16"/>
  <c r="J27" i="16"/>
  <c r="J36" i="16"/>
  <c r="J8" i="16"/>
  <c r="J22" i="16"/>
  <c r="J18" i="16"/>
  <c r="J13" i="16"/>
  <c r="J12" i="16"/>
  <c r="J47" i="16"/>
  <c r="J19" i="16"/>
  <c r="J38" i="16"/>
  <c r="J21" i="16"/>
  <c r="H94" i="75"/>
  <c r="J95" i="75"/>
  <c r="J94" i="75"/>
  <c r="J100" i="75"/>
  <c r="K35" i="12"/>
  <c r="L95" i="75"/>
  <c r="K46" i="12"/>
  <c r="L94" i="75"/>
  <c r="L100" i="75"/>
  <c r="E19" i="60"/>
  <c r="J19" i="60"/>
  <c r="H75" i="5"/>
  <c r="I35" i="122" s="1"/>
  <c r="I34" i="8"/>
  <c r="E11" i="73" l="1"/>
  <c r="E12" i="73" s="1"/>
  <c r="I41" i="12"/>
  <c r="K41" i="12"/>
  <c r="K51" i="12"/>
  <c r="L16" i="17" s="1"/>
  <c r="K56" i="12"/>
  <c r="E27" i="73"/>
  <c r="E50" i="73" s="1"/>
  <c r="E56" i="73" s="1"/>
  <c r="J11" i="73"/>
  <c r="J12" i="73" s="1"/>
  <c r="E56" i="12"/>
  <c r="I35" i="12"/>
  <c r="M11" i="73"/>
  <c r="M12" i="73" s="1"/>
  <c r="C56" i="12"/>
  <c r="B11" i="73"/>
  <c r="B12" i="73" s="1"/>
  <c r="B15" i="73" s="1"/>
  <c r="C14" i="73" s="1"/>
  <c r="Q56" i="12"/>
  <c r="K11" i="73"/>
  <c r="K12" i="73" s="1"/>
  <c r="F11" i="73"/>
  <c r="F12" i="73" s="1"/>
  <c r="C46" i="12"/>
  <c r="C36" i="12"/>
  <c r="D15" i="17" s="1"/>
  <c r="L11" i="73"/>
  <c r="L12" i="73" s="1"/>
  <c r="C35" i="12"/>
  <c r="I36" i="12"/>
  <c r="J15" i="17" s="1"/>
  <c r="I11" i="73"/>
  <c r="I12" i="73" s="1"/>
  <c r="I51" i="12"/>
  <c r="J16" i="17" s="1"/>
  <c r="C11" i="73"/>
  <c r="C12" i="73" s="1"/>
  <c r="C41" i="12"/>
  <c r="Q36" i="12"/>
  <c r="R15" i="17" s="1"/>
  <c r="H11" i="73"/>
  <c r="H12" i="73" s="1"/>
  <c r="Q35" i="12"/>
  <c r="G11" i="73"/>
  <c r="G12" i="73" s="1"/>
  <c r="G35" i="12"/>
  <c r="G36" i="12"/>
  <c r="M41" i="12"/>
  <c r="C27" i="73"/>
  <c r="C29" i="73" s="1"/>
  <c r="C32" i="73" s="1"/>
  <c r="C38" i="73" s="1"/>
  <c r="E50" i="68"/>
  <c r="E40" i="68"/>
  <c r="E55" i="68"/>
  <c r="E45" i="68"/>
  <c r="E60" i="68"/>
  <c r="M35" i="12"/>
  <c r="G40" i="68"/>
  <c r="G50" i="68"/>
  <c r="G55" i="68"/>
  <c r="G45" i="68"/>
  <c r="G60" i="68"/>
  <c r="M55" i="68"/>
  <c r="M60" i="68"/>
  <c r="M45" i="68"/>
  <c r="M50" i="68"/>
  <c r="M40" i="68"/>
  <c r="M56" i="12"/>
  <c r="G41" i="12"/>
  <c r="E51" i="12"/>
  <c r="F16" i="17" s="1"/>
  <c r="C45" i="68"/>
  <c r="C40" i="68"/>
  <c r="C60" i="68"/>
  <c r="C50" i="68"/>
  <c r="C55" i="68"/>
  <c r="I60" i="68"/>
  <c r="I40" i="68"/>
  <c r="I50" i="68"/>
  <c r="I55" i="68"/>
  <c r="I45" i="68"/>
  <c r="Q50" i="68"/>
  <c r="Q60" i="68"/>
  <c r="Q40" i="68"/>
  <c r="Q55" i="68"/>
  <c r="Q45" i="68"/>
  <c r="G46" i="12"/>
  <c r="E36" i="12"/>
  <c r="F15" i="17" s="1"/>
  <c r="M51" i="12"/>
  <c r="N16" i="17" s="1"/>
  <c r="E41" i="12"/>
  <c r="C51" i="12"/>
  <c r="D16" i="17" s="1"/>
  <c r="Q51" i="12"/>
  <c r="R16" i="17" s="1"/>
  <c r="K60" i="68"/>
  <c r="K50" i="68"/>
  <c r="K45" i="68"/>
  <c r="K55" i="68"/>
  <c r="K40" i="68"/>
  <c r="O50" i="68"/>
  <c r="O45" i="68"/>
  <c r="O55" i="68"/>
  <c r="O60" i="68"/>
  <c r="O40" i="68"/>
  <c r="M36" i="12"/>
  <c r="N15" i="17" s="1"/>
  <c r="G56" i="12"/>
  <c r="E35" i="12"/>
  <c r="I46" i="12"/>
  <c r="Q41" i="12"/>
  <c r="O46" i="12"/>
  <c r="O36" i="12"/>
  <c r="P15" i="17" s="1"/>
  <c r="O51" i="12"/>
  <c r="P16" i="17" s="1"/>
  <c r="O56" i="12"/>
  <c r="O41" i="12"/>
  <c r="O35" i="12"/>
  <c r="D132" i="10"/>
  <c r="H131" i="10"/>
  <c r="H132" i="10" s="1"/>
  <c r="D153" i="10"/>
  <c r="C154" i="10"/>
  <c r="F19" i="60"/>
  <c r="G19" i="60" s="1"/>
  <c r="D76" i="5"/>
  <c r="E36" i="122" s="1"/>
  <c r="G76" i="5"/>
  <c r="E76" i="5"/>
  <c r="I35" i="8"/>
  <c r="F76" i="5"/>
  <c r="G36" i="8" l="1"/>
  <c r="G36" i="122"/>
  <c r="F36" i="8"/>
  <c r="F36" i="122"/>
  <c r="H36" i="8"/>
  <c r="H36" i="122"/>
  <c r="E29" i="73"/>
  <c r="E32" i="73" s="1"/>
  <c r="L39" i="73" s="1"/>
  <c r="L41" i="73" s="1"/>
  <c r="C15" i="73"/>
  <c r="D14" i="73" s="1"/>
  <c r="D15" i="73" s="1"/>
  <c r="E14" i="73" s="1"/>
  <c r="E15" i="73" s="1"/>
  <c r="F14" i="73" s="1"/>
  <c r="F15" i="73" s="1"/>
  <c r="G14" i="73" s="1"/>
  <c r="G15" i="73" s="1"/>
  <c r="H14" i="73" s="1"/>
  <c r="H15" i="73" s="1"/>
  <c r="I14" i="73" s="1"/>
  <c r="I15" i="73" s="1"/>
  <c r="J14" i="73" s="1"/>
  <c r="J15" i="73" s="1"/>
  <c r="K14" i="73" s="1"/>
  <c r="K15" i="73" s="1"/>
  <c r="L14" i="73" s="1"/>
  <c r="L15" i="73" s="1"/>
  <c r="M14" i="73" s="1"/>
  <c r="M15" i="73" s="1"/>
  <c r="I160" i="71"/>
  <c r="H15" i="17"/>
  <c r="C50" i="73"/>
  <c r="C56" i="73" s="1"/>
  <c r="I19" i="60"/>
  <c r="C133" i="10"/>
  <c r="E36" i="8"/>
  <c r="H76" i="5"/>
  <c r="E38" i="73" l="1"/>
  <c r="M39" i="73"/>
  <c r="M41" i="73" s="1"/>
  <c r="I36" i="8"/>
  <c r="I36" i="122"/>
  <c r="C20" i="60"/>
  <c r="H20" i="60" l="1"/>
  <c r="E20" i="60"/>
  <c r="F20" i="60" l="1"/>
  <c r="G20" i="60" s="1"/>
  <c r="J20" i="60"/>
  <c r="C57" i="68"/>
  <c r="I20" i="60" l="1"/>
  <c r="C42" i="68"/>
  <c r="C52" i="68"/>
  <c r="C47" i="68"/>
  <c r="C39" i="68"/>
  <c r="E39" i="68"/>
  <c r="C21" i="60" l="1"/>
  <c r="E57" i="68"/>
  <c r="E47" i="68"/>
  <c r="E42" i="68"/>
  <c r="E52" i="68"/>
  <c r="G39" i="68"/>
  <c r="H21" i="60" l="1"/>
  <c r="E21" i="60"/>
  <c r="G47" i="68"/>
  <c r="G57" i="68"/>
  <c r="G42" i="68"/>
  <c r="G52" i="68"/>
  <c r="I57" i="68"/>
  <c r="F21" i="60" l="1"/>
  <c r="G21" i="60" s="1"/>
  <c r="J21" i="60"/>
  <c r="I47" i="68"/>
  <c r="I52" i="68"/>
  <c r="I42" i="68"/>
  <c r="I39" i="68"/>
  <c r="K57" i="68"/>
  <c r="K42" i="68"/>
  <c r="I21" i="60" l="1"/>
  <c r="K47" i="68"/>
  <c r="K39" i="68"/>
  <c r="K52" i="68"/>
  <c r="M47" i="68"/>
  <c r="C22" i="60" l="1"/>
  <c r="M39" i="68"/>
  <c r="M42" i="68"/>
  <c r="M57" i="68"/>
  <c r="M52" i="68"/>
  <c r="O57" i="68"/>
  <c r="H22" i="60" l="1"/>
  <c r="E22" i="60"/>
  <c r="O39" i="68"/>
  <c r="O42" i="68"/>
  <c r="O47" i="68"/>
  <c r="O52" i="68"/>
  <c r="Q57" i="68"/>
  <c r="F22" i="60" l="1"/>
  <c r="G22" i="60" s="1"/>
  <c r="I22" i="60" s="1"/>
  <c r="J22" i="60"/>
  <c r="Q47" i="68"/>
  <c r="Q42" i="68"/>
  <c r="Q52" i="68"/>
  <c r="Q39" i="68"/>
  <c r="C23" i="60" l="1"/>
  <c r="H23" i="60" l="1"/>
  <c r="E23" i="60"/>
  <c r="F23" i="60" l="1"/>
  <c r="G23" i="60" s="1"/>
  <c r="I23" i="60"/>
  <c r="J23" i="60"/>
  <c r="C24" i="60" l="1"/>
  <c r="H24" i="60" l="1"/>
  <c r="E24" i="60"/>
  <c r="F24" i="60" l="1"/>
  <c r="G24" i="60" s="1"/>
  <c r="I24" i="60" s="1"/>
  <c r="C25" i="60" s="1"/>
  <c r="J24" i="60"/>
  <c r="H25" i="60" l="1"/>
  <c r="J25" i="60" s="1"/>
  <c r="E25" i="60"/>
  <c r="F25" i="60" l="1"/>
  <c r="G25" i="60" s="1"/>
  <c r="I25" i="60"/>
  <c r="C26" i="60" s="1"/>
  <c r="H26" i="60" l="1"/>
  <c r="J26" i="60" s="1"/>
  <c r="E26" i="60"/>
  <c r="F26" i="60" l="1"/>
  <c r="G26" i="60" s="1"/>
  <c r="I26" i="60" s="1"/>
  <c r="C27" i="60" s="1"/>
  <c r="H27" i="60" l="1"/>
  <c r="J27" i="60" s="1"/>
  <c r="E27" i="60"/>
  <c r="F27" i="60" l="1"/>
  <c r="G27" i="60" s="1"/>
  <c r="I27" i="60" s="1"/>
  <c r="C28" i="60" s="1"/>
  <c r="H28" i="60" l="1"/>
  <c r="J28" i="60" s="1"/>
  <c r="E28" i="60"/>
  <c r="F28" i="60" l="1"/>
  <c r="G28" i="60" s="1"/>
  <c r="I28" i="60"/>
  <c r="C29" i="60" s="1"/>
  <c r="H29" i="60" l="1"/>
  <c r="J29" i="60" s="1"/>
  <c r="E29" i="60"/>
  <c r="F29" i="60" l="1"/>
  <c r="G29" i="60" s="1"/>
  <c r="I29" i="60" s="1"/>
  <c r="C30" i="60" s="1"/>
  <c r="H30" i="60" l="1"/>
  <c r="E30" i="60"/>
  <c r="F30" i="60" l="1"/>
  <c r="G30" i="60" s="1"/>
  <c r="M19" i="60" s="1"/>
  <c r="G37" i="16" s="1"/>
  <c r="I30" i="60"/>
  <c r="C31" i="60" s="1"/>
  <c r="J30" i="60"/>
  <c r="M20" i="60"/>
  <c r="H31" i="60" l="1"/>
  <c r="J31" i="60" s="1"/>
  <c r="E31" i="60"/>
  <c r="G42" i="16"/>
  <c r="I42" i="16" s="1"/>
  <c r="I37" i="16"/>
  <c r="I39" i="16" l="1"/>
  <c r="J39" i="16" s="1"/>
  <c r="J37" i="16"/>
  <c r="I45" i="16"/>
  <c r="J45" i="16" s="1"/>
  <c r="J42" i="16"/>
  <c r="G59" i="16"/>
  <c r="L33" i="17"/>
  <c r="F31" i="60"/>
  <c r="G31" i="60" s="1"/>
  <c r="I31" i="60"/>
  <c r="C32" i="60" s="1"/>
  <c r="I50" i="16" l="1"/>
  <c r="I58" i="16" s="1"/>
  <c r="L38" i="17"/>
  <c r="L32" i="17"/>
  <c r="J50" i="16"/>
  <c r="L41" i="17"/>
  <c r="N56" i="16"/>
  <c r="H32" i="60"/>
  <c r="J32" i="60" s="1"/>
  <c r="E32" i="60"/>
  <c r="I57" i="16"/>
  <c r="J57" i="16" s="1"/>
  <c r="I59" i="16" l="1"/>
  <c r="J58" i="16"/>
  <c r="F32" i="60"/>
  <c r="G32" i="60" s="1"/>
  <c r="I32" i="60" s="1"/>
  <c r="C33" i="60" s="1"/>
  <c r="N57" i="16"/>
  <c r="L42" i="17"/>
  <c r="H33" i="60" l="1"/>
  <c r="J33" i="60" s="1"/>
  <c r="E33" i="60"/>
  <c r="F33" i="60" l="1"/>
  <c r="G33" i="60" s="1"/>
  <c r="I33" i="60"/>
  <c r="C34" i="60" s="1"/>
  <c r="H34" i="60" l="1"/>
  <c r="J34" i="60" s="1"/>
  <c r="E34" i="60"/>
  <c r="F34" i="60" l="1"/>
  <c r="G34" i="60" s="1"/>
  <c r="I34" i="60"/>
  <c r="C35" i="60" s="1"/>
  <c r="H35" i="60" l="1"/>
  <c r="J35" i="60" s="1"/>
  <c r="E35" i="60"/>
  <c r="F35" i="60" l="1"/>
  <c r="G35" i="60" s="1"/>
  <c r="I35" i="60" s="1"/>
  <c r="C36" i="60" s="1"/>
  <c r="H36" i="60" l="1"/>
  <c r="J36" i="60" s="1"/>
  <c r="E36" i="60"/>
  <c r="F36" i="60" l="1"/>
  <c r="G36" i="60" s="1"/>
  <c r="I36" i="60"/>
  <c r="C37" i="60" s="1"/>
  <c r="H37" i="60" l="1"/>
  <c r="J37" i="60" s="1"/>
  <c r="E37" i="60"/>
  <c r="F37" i="60" l="1"/>
  <c r="G37" i="60" s="1"/>
  <c r="I37" i="60" s="1"/>
  <c r="C38" i="60" s="1"/>
  <c r="H38" i="60" l="1"/>
  <c r="J38" i="60" s="1"/>
  <c r="E38" i="60"/>
  <c r="F38" i="60" l="1"/>
  <c r="G38" i="60" s="1"/>
  <c r="I38" i="60" s="1"/>
  <c r="C39" i="60" s="1"/>
  <c r="H39" i="60" l="1"/>
  <c r="J39" i="60" s="1"/>
  <c r="E39" i="60"/>
  <c r="F39" i="60" l="1"/>
  <c r="G39" i="60" s="1"/>
  <c r="I39" i="60"/>
  <c r="C40" i="60" s="1"/>
  <c r="H40" i="60" l="1"/>
  <c r="J40" i="60" s="1"/>
  <c r="E40" i="60"/>
  <c r="F40" i="60" l="1"/>
  <c r="G40" i="60" s="1"/>
  <c r="I40" i="60" s="1"/>
  <c r="C41" i="60" s="1"/>
  <c r="H41" i="60" l="1"/>
  <c r="J41" i="60" s="1"/>
  <c r="E41" i="60"/>
  <c r="F41" i="60" l="1"/>
  <c r="G41" i="60" s="1"/>
  <c r="I41" i="60" s="1"/>
  <c r="C42" i="60" s="1"/>
  <c r="H42" i="60" l="1"/>
  <c r="J42" i="60" s="1"/>
  <c r="E42" i="60"/>
  <c r="F42" i="60" l="1"/>
  <c r="G42" i="60" s="1"/>
  <c r="I42" i="60"/>
  <c r="C43" i="60" s="1"/>
  <c r="H43" i="60" l="1"/>
  <c r="J43" i="60" s="1"/>
  <c r="E43" i="60"/>
  <c r="F43" i="60" l="1"/>
  <c r="G43" i="60" s="1"/>
  <c r="I43" i="60" s="1"/>
  <c r="C44" i="60" s="1"/>
  <c r="H44" i="60" l="1"/>
  <c r="J44" i="60" s="1"/>
  <c r="E44" i="60"/>
  <c r="F44" i="60" l="1"/>
  <c r="G44" i="60" s="1"/>
  <c r="I44" i="60"/>
  <c r="C45" i="60" s="1"/>
  <c r="H45" i="60" l="1"/>
  <c r="J45" i="60" s="1"/>
  <c r="E45" i="60"/>
  <c r="F45" i="60" l="1"/>
  <c r="G45" i="60" s="1"/>
  <c r="I45" i="60" s="1"/>
  <c r="C46" i="60" s="1"/>
  <c r="H46" i="60" l="1"/>
  <c r="J46" i="60" s="1"/>
  <c r="E46" i="60"/>
  <c r="F46" i="60" l="1"/>
  <c r="G46" i="60" s="1"/>
  <c r="I46" i="60"/>
  <c r="C47" i="60" s="1"/>
  <c r="H47" i="60" l="1"/>
  <c r="J47" i="60" s="1"/>
  <c r="E47" i="60"/>
  <c r="F47" i="60" l="1"/>
  <c r="G47" i="60" s="1"/>
  <c r="I47" i="60"/>
  <c r="C48" i="60" s="1"/>
  <c r="H48" i="60" l="1"/>
  <c r="J48" i="60" s="1"/>
  <c r="E48" i="60"/>
  <c r="F48" i="60" l="1"/>
  <c r="G48" i="60" s="1"/>
  <c r="I48" i="60"/>
  <c r="C49" i="60" s="1"/>
  <c r="H49" i="60" l="1"/>
  <c r="J49" i="60" s="1"/>
  <c r="E49" i="60"/>
  <c r="F49" i="60" l="1"/>
  <c r="G49" i="60" s="1"/>
  <c r="I49" i="60" s="1"/>
  <c r="C50" i="60" s="1"/>
  <c r="H50" i="60" l="1"/>
  <c r="J50" i="60" s="1"/>
  <c r="E50" i="60"/>
  <c r="F50" i="60" l="1"/>
  <c r="G50" i="60" s="1"/>
  <c r="I50" i="60" s="1"/>
  <c r="C51" i="60" s="1"/>
  <c r="H51" i="60" l="1"/>
  <c r="J51" i="60" s="1"/>
  <c r="E51" i="60"/>
  <c r="F51" i="60" l="1"/>
  <c r="G51" i="60" s="1"/>
  <c r="I51" i="60" s="1"/>
  <c r="C52" i="60" s="1"/>
  <c r="H52" i="60" l="1"/>
  <c r="J52" i="60" s="1"/>
  <c r="E52" i="60"/>
  <c r="F52" i="60" l="1"/>
  <c r="G52" i="60" s="1"/>
  <c r="I52" i="60" s="1"/>
  <c r="C53" i="60" s="1"/>
  <c r="H53" i="60" l="1"/>
  <c r="J53" i="60" s="1"/>
  <c r="E53" i="60"/>
  <c r="F53" i="60" l="1"/>
  <c r="G53" i="60" s="1"/>
  <c r="I53" i="60"/>
  <c r="C54" i="60" s="1"/>
  <c r="H54" i="60" l="1"/>
  <c r="J54" i="60" s="1"/>
  <c r="E54" i="60"/>
  <c r="F54" i="60" l="1"/>
  <c r="G54" i="60" s="1"/>
  <c r="I54" i="60"/>
  <c r="C55" i="60" s="1"/>
  <c r="H55" i="60" l="1"/>
  <c r="J55" i="60" s="1"/>
  <c r="E55" i="60"/>
  <c r="F55" i="60" l="1"/>
  <c r="G55" i="60" s="1"/>
  <c r="I55" i="60" s="1"/>
  <c r="C56" i="60" s="1"/>
  <c r="H56" i="60" l="1"/>
  <c r="J56" i="60" s="1"/>
  <c r="E56" i="60"/>
  <c r="F56" i="60" l="1"/>
  <c r="G56" i="60" s="1"/>
  <c r="I56" i="60" s="1"/>
  <c r="C57" i="60" s="1"/>
  <c r="H57" i="60" l="1"/>
  <c r="J57" i="60" s="1"/>
  <c r="E57" i="60"/>
  <c r="F57" i="60" l="1"/>
  <c r="G57" i="60" s="1"/>
  <c r="I57" i="60" s="1"/>
  <c r="C58" i="60" s="1"/>
  <c r="H58" i="60" l="1"/>
  <c r="J58" i="60" s="1"/>
  <c r="E58" i="60"/>
  <c r="F58" i="60" l="1"/>
  <c r="G58" i="60" s="1"/>
  <c r="I58" i="60" s="1"/>
  <c r="C59" i="60" s="1"/>
  <c r="H59" i="60" l="1"/>
  <c r="J59" i="60" s="1"/>
  <c r="E59" i="60"/>
  <c r="F59" i="60" l="1"/>
  <c r="G59" i="60" s="1"/>
  <c r="I59" i="60"/>
  <c r="C60" i="60" s="1"/>
  <c r="H60" i="60" l="1"/>
  <c r="J60" i="60" s="1"/>
  <c r="E60" i="60"/>
  <c r="F60" i="60" l="1"/>
  <c r="G60" i="60" s="1"/>
  <c r="I60" i="60"/>
  <c r="C61" i="60" s="1"/>
  <c r="H61" i="60" l="1"/>
  <c r="J61" i="60" s="1"/>
  <c r="E61" i="60"/>
  <c r="F61" i="60" l="1"/>
  <c r="G61" i="60" s="1"/>
  <c r="I61" i="60" s="1"/>
  <c r="C62" i="60" s="1"/>
  <c r="H62" i="60" l="1"/>
  <c r="J62" i="60" s="1"/>
  <c r="E62" i="60"/>
  <c r="F62" i="60" l="1"/>
  <c r="G62" i="60" s="1"/>
  <c r="I62" i="60" s="1"/>
  <c r="C63" i="60" s="1"/>
  <c r="H63" i="60" l="1"/>
  <c r="J63" i="60" s="1"/>
  <c r="E63" i="60"/>
  <c r="F63" i="60" l="1"/>
  <c r="G63" i="60" s="1"/>
  <c r="I63" i="60"/>
  <c r="C64" i="60" s="1"/>
  <c r="H64" i="60" l="1"/>
  <c r="J64" i="60" s="1"/>
  <c r="E64" i="60"/>
  <c r="F64" i="60" l="1"/>
  <c r="G64" i="60" s="1"/>
  <c r="I64" i="60" s="1"/>
  <c r="C65" i="60" s="1"/>
  <c r="H65" i="60" l="1"/>
  <c r="J65" i="60" s="1"/>
  <c r="E65" i="60"/>
  <c r="F65" i="60" l="1"/>
  <c r="G65" i="60" s="1"/>
  <c r="I65" i="60" s="1"/>
  <c r="C66" i="60" s="1"/>
  <c r="H66" i="60" l="1"/>
  <c r="J66" i="60" s="1"/>
  <c r="E66" i="60"/>
  <c r="F66" i="60" l="1"/>
  <c r="G66" i="60" s="1"/>
  <c r="I66" i="60" s="1"/>
  <c r="C67" i="60" s="1"/>
  <c r="H67" i="60" l="1"/>
  <c r="J67" i="60" s="1"/>
  <c r="E67" i="60"/>
  <c r="F67" i="60" l="1"/>
  <c r="G67" i="60" s="1"/>
  <c r="I67" i="60"/>
  <c r="C68" i="60" s="1"/>
  <c r="H68" i="60" l="1"/>
  <c r="J68" i="60" s="1"/>
  <c r="E68" i="60"/>
  <c r="F68" i="60" l="1"/>
  <c r="G68" i="60" s="1"/>
  <c r="I68" i="60" s="1"/>
  <c r="C69" i="60" s="1"/>
  <c r="H69" i="60" l="1"/>
  <c r="J69" i="60" s="1"/>
  <c r="E69" i="60"/>
  <c r="F69" i="60" l="1"/>
  <c r="G69" i="60" s="1"/>
  <c r="I69" i="60"/>
  <c r="C70" i="60" s="1"/>
  <c r="H70" i="60" l="1"/>
  <c r="J70" i="60" s="1"/>
  <c r="E70" i="60"/>
  <c r="F70" i="60" l="1"/>
  <c r="G70" i="60" s="1"/>
  <c r="I70" i="60"/>
  <c r="C71" i="60" s="1"/>
  <c r="H71" i="60" l="1"/>
  <c r="J71" i="60" s="1"/>
  <c r="E71" i="60"/>
  <c r="F71" i="60" l="1"/>
  <c r="G71" i="60" s="1"/>
  <c r="I71" i="60"/>
  <c r="C72" i="60" s="1"/>
  <c r="H72" i="60" l="1"/>
  <c r="J72" i="60" s="1"/>
  <c r="E72" i="60"/>
  <c r="F72" i="60" l="1"/>
  <c r="G72" i="60" s="1"/>
  <c r="I72" i="60" s="1"/>
  <c r="C73" i="60" s="1"/>
  <c r="H73" i="60" l="1"/>
  <c r="J73" i="60" s="1"/>
  <c r="E73" i="60"/>
  <c r="F73" i="60" l="1"/>
  <c r="G73" i="60" s="1"/>
  <c r="I73" i="60"/>
  <c r="C74" i="60" s="1"/>
  <c r="H74" i="60" l="1"/>
  <c r="J74" i="60" s="1"/>
  <c r="E74" i="60"/>
  <c r="F74" i="60" l="1"/>
  <c r="G74" i="60" s="1"/>
  <c r="I74" i="60" s="1"/>
  <c r="C75" i="60" s="1"/>
  <c r="H75" i="60" l="1"/>
  <c r="J75" i="60" s="1"/>
  <c r="E75" i="60"/>
  <c r="F75" i="60" l="1"/>
  <c r="G75" i="60" s="1"/>
  <c r="I75" i="60" s="1"/>
  <c r="C76" i="60" s="1"/>
  <c r="H76" i="60" l="1"/>
  <c r="J76" i="60" s="1"/>
  <c r="E76" i="60"/>
  <c r="F76" i="60" l="1"/>
  <c r="G76" i="60" s="1"/>
  <c r="I76" i="60" s="1"/>
  <c r="C77" i="60" s="1"/>
  <c r="H77" i="60" l="1"/>
  <c r="J77" i="60" s="1"/>
  <c r="E77" i="60"/>
  <c r="F77" i="60" l="1"/>
  <c r="G77" i="60" s="1"/>
  <c r="I77" i="60" s="1"/>
  <c r="C78" i="60" s="1"/>
  <c r="H78" i="60" l="1"/>
  <c r="J78" i="60" s="1"/>
  <c r="E78" i="60"/>
  <c r="F78" i="60" l="1"/>
  <c r="G78" i="60" s="1"/>
  <c r="I78" i="60" s="1"/>
  <c r="C79" i="60" s="1"/>
  <c r="H79" i="60" l="1"/>
  <c r="J79" i="60" s="1"/>
  <c r="E79" i="60"/>
  <c r="F79" i="60" l="1"/>
  <c r="G79" i="60" s="1"/>
  <c r="I79" i="60"/>
  <c r="C80" i="60" s="1"/>
  <c r="H80" i="60" l="1"/>
  <c r="J80" i="60" s="1"/>
  <c r="E80" i="60"/>
  <c r="F80" i="60" l="1"/>
  <c r="G80" i="60" s="1"/>
  <c r="I80" i="60" s="1"/>
  <c r="C81" i="60" s="1"/>
  <c r="H81" i="60" l="1"/>
  <c r="J81" i="60" s="1"/>
  <c r="E81" i="60"/>
  <c r="F81" i="60" l="1"/>
  <c r="G81" i="60" s="1"/>
  <c r="I81" i="60" s="1"/>
  <c r="C82" i="60" s="1"/>
  <c r="H82" i="60" l="1"/>
  <c r="J82" i="60" s="1"/>
  <c r="E82" i="60"/>
  <c r="F82" i="60" l="1"/>
  <c r="G82" i="60" s="1"/>
  <c r="I82" i="60" s="1"/>
  <c r="C83" i="60" s="1"/>
  <c r="H83" i="60" l="1"/>
  <c r="J83" i="60" s="1"/>
  <c r="E83" i="60"/>
  <c r="F83" i="60" l="1"/>
  <c r="G83" i="60" s="1"/>
  <c r="I83" i="60" s="1"/>
  <c r="C84" i="60" s="1"/>
  <c r="H84" i="60" l="1"/>
  <c r="J84" i="60" s="1"/>
  <c r="E84" i="60"/>
  <c r="F84" i="60" l="1"/>
  <c r="G84" i="60" s="1"/>
  <c r="I84" i="60" s="1"/>
  <c r="C85" i="60" s="1"/>
  <c r="H85" i="60" l="1"/>
  <c r="J85" i="60" s="1"/>
  <c r="E85" i="60"/>
  <c r="F85" i="60" l="1"/>
  <c r="G85" i="60" s="1"/>
  <c r="I85" i="60" s="1"/>
  <c r="C86" i="60" s="1"/>
  <c r="H86" i="60" l="1"/>
  <c r="J86" i="60" s="1"/>
  <c r="E86" i="60"/>
  <c r="F86" i="60" l="1"/>
  <c r="G86" i="60" s="1"/>
  <c r="I86" i="60" s="1"/>
  <c r="C87" i="60" s="1"/>
  <c r="H87" i="60" l="1"/>
  <c r="J87" i="60" s="1"/>
  <c r="E87" i="60"/>
  <c r="F87" i="60" l="1"/>
  <c r="G87" i="60" s="1"/>
  <c r="I87" i="60"/>
  <c r="C88" i="60" s="1"/>
  <c r="H88" i="60" l="1"/>
  <c r="J88" i="60" s="1"/>
  <c r="E88" i="60"/>
  <c r="F88" i="60" l="1"/>
  <c r="G88" i="60" s="1"/>
  <c r="I88" i="60"/>
  <c r="C89" i="60" s="1"/>
  <c r="H89" i="60" l="1"/>
  <c r="J89" i="60" s="1"/>
  <c r="E89" i="60"/>
  <c r="F89" i="60" l="1"/>
  <c r="G89" i="60" s="1"/>
  <c r="I89" i="60"/>
  <c r="C90" i="60" s="1"/>
  <c r="H90" i="60" l="1"/>
  <c r="J90" i="60" s="1"/>
  <c r="E90" i="60"/>
  <c r="F90" i="60" l="1"/>
  <c r="G90" i="60" s="1"/>
  <c r="I90" i="60"/>
  <c r="C91" i="60" s="1"/>
  <c r="H91" i="60" l="1"/>
  <c r="J91" i="60" s="1"/>
  <c r="E91" i="60"/>
  <c r="F91" i="60" l="1"/>
  <c r="G91" i="60" s="1"/>
  <c r="I91" i="60"/>
  <c r="C92" i="60" s="1"/>
  <c r="H92" i="60" l="1"/>
  <c r="J92" i="60" s="1"/>
  <c r="E92" i="60"/>
  <c r="F92" i="60" l="1"/>
  <c r="G92" i="60" s="1"/>
  <c r="I92" i="60"/>
  <c r="C93" i="60" s="1"/>
  <c r="H93" i="60" l="1"/>
  <c r="J93" i="60" s="1"/>
  <c r="E93" i="60"/>
  <c r="F93" i="60" l="1"/>
  <c r="G93" i="60" s="1"/>
  <c r="I93" i="60"/>
  <c r="C94" i="60" s="1"/>
  <c r="H94" i="60" l="1"/>
  <c r="J94" i="60" s="1"/>
  <c r="E94" i="60"/>
  <c r="F94" i="60" l="1"/>
  <c r="G94" i="60" s="1"/>
  <c r="I94" i="60"/>
  <c r="C95" i="60" s="1"/>
  <c r="H95" i="60" l="1"/>
  <c r="J95" i="60" s="1"/>
  <c r="E95" i="60"/>
  <c r="F95" i="60" l="1"/>
  <c r="G95" i="60" s="1"/>
  <c r="I95" i="60" s="1"/>
  <c r="C96" i="60" s="1"/>
  <c r="H96" i="60" l="1"/>
  <c r="J96" i="60" s="1"/>
  <c r="E96" i="60"/>
  <c r="F96" i="60" l="1"/>
  <c r="G96" i="60" s="1"/>
  <c r="I96" i="60"/>
  <c r="C97" i="60" s="1"/>
  <c r="H97" i="60" l="1"/>
  <c r="J97" i="60" s="1"/>
  <c r="E97" i="60"/>
  <c r="F97" i="60" l="1"/>
  <c r="G97" i="60" s="1"/>
  <c r="I97" i="60" s="1"/>
  <c r="C98" i="60" s="1"/>
  <c r="H98" i="60" l="1"/>
  <c r="J98" i="60" s="1"/>
  <c r="E98" i="60"/>
  <c r="F98" i="60" l="1"/>
  <c r="G98" i="60" s="1"/>
  <c r="I98" i="60"/>
  <c r="C99" i="60" s="1"/>
  <c r="H99" i="60" l="1"/>
  <c r="J99" i="60" s="1"/>
  <c r="E99" i="60"/>
  <c r="F99" i="60" l="1"/>
  <c r="G99" i="60" s="1"/>
  <c r="I99" i="60" s="1"/>
  <c r="C100" i="60" s="1"/>
  <c r="H100" i="60" l="1"/>
  <c r="J100" i="60" s="1"/>
  <c r="E100" i="60"/>
  <c r="F100" i="60" l="1"/>
  <c r="G100" i="60" s="1"/>
  <c r="I100" i="60"/>
  <c r="C101" i="60" s="1"/>
  <c r="H101" i="60" l="1"/>
  <c r="J101" i="60" s="1"/>
  <c r="E101" i="60"/>
  <c r="F101" i="60" l="1"/>
  <c r="G101" i="60" s="1"/>
  <c r="I101" i="60" s="1"/>
  <c r="C102" i="60" s="1"/>
  <c r="H102" i="60" l="1"/>
  <c r="J102" i="60" s="1"/>
  <c r="E102" i="60"/>
  <c r="F102" i="60" l="1"/>
  <c r="G102" i="60" s="1"/>
  <c r="I102" i="60" s="1"/>
  <c r="C103" i="60" s="1"/>
  <c r="H103" i="60" l="1"/>
  <c r="J103" i="60" s="1"/>
  <c r="E103" i="60"/>
  <c r="F103" i="60" l="1"/>
  <c r="G103" i="60" s="1"/>
  <c r="I103" i="60" s="1"/>
  <c r="C104" i="60" s="1"/>
  <c r="H104" i="60" l="1"/>
  <c r="J104" i="60" s="1"/>
  <c r="E104" i="60"/>
  <c r="F104" i="60" l="1"/>
  <c r="G104" i="60" s="1"/>
  <c r="I104" i="60" s="1"/>
  <c r="C105" i="60" s="1"/>
  <c r="H105" i="60" l="1"/>
  <c r="J105" i="60" s="1"/>
  <c r="E105" i="60"/>
  <c r="F105" i="60" l="1"/>
  <c r="G105" i="60" s="1"/>
  <c r="I105" i="60"/>
  <c r="C106" i="60" s="1"/>
  <c r="H106" i="60" l="1"/>
  <c r="J106" i="60" s="1"/>
  <c r="E106" i="60"/>
  <c r="F106" i="60" l="1"/>
  <c r="G106" i="60" s="1"/>
  <c r="I106" i="60"/>
  <c r="C107" i="60" s="1"/>
  <c r="H107" i="60" l="1"/>
  <c r="J107" i="60" s="1"/>
  <c r="E107" i="60"/>
  <c r="F107" i="60" l="1"/>
  <c r="G107" i="60" s="1"/>
  <c r="I107" i="60" s="1"/>
  <c r="C108" i="60" s="1"/>
  <c r="H108" i="60" l="1"/>
  <c r="J108" i="60" s="1"/>
  <c r="E108" i="60"/>
  <c r="F108" i="60" l="1"/>
  <c r="G108" i="60" s="1"/>
  <c r="I108" i="60" s="1"/>
  <c r="C109" i="60" s="1"/>
  <c r="H109" i="60" l="1"/>
  <c r="J109" i="60" s="1"/>
  <c r="E109" i="60"/>
  <c r="F109" i="60" l="1"/>
  <c r="G109" i="60" s="1"/>
  <c r="I109" i="60" s="1"/>
  <c r="C110" i="60" s="1"/>
  <c r="H110" i="60" l="1"/>
  <c r="J110" i="60" s="1"/>
  <c r="E110" i="60"/>
  <c r="F110" i="60" l="1"/>
  <c r="G110" i="60" s="1"/>
  <c r="I110" i="60"/>
  <c r="C111" i="60" s="1"/>
  <c r="H111" i="60" l="1"/>
  <c r="J111" i="60" s="1"/>
  <c r="E111" i="60"/>
  <c r="F111" i="60" l="1"/>
  <c r="G111" i="60" s="1"/>
  <c r="I111" i="60" s="1"/>
  <c r="C112" i="60" s="1"/>
  <c r="H112" i="60" l="1"/>
  <c r="J112" i="60" s="1"/>
  <c r="E112" i="60"/>
  <c r="F112" i="60" l="1"/>
  <c r="G112" i="60" s="1"/>
  <c r="I112" i="60"/>
  <c r="C113" i="60" s="1"/>
  <c r="H113" i="60" l="1"/>
  <c r="J113" i="60" s="1"/>
  <c r="E113" i="60"/>
  <c r="F113" i="60" l="1"/>
  <c r="G113" i="60" s="1"/>
  <c r="I113" i="60"/>
  <c r="C114" i="60" s="1"/>
  <c r="H114" i="60" l="1"/>
  <c r="J114" i="60" s="1"/>
  <c r="E114" i="60"/>
  <c r="F114" i="60" l="1"/>
  <c r="G114" i="60" s="1"/>
  <c r="I114" i="60"/>
  <c r="C115" i="60" s="1"/>
  <c r="H115" i="60" l="1"/>
  <c r="J115" i="60" s="1"/>
  <c r="E115" i="60"/>
  <c r="F115" i="60" l="1"/>
  <c r="G115" i="60" s="1"/>
  <c r="I115" i="60" s="1"/>
  <c r="C116" i="60" s="1"/>
  <c r="H116" i="60" l="1"/>
  <c r="J116" i="60" s="1"/>
  <c r="E116" i="60"/>
  <c r="F116" i="60" l="1"/>
  <c r="G116" i="60" s="1"/>
  <c r="I116" i="60" s="1"/>
  <c r="C117" i="60" s="1"/>
  <c r="H117" i="60" l="1"/>
  <c r="J117" i="60" s="1"/>
  <c r="E117" i="60"/>
  <c r="F117" i="60" l="1"/>
  <c r="G117" i="60" s="1"/>
  <c r="I117" i="60"/>
  <c r="C118" i="60" s="1"/>
  <c r="H118" i="60" l="1"/>
  <c r="J118" i="60" s="1"/>
  <c r="E118" i="60"/>
  <c r="F118" i="60" l="1"/>
  <c r="G118" i="60" s="1"/>
  <c r="I118" i="60"/>
  <c r="C119" i="60" s="1"/>
  <c r="H119" i="60" l="1"/>
  <c r="J119" i="60" s="1"/>
  <c r="E119" i="60"/>
  <c r="F119" i="60" l="1"/>
  <c r="G119" i="60" s="1"/>
  <c r="I119" i="60" s="1"/>
  <c r="C120" i="60" s="1"/>
  <c r="H120" i="60" l="1"/>
  <c r="J120" i="60" s="1"/>
  <c r="E120" i="60"/>
  <c r="F120" i="60" l="1"/>
  <c r="G120" i="60" s="1"/>
  <c r="I120" i="60"/>
  <c r="C121" i="60" s="1"/>
  <c r="H121" i="60" l="1"/>
  <c r="J121" i="60" s="1"/>
  <c r="E121" i="60"/>
  <c r="F121" i="60" l="1"/>
  <c r="G121" i="60" s="1"/>
  <c r="I121" i="60" s="1"/>
  <c r="C122" i="60" s="1"/>
  <c r="H122" i="60" l="1"/>
  <c r="J122" i="60" s="1"/>
  <c r="E122" i="60"/>
  <c r="F122" i="60" l="1"/>
  <c r="G122" i="60" s="1"/>
  <c r="I122" i="60" s="1"/>
  <c r="C123" i="60" s="1"/>
  <c r="H123" i="60" l="1"/>
  <c r="J123" i="60" s="1"/>
  <c r="E123" i="60"/>
  <c r="F123" i="60" l="1"/>
  <c r="G123" i="60" s="1"/>
  <c r="I123" i="60"/>
  <c r="C124" i="60" s="1"/>
  <c r="H124" i="60" l="1"/>
  <c r="J124" i="60" s="1"/>
  <c r="E124" i="60"/>
  <c r="F124" i="60" l="1"/>
  <c r="G124" i="60" s="1"/>
  <c r="I124" i="60"/>
  <c r="C125" i="60" s="1"/>
  <c r="H125" i="60" l="1"/>
  <c r="J125" i="60" s="1"/>
  <c r="E125" i="60"/>
  <c r="F125" i="60" l="1"/>
  <c r="G125" i="60" s="1"/>
  <c r="I125" i="60"/>
  <c r="C126" i="60" s="1"/>
  <c r="H126" i="60" l="1"/>
  <c r="J126" i="60" s="1"/>
  <c r="E126" i="60"/>
  <c r="F126" i="60" l="1"/>
  <c r="G126" i="60" s="1"/>
  <c r="I126" i="60" s="1"/>
  <c r="C127" i="60" s="1"/>
  <c r="H127" i="60" l="1"/>
  <c r="J127" i="60" s="1"/>
  <c r="E127" i="60"/>
  <c r="F127" i="60" l="1"/>
  <c r="G127" i="60" s="1"/>
  <c r="I127" i="60"/>
  <c r="C128" i="60" s="1"/>
  <c r="H128" i="60" l="1"/>
  <c r="J128" i="60" s="1"/>
  <c r="E128" i="60"/>
  <c r="F128" i="60" l="1"/>
  <c r="G128" i="60" s="1"/>
  <c r="I128" i="60"/>
  <c r="C129" i="60" s="1"/>
  <c r="H129" i="60" l="1"/>
  <c r="J129" i="60" s="1"/>
  <c r="E129" i="60"/>
  <c r="F129" i="60" l="1"/>
  <c r="G129" i="60" s="1"/>
  <c r="I129" i="60"/>
  <c r="C130" i="60" s="1"/>
  <c r="H130" i="60" l="1"/>
  <c r="J130" i="60" s="1"/>
  <c r="E130" i="60"/>
  <c r="F130" i="60" l="1"/>
  <c r="G130" i="60" s="1"/>
  <c r="I130" i="60" s="1"/>
  <c r="C131" i="60" s="1"/>
  <c r="H131" i="60" l="1"/>
  <c r="J131" i="60" s="1"/>
  <c r="E131" i="60"/>
  <c r="F131" i="60" l="1"/>
  <c r="G131" i="60" s="1"/>
  <c r="I131" i="60" s="1"/>
  <c r="C132" i="60" s="1"/>
  <c r="H132" i="60" l="1"/>
  <c r="J132" i="60" s="1"/>
  <c r="E132" i="60"/>
  <c r="F132" i="60" l="1"/>
  <c r="G132" i="60" s="1"/>
  <c r="I132" i="60"/>
  <c r="C133" i="60" s="1"/>
  <c r="H133" i="60" l="1"/>
  <c r="J133" i="60" s="1"/>
  <c r="E133" i="60"/>
  <c r="F133" i="60" l="1"/>
  <c r="G133" i="60" s="1"/>
  <c r="I133" i="60"/>
  <c r="C134" i="60" s="1"/>
  <c r="H134" i="60" l="1"/>
  <c r="J134" i="60" s="1"/>
  <c r="E134" i="60"/>
  <c r="F134" i="60" l="1"/>
  <c r="G134" i="60" s="1"/>
  <c r="I134" i="60" s="1"/>
  <c r="C135" i="60" s="1"/>
  <c r="H135" i="60" l="1"/>
  <c r="J135" i="60" s="1"/>
  <c r="E135" i="60"/>
  <c r="F135" i="60" l="1"/>
  <c r="G135" i="60" s="1"/>
  <c r="I135" i="60" s="1"/>
  <c r="C136" i="60" s="1"/>
  <c r="H136" i="60" l="1"/>
  <c r="J136" i="60" s="1"/>
  <c r="E136" i="60"/>
  <c r="F136" i="60" l="1"/>
  <c r="G136" i="60" s="1"/>
  <c r="I136" i="60"/>
  <c r="C137" i="60" s="1"/>
  <c r="H137" i="60" l="1"/>
  <c r="J137" i="60" s="1"/>
  <c r="E137" i="60"/>
  <c r="F137" i="60" l="1"/>
  <c r="G137" i="60" s="1"/>
  <c r="I137" i="60"/>
  <c r="C138" i="60" s="1"/>
  <c r="H138" i="60" l="1"/>
  <c r="J138" i="60" s="1"/>
  <c r="E138" i="60"/>
  <c r="F138" i="60" l="1"/>
  <c r="G138" i="60" s="1"/>
  <c r="I138" i="60"/>
  <c r="C139" i="60" s="1"/>
  <c r="H139" i="60" l="1"/>
  <c r="J139" i="60" s="1"/>
  <c r="E139" i="60"/>
  <c r="F139" i="60" l="1"/>
  <c r="G139" i="60" s="1"/>
  <c r="I139" i="60" s="1"/>
  <c r="C140" i="60" s="1"/>
  <c r="H140" i="60" l="1"/>
  <c r="J140" i="60" s="1"/>
  <c r="E140" i="60"/>
  <c r="F140" i="60" l="1"/>
  <c r="G140" i="60" s="1"/>
  <c r="I140" i="60" s="1"/>
  <c r="C141" i="60" s="1"/>
  <c r="H141" i="60" l="1"/>
  <c r="J141" i="60" s="1"/>
  <c r="E141" i="60"/>
  <c r="F141" i="60" l="1"/>
  <c r="G141" i="60" s="1"/>
  <c r="I141" i="60" s="1"/>
  <c r="C142" i="60" s="1"/>
  <c r="H142" i="60" l="1"/>
  <c r="J142" i="60" s="1"/>
  <c r="E142" i="60"/>
  <c r="F142" i="60" l="1"/>
  <c r="G142" i="60" s="1"/>
  <c r="I142" i="60" s="1"/>
  <c r="C143" i="60" s="1"/>
  <c r="H143" i="60" l="1"/>
  <c r="J143" i="60" s="1"/>
  <c r="E143" i="60"/>
  <c r="F143" i="60" l="1"/>
  <c r="G143" i="60" s="1"/>
  <c r="I143" i="60" s="1"/>
  <c r="C144" i="60" s="1"/>
  <c r="H144" i="60" l="1"/>
  <c r="J144" i="60" s="1"/>
  <c r="E144" i="60"/>
  <c r="F144" i="60" l="1"/>
  <c r="G144" i="60" s="1"/>
  <c r="I144" i="60" s="1"/>
  <c r="C145" i="60" s="1"/>
  <c r="H145" i="60" l="1"/>
  <c r="J145" i="60" s="1"/>
  <c r="E145" i="60"/>
  <c r="F145" i="60" l="1"/>
  <c r="G145" i="60" s="1"/>
  <c r="I145" i="60" s="1"/>
  <c r="C146" i="60" s="1"/>
  <c r="H146" i="60" l="1"/>
  <c r="J146" i="60" s="1"/>
  <c r="E146" i="60"/>
  <c r="F146" i="60" l="1"/>
  <c r="G146" i="60" s="1"/>
  <c r="I146" i="60"/>
  <c r="C147" i="60" s="1"/>
  <c r="H147" i="60" l="1"/>
  <c r="J147" i="60" s="1"/>
  <c r="E147" i="60"/>
  <c r="F147" i="60" l="1"/>
  <c r="G147" i="60" s="1"/>
  <c r="I147" i="60"/>
  <c r="C148" i="60" s="1"/>
  <c r="H148" i="60" l="1"/>
  <c r="J148" i="60" s="1"/>
  <c r="E148" i="60"/>
  <c r="F148" i="60" l="1"/>
  <c r="G148" i="60" s="1"/>
  <c r="I148" i="60" s="1"/>
  <c r="C149" i="60" s="1"/>
  <c r="H149" i="60" l="1"/>
  <c r="J149" i="60" s="1"/>
  <c r="E149" i="60"/>
  <c r="F149" i="60" l="1"/>
  <c r="G149" i="60" s="1"/>
  <c r="I149" i="60" s="1"/>
  <c r="C150" i="60" s="1"/>
  <c r="H150" i="60" l="1"/>
  <c r="J150" i="60" s="1"/>
  <c r="E150" i="60"/>
  <c r="F150" i="60" l="1"/>
  <c r="G150" i="60" s="1"/>
  <c r="I150" i="60"/>
  <c r="C151" i="60" s="1"/>
  <c r="H151" i="60" l="1"/>
  <c r="J151" i="60" s="1"/>
  <c r="E151" i="60"/>
  <c r="F151" i="60" l="1"/>
  <c r="G151" i="60" s="1"/>
  <c r="I151" i="60"/>
  <c r="C152" i="60" s="1"/>
  <c r="H152" i="60" l="1"/>
  <c r="J152" i="60" s="1"/>
  <c r="E152" i="60"/>
  <c r="F152" i="60" l="1"/>
  <c r="G152" i="60" s="1"/>
  <c r="I152" i="60" s="1"/>
  <c r="C153" i="60" s="1"/>
  <c r="H153" i="60" l="1"/>
  <c r="J153" i="60" s="1"/>
  <c r="E153" i="60"/>
  <c r="F153" i="60" l="1"/>
  <c r="G153" i="60" s="1"/>
  <c r="I153" i="60" s="1"/>
  <c r="C154" i="60" s="1"/>
  <c r="H154" i="60" l="1"/>
  <c r="J154" i="60" s="1"/>
  <c r="E154" i="60"/>
  <c r="F154" i="60" l="1"/>
  <c r="G154" i="60" s="1"/>
  <c r="I154" i="60" s="1"/>
  <c r="C155" i="60" s="1"/>
  <c r="H155" i="60" l="1"/>
  <c r="J155" i="60" s="1"/>
  <c r="E155" i="60"/>
  <c r="F155" i="60" l="1"/>
  <c r="G155" i="60" s="1"/>
  <c r="I155" i="60"/>
  <c r="C156" i="60" s="1"/>
  <c r="H156" i="60" l="1"/>
  <c r="J156" i="60" s="1"/>
  <c r="E156" i="60"/>
  <c r="F156" i="60" l="1"/>
  <c r="G156" i="60" s="1"/>
  <c r="I156" i="60"/>
  <c r="C157" i="60" s="1"/>
  <c r="H157" i="60" l="1"/>
  <c r="J157" i="60" s="1"/>
  <c r="E157" i="60"/>
  <c r="F157" i="60" l="1"/>
  <c r="G157" i="60" s="1"/>
  <c r="I157" i="60"/>
  <c r="C158" i="60" s="1"/>
  <c r="H158" i="60" l="1"/>
  <c r="J158" i="60" s="1"/>
  <c r="E158" i="60"/>
  <c r="F158" i="60" l="1"/>
  <c r="G158" i="60" s="1"/>
  <c r="I158" i="60" s="1"/>
  <c r="C159" i="60" s="1"/>
  <c r="H159" i="60" l="1"/>
  <c r="J159" i="60" s="1"/>
  <c r="E159" i="60"/>
  <c r="F159" i="60" l="1"/>
  <c r="G159" i="60" s="1"/>
  <c r="I159" i="60" s="1"/>
  <c r="C160" i="60" s="1"/>
  <c r="H160" i="60" l="1"/>
  <c r="J160" i="60" s="1"/>
  <c r="E160" i="60"/>
  <c r="F160" i="60" l="1"/>
  <c r="G160" i="60" s="1"/>
  <c r="I160" i="60" s="1"/>
  <c r="C161" i="60" s="1"/>
  <c r="H161" i="60" l="1"/>
  <c r="J161" i="60" s="1"/>
  <c r="E161" i="60"/>
  <c r="F161" i="60" l="1"/>
  <c r="G161" i="60" s="1"/>
  <c r="I161" i="60" s="1"/>
  <c r="C162" i="60" s="1"/>
  <c r="H162" i="60" l="1"/>
  <c r="J162" i="60" s="1"/>
  <c r="E162" i="60"/>
  <c r="F162" i="60" l="1"/>
  <c r="G162" i="60" s="1"/>
  <c r="I162" i="60" s="1"/>
  <c r="C163" i="60" s="1"/>
  <c r="H163" i="60" l="1"/>
  <c r="J163" i="60" s="1"/>
  <c r="E163" i="60"/>
  <c r="F163" i="60" l="1"/>
  <c r="G163" i="60" s="1"/>
  <c r="I163" i="60" s="1"/>
  <c r="C164" i="60" s="1"/>
  <c r="H164" i="60" l="1"/>
  <c r="J164" i="60" s="1"/>
  <c r="E164" i="60"/>
  <c r="F164" i="60" l="1"/>
  <c r="G164" i="60" s="1"/>
  <c r="I164" i="60" s="1"/>
  <c r="C165" i="60" s="1"/>
  <c r="H165" i="60" l="1"/>
  <c r="J165" i="60" s="1"/>
  <c r="E165" i="60"/>
  <c r="F165" i="60" l="1"/>
  <c r="G165" i="60" s="1"/>
  <c r="I165" i="60"/>
  <c r="C166" i="60" s="1"/>
  <c r="H166" i="60" l="1"/>
  <c r="J166" i="60" s="1"/>
  <c r="E166" i="60"/>
  <c r="F166" i="60" l="1"/>
  <c r="G166" i="60" s="1"/>
  <c r="I166" i="60" s="1"/>
  <c r="C167" i="60" s="1"/>
  <c r="H167" i="60" l="1"/>
  <c r="J167" i="60" s="1"/>
  <c r="E167" i="60"/>
  <c r="F167" i="60" l="1"/>
  <c r="G167" i="60" s="1"/>
  <c r="I167" i="60" s="1"/>
  <c r="C168" i="60" s="1"/>
  <c r="H168" i="60" l="1"/>
  <c r="J168" i="60" s="1"/>
  <c r="E168" i="60"/>
  <c r="F168" i="60" l="1"/>
  <c r="G168" i="60" s="1"/>
  <c r="I168" i="60" s="1"/>
  <c r="C169" i="60" s="1"/>
  <c r="H169" i="60" l="1"/>
  <c r="J169" i="60" s="1"/>
  <c r="E169" i="60"/>
  <c r="F169" i="60" l="1"/>
  <c r="G169" i="60" s="1"/>
  <c r="I169" i="60" s="1"/>
  <c r="C170" i="60" s="1"/>
  <c r="H170" i="60" l="1"/>
  <c r="J170" i="60" s="1"/>
  <c r="E170" i="60"/>
  <c r="F170" i="60" l="1"/>
  <c r="G170" i="60" s="1"/>
  <c r="I170" i="60" s="1"/>
  <c r="C171" i="60" s="1"/>
  <c r="H171" i="60" l="1"/>
  <c r="J171" i="60" s="1"/>
  <c r="E171" i="60"/>
  <c r="F171" i="60" l="1"/>
  <c r="G171" i="60" s="1"/>
  <c r="I171" i="60" s="1"/>
  <c r="C172" i="60" s="1"/>
  <c r="H172" i="60" l="1"/>
  <c r="J172" i="60" s="1"/>
  <c r="E172" i="60"/>
  <c r="F172" i="60" l="1"/>
  <c r="G172" i="60" s="1"/>
  <c r="I172" i="60" s="1"/>
  <c r="C173" i="60" s="1"/>
  <c r="H173" i="60" l="1"/>
  <c r="J173" i="60" s="1"/>
  <c r="E173" i="60"/>
  <c r="F173" i="60" l="1"/>
  <c r="G173" i="60" s="1"/>
  <c r="I173" i="60" s="1"/>
  <c r="C174" i="60" s="1"/>
  <c r="H174" i="60" l="1"/>
  <c r="J174" i="60" s="1"/>
  <c r="E174" i="60"/>
  <c r="F174" i="60" l="1"/>
  <c r="G174" i="60" s="1"/>
  <c r="I174" i="60" s="1"/>
  <c r="C175" i="60" s="1"/>
  <c r="H175" i="60" l="1"/>
  <c r="J175" i="60" s="1"/>
  <c r="E175" i="60"/>
  <c r="F175" i="60" l="1"/>
  <c r="G175" i="60" s="1"/>
  <c r="I175" i="60"/>
  <c r="C176" i="60" s="1"/>
  <c r="H176" i="60" l="1"/>
  <c r="J176" i="60" s="1"/>
  <c r="E176" i="60"/>
  <c r="F176" i="60" l="1"/>
  <c r="G176" i="60" s="1"/>
  <c r="I176" i="60" s="1"/>
  <c r="C177" i="60" s="1"/>
  <c r="H177" i="60" l="1"/>
  <c r="J177" i="60" s="1"/>
  <c r="E177" i="60"/>
  <c r="F177" i="60" l="1"/>
  <c r="G177" i="60" s="1"/>
  <c r="I177" i="60" s="1"/>
  <c r="C178" i="60" s="1"/>
  <c r="H178" i="60" l="1"/>
  <c r="J178" i="60" s="1"/>
  <c r="E178" i="60"/>
  <c r="F178" i="60" l="1"/>
  <c r="G178" i="60" s="1"/>
  <c r="I178" i="60" s="1"/>
  <c r="C179" i="60" s="1"/>
  <c r="H179" i="60" l="1"/>
  <c r="J179" i="60" s="1"/>
  <c r="E179" i="60"/>
  <c r="F179" i="60" l="1"/>
  <c r="G179" i="60" s="1"/>
  <c r="I179" i="60" s="1"/>
  <c r="C180" i="60" s="1"/>
  <c r="H180" i="60" l="1"/>
  <c r="J180" i="60" s="1"/>
  <c r="E180" i="60"/>
  <c r="F180" i="60" l="1"/>
  <c r="G180" i="60" s="1"/>
  <c r="I180" i="60"/>
  <c r="C181" i="60" s="1"/>
  <c r="H181" i="60" l="1"/>
  <c r="J181" i="60" s="1"/>
  <c r="E181" i="60"/>
  <c r="F181" i="60" l="1"/>
  <c r="G181" i="60" s="1"/>
  <c r="I181" i="60"/>
  <c r="C182" i="60" s="1"/>
  <c r="H182" i="60" l="1"/>
  <c r="J182" i="60" s="1"/>
  <c r="E182" i="60"/>
  <c r="F182" i="60" l="1"/>
  <c r="G182" i="60" s="1"/>
  <c r="I182" i="60" s="1"/>
  <c r="C183" i="60" s="1"/>
  <c r="H183" i="60" l="1"/>
  <c r="J183" i="60" s="1"/>
  <c r="E183" i="60"/>
  <c r="F183" i="60" l="1"/>
  <c r="G183" i="60" s="1"/>
  <c r="I183" i="60" s="1"/>
  <c r="C184" i="60" s="1"/>
  <c r="H184" i="60" l="1"/>
  <c r="J184" i="60" s="1"/>
  <c r="E184" i="60"/>
  <c r="F184" i="60" l="1"/>
  <c r="G184" i="60" s="1"/>
  <c r="I184" i="60"/>
  <c r="C185" i="60" s="1"/>
  <c r="H185" i="60" l="1"/>
  <c r="J185" i="60" s="1"/>
  <c r="E185" i="60"/>
  <c r="F185" i="60" l="1"/>
  <c r="G185" i="60" s="1"/>
  <c r="I185" i="60" s="1"/>
  <c r="C186" i="60" s="1"/>
  <c r="H186" i="60" l="1"/>
  <c r="J186" i="60" s="1"/>
  <c r="E186" i="60"/>
  <c r="F186" i="60" l="1"/>
  <c r="G186" i="60" s="1"/>
  <c r="I186" i="60"/>
  <c r="C187" i="60" s="1"/>
  <c r="H187" i="60" l="1"/>
  <c r="J187" i="60" s="1"/>
  <c r="E187" i="60"/>
  <c r="F187" i="60" l="1"/>
  <c r="G187" i="60" s="1"/>
  <c r="I187" i="60"/>
  <c r="C188" i="60" s="1"/>
  <c r="H188" i="60" l="1"/>
  <c r="J188" i="60" s="1"/>
  <c r="E188" i="60"/>
  <c r="F188" i="60" l="1"/>
  <c r="G188" i="60" s="1"/>
  <c r="I188" i="60" s="1"/>
  <c r="C189" i="60" s="1"/>
  <c r="H189" i="60" l="1"/>
  <c r="J189" i="60" s="1"/>
  <c r="E189" i="60"/>
  <c r="F189" i="60" l="1"/>
  <c r="G189" i="60" s="1"/>
  <c r="I189" i="60" s="1"/>
  <c r="C190" i="60" s="1"/>
  <c r="H190" i="60" l="1"/>
  <c r="J190" i="60" s="1"/>
  <c r="E190" i="60"/>
  <c r="F190" i="60" l="1"/>
  <c r="G190" i="60" s="1"/>
  <c r="I190" i="60" s="1"/>
  <c r="C191" i="60" s="1"/>
  <c r="H191" i="60" l="1"/>
  <c r="J191" i="60" s="1"/>
  <c r="E191" i="60"/>
  <c r="F191" i="60" l="1"/>
  <c r="G191" i="60" s="1"/>
  <c r="I191" i="60" s="1"/>
  <c r="C192" i="60" s="1"/>
  <c r="H192" i="60" l="1"/>
  <c r="J192" i="60" s="1"/>
  <c r="E192" i="60"/>
  <c r="F192" i="60" l="1"/>
  <c r="G192" i="60" s="1"/>
  <c r="I192" i="60" s="1"/>
  <c r="C193" i="60" s="1"/>
  <c r="H193" i="60" l="1"/>
  <c r="J193" i="60" s="1"/>
  <c r="E193" i="60"/>
  <c r="F193" i="60" l="1"/>
  <c r="G193" i="60" s="1"/>
  <c r="I193" i="60" s="1"/>
  <c r="C194" i="60" s="1"/>
  <c r="H194" i="60" l="1"/>
  <c r="J194" i="60" s="1"/>
  <c r="E194" i="60"/>
  <c r="F194" i="60" l="1"/>
  <c r="G194" i="60" s="1"/>
  <c r="I194" i="60" s="1"/>
  <c r="C195" i="60" s="1"/>
  <c r="H195" i="60" l="1"/>
  <c r="J195" i="60" s="1"/>
  <c r="E195" i="60"/>
  <c r="F195" i="60" l="1"/>
  <c r="G195" i="60" s="1"/>
  <c r="I195" i="60" s="1"/>
  <c r="C196" i="60" s="1"/>
  <c r="H196" i="60" l="1"/>
  <c r="J196" i="60" s="1"/>
  <c r="E196" i="60"/>
  <c r="F196" i="60" l="1"/>
  <c r="G196" i="60" s="1"/>
  <c r="I196" i="60" s="1"/>
  <c r="C197" i="60" s="1"/>
  <c r="H197" i="60" l="1"/>
  <c r="J197" i="60" s="1"/>
  <c r="E197" i="60"/>
  <c r="F197" i="60" l="1"/>
  <c r="G197" i="60" s="1"/>
  <c r="I197" i="60"/>
  <c r="C198" i="60" s="1"/>
  <c r="H198" i="60" l="1"/>
  <c r="J198" i="60" s="1"/>
  <c r="E198" i="60"/>
  <c r="F198" i="60" l="1"/>
  <c r="G198" i="60" s="1"/>
  <c r="I198" i="60" s="1"/>
  <c r="C199" i="60" s="1"/>
  <c r="H199" i="60" l="1"/>
  <c r="J199" i="60" s="1"/>
  <c r="E199" i="60"/>
  <c r="F199" i="60" l="1"/>
  <c r="G199" i="60" s="1"/>
  <c r="I199" i="60" s="1"/>
  <c r="C200" i="60" s="1"/>
  <c r="H200" i="60" l="1"/>
  <c r="J200" i="60" s="1"/>
  <c r="E200" i="60"/>
  <c r="F200" i="60" l="1"/>
  <c r="G200" i="60" s="1"/>
  <c r="I200" i="60"/>
  <c r="C201" i="60" s="1"/>
  <c r="H201" i="60" l="1"/>
  <c r="J201" i="60" s="1"/>
  <c r="E201" i="60"/>
  <c r="F201" i="60" l="1"/>
  <c r="G201" i="60" s="1"/>
  <c r="I201" i="60"/>
  <c r="C202" i="60" s="1"/>
  <c r="H202" i="60" l="1"/>
  <c r="J202" i="60" s="1"/>
  <c r="E202" i="60"/>
  <c r="F202" i="60" l="1"/>
  <c r="G202" i="60" s="1"/>
  <c r="I202" i="60" s="1"/>
  <c r="C203" i="60" s="1"/>
  <c r="H203" i="60" l="1"/>
  <c r="J203" i="60" s="1"/>
  <c r="E203" i="60"/>
  <c r="F203" i="60" l="1"/>
  <c r="G203" i="60" s="1"/>
  <c r="I203" i="60" s="1"/>
  <c r="C204" i="60" s="1"/>
  <c r="H204" i="60" l="1"/>
  <c r="J204" i="60" s="1"/>
  <c r="E204" i="60"/>
  <c r="F204" i="60" l="1"/>
  <c r="G204" i="60" s="1"/>
  <c r="I204" i="60"/>
  <c r="C205" i="60" s="1"/>
  <c r="H205" i="60" l="1"/>
  <c r="J205" i="60" s="1"/>
  <c r="E205" i="60"/>
  <c r="F205" i="60" l="1"/>
  <c r="G205" i="60" s="1"/>
  <c r="I205" i="60" s="1"/>
  <c r="C206" i="60" s="1"/>
  <c r="H206" i="60" l="1"/>
  <c r="J206" i="60" s="1"/>
  <c r="E206" i="60"/>
  <c r="F206" i="60" l="1"/>
  <c r="G206" i="60" s="1"/>
  <c r="I206" i="60"/>
  <c r="C207" i="60" s="1"/>
  <c r="H207" i="60" l="1"/>
  <c r="J207" i="60" s="1"/>
  <c r="E207" i="60"/>
  <c r="F207" i="60" l="1"/>
  <c r="G207" i="60" s="1"/>
  <c r="I207" i="60" s="1"/>
  <c r="C208" i="60" s="1"/>
  <c r="H208" i="60" l="1"/>
  <c r="J208" i="60" s="1"/>
  <c r="E208" i="60"/>
  <c r="F208" i="60" l="1"/>
  <c r="G208" i="60" s="1"/>
  <c r="I208" i="60" s="1"/>
  <c r="C209" i="60" s="1"/>
  <c r="H209" i="60" l="1"/>
  <c r="J209" i="60" s="1"/>
  <c r="E209" i="60"/>
  <c r="F209" i="60" l="1"/>
  <c r="G209" i="60" s="1"/>
  <c r="I209" i="60" s="1"/>
  <c r="C210" i="60" s="1"/>
  <c r="H210" i="60" l="1"/>
  <c r="J210" i="60" s="1"/>
  <c r="E210" i="60"/>
  <c r="F210" i="60" l="1"/>
  <c r="G210" i="60" s="1"/>
  <c r="I210" i="60"/>
  <c r="C211" i="60" s="1"/>
  <c r="H211" i="60" l="1"/>
  <c r="J211" i="60" s="1"/>
  <c r="E211" i="60"/>
  <c r="F211" i="60" l="1"/>
  <c r="G211" i="60" s="1"/>
  <c r="I211" i="60"/>
  <c r="C212" i="60" s="1"/>
  <c r="H212" i="60" l="1"/>
  <c r="J212" i="60" s="1"/>
  <c r="E212" i="60"/>
  <c r="F212" i="60" l="1"/>
  <c r="G212" i="60" s="1"/>
  <c r="I212" i="60" s="1"/>
  <c r="C213" i="60" s="1"/>
  <c r="H213" i="60" l="1"/>
  <c r="J213" i="60" s="1"/>
  <c r="E213" i="60"/>
  <c r="F213" i="60" l="1"/>
  <c r="G213" i="60" s="1"/>
  <c r="I213" i="60" s="1"/>
  <c r="C214" i="60" s="1"/>
  <c r="H214" i="60" l="1"/>
  <c r="J214" i="60" s="1"/>
  <c r="E214" i="60"/>
  <c r="F214" i="60" l="1"/>
  <c r="G214" i="60" s="1"/>
  <c r="I214" i="60" s="1"/>
  <c r="C215" i="60" s="1"/>
  <c r="H215" i="60" l="1"/>
  <c r="J215" i="60" s="1"/>
  <c r="E215" i="60"/>
  <c r="F215" i="60" l="1"/>
  <c r="G215" i="60" s="1"/>
  <c r="I215" i="60"/>
  <c r="C216" i="60" s="1"/>
  <c r="H216" i="60" l="1"/>
  <c r="J216" i="60" s="1"/>
  <c r="E216" i="60"/>
  <c r="F216" i="60" l="1"/>
  <c r="G216" i="60" s="1"/>
  <c r="I216" i="60"/>
  <c r="C217" i="60" s="1"/>
  <c r="H217" i="60" l="1"/>
  <c r="J217" i="60" s="1"/>
  <c r="E217" i="60"/>
  <c r="F217" i="60" l="1"/>
  <c r="G217" i="60" s="1"/>
  <c r="I217" i="60"/>
  <c r="C218" i="60" s="1"/>
  <c r="H218" i="60" l="1"/>
  <c r="J218" i="60" s="1"/>
  <c r="E218" i="60"/>
  <c r="F218" i="60" l="1"/>
  <c r="G218" i="60" s="1"/>
  <c r="I218" i="60"/>
  <c r="C219" i="60" s="1"/>
  <c r="H219" i="60" l="1"/>
  <c r="J219" i="60" s="1"/>
  <c r="E219" i="60"/>
  <c r="F219" i="60" l="1"/>
  <c r="G219" i="60" s="1"/>
  <c r="I219" i="60" s="1"/>
  <c r="C220" i="60" s="1"/>
  <c r="H220" i="60" l="1"/>
  <c r="J220" i="60" s="1"/>
  <c r="E220" i="60"/>
  <c r="F220" i="60" l="1"/>
  <c r="G220" i="60" s="1"/>
  <c r="I220" i="60" s="1"/>
  <c r="C221" i="60" s="1"/>
  <c r="H221" i="60" l="1"/>
  <c r="J221" i="60" s="1"/>
  <c r="E221" i="60"/>
  <c r="F221" i="60" l="1"/>
  <c r="G221" i="60" s="1"/>
  <c r="I221" i="60"/>
  <c r="C222" i="60" s="1"/>
  <c r="H222" i="60" l="1"/>
  <c r="J222" i="60" s="1"/>
  <c r="E222" i="60"/>
  <c r="F222" i="60" l="1"/>
  <c r="G222" i="60" s="1"/>
  <c r="I222" i="60"/>
  <c r="C223" i="60" s="1"/>
  <c r="H223" i="60" l="1"/>
  <c r="J223" i="60" s="1"/>
  <c r="E223" i="60"/>
  <c r="F223" i="60" l="1"/>
  <c r="G223" i="60" s="1"/>
  <c r="I223" i="60"/>
  <c r="C224" i="60" s="1"/>
  <c r="H224" i="60" l="1"/>
  <c r="J224" i="60" s="1"/>
  <c r="E224" i="60"/>
  <c r="F224" i="60" l="1"/>
  <c r="G224" i="60" s="1"/>
  <c r="I224" i="60" s="1"/>
  <c r="C225" i="60" s="1"/>
  <c r="H225" i="60" l="1"/>
  <c r="J225" i="60" s="1"/>
  <c r="E225" i="60"/>
  <c r="F225" i="60" l="1"/>
  <c r="G225" i="60" s="1"/>
  <c r="I225" i="60"/>
  <c r="C226" i="60" s="1"/>
  <c r="H226" i="60" l="1"/>
  <c r="J226" i="60" s="1"/>
  <c r="E226" i="60"/>
  <c r="F226" i="60" l="1"/>
  <c r="G226" i="60" s="1"/>
  <c r="I226" i="60"/>
  <c r="C227" i="60" s="1"/>
  <c r="H227" i="60" l="1"/>
  <c r="J227" i="60" s="1"/>
  <c r="E227" i="60"/>
  <c r="F227" i="60" l="1"/>
  <c r="G227" i="60" s="1"/>
  <c r="I227" i="60" s="1"/>
  <c r="C228" i="60" s="1"/>
  <c r="H228" i="60" l="1"/>
  <c r="J228" i="60" s="1"/>
  <c r="E228" i="60"/>
  <c r="F228" i="60" l="1"/>
  <c r="G228" i="60" s="1"/>
  <c r="I228" i="60" s="1"/>
  <c r="C229" i="60" s="1"/>
  <c r="H229" i="60" l="1"/>
  <c r="J229" i="60" s="1"/>
  <c r="E229" i="60"/>
  <c r="F229" i="60" l="1"/>
  <c r="G229" i="60" s="1"/>
  <c r="I229" i="60" s="1"/>
  <c r="C230" i="60" s="1"/>
  <c r="H230" i="60" l="1"/>
  <c r="J230" i="60" s="1"/>
  <c r="E230" i="60"/>
  <c r="F230" i="60" l="1"/>
  <c r="G230" i="60" s="1"/>
  <c r="I230" i="60"/>
  <c r="C231" i="60" s="1"/>
  <c r="H231" i="60" l="1"/>
  <c r="J231" i="60" s="1"/>
  <c r="E231" i="60"/>
  <c r="F231" i="60" l="1"/>
  <c r="G231" i="60" s="1"/>
  <c r="I231" i="60"/>
  <c r="C232" i="60" s="1"/>
  <c r="H232" i="60" l="1"/>
  <c r="J232" i="60" s="1"/>
  <c r="E232" i="60"/>
  <c r="F232" i="60" l="1"/>
  <c r="G232" i="60" s="1"/>
  <c r="I232" i="60" s="1"/>
  <c r="C233" i="60" s="1"/>
  <c r="H233" i="60" l="1"/>
  <c r="J233" i="60" s="1"/>
  <c r="E233" i="60"/>
  <c r="F233" i="60" l="1"/>
  <c r="G233" i="60" s="1"/>
  <c r="I233" i="60"/>
  <c r="C234" i="60" s="1"/>
  <c r="H234" i="60" l="1"/>
  <c r="J234" i="60" s="1"/>
  <c r="E234" i="60"/>
  <c r="F234" i="60" l="1"/>
  <c r="G234" i="60" s="1"/>
  <c r="I234" i="60" s="1"/>
  <c r="C235" i="60" s="1"/>
  <c r="H235" i="60" l="1"/>
  <c r="J235" i="60" s="1"/>
  <c r="E235" i="60"/>
  <c r="F235" i="60" l="1"/>
  <c r="G235" i="60" s="1"/>
  <c r="I235" i="60" s="1"/>
  <c r="C236" i="60" s="1"/>
  <c r="H236" i="60" l="1"/>
  <c r="J236" i="60" s="1"/>
  <c r="E236" i="60"/>
  <c r="F236" i="60" l="1"/>
  <c r="G236" i="60" s="1"/>
  <c r="I236" i="60" s="1"/>
  <c r="C237" i="60" s="1"/>
  <c r="H237" i="60" l="1"/>
  <c r="J237" i="60" s="1"/>
  <c r="E237" i="60"/>
  <c r="F237" i="60" l="1"/>
  <c r="G237" i="60" s="1"/>
  <c r="I237" i="60"/>
  <c r="C238" i="60" s="1"/>
  <c r="H238" i="60" l="1"/>
  <c r="J238" i="60" s="1"/>
  <c r="E238" i="60"/>
  <c r="F238" i="60" l="1"/>
  <c r="G238" i="60" s="1"/>
  <c r="I238" i="60" s="1"/>
  <c r="C239" i="60" s="1"/>
  <c r="H239" i="60" l="1"/>
  <c r="J239" i="60" s="1"/>
  <c r="E239" i="60"/>
  <c r="F239" i="60" l="1"/>
  <c r="G239" i="60" s="1"/>
  <c r="I239" i="60"/>
  <c r="C240" i="60" s="1"/>
  <c r="H240" i="60" l="1"/>
  <c r="J240" i="60" s="1"/>
  <c r="E240" i="60"/>
  <c r="F240" i="60" l="1"/>
  <c r="G240" i="60" s="1"/>
  <c r="I240" i="60" s="1"/>
  <c r="C241" i="60" s="1"/>
  <c r="H241" i="60" l="1"/>
  <c r="J241" i="60" s="1"/>
  <c r="E241" i="60"/>
  <c r="F241" i="60" l="1"/>
  <c r="G241" i="60" s="1"/>
  <c r="I241" i="60"/>
  <c r="C242" i="60" s="1"/>
  <c r="H242" i="60" l="1"/>
  <c r="J242" i="60" s="1"/>
  <c r="E242" i="60"/>
  <c r="F242" i="60" l="1"/>
  <c r="G242" i="60" s="1"/>
  <c r="I242" i="60"/>
  <c r="C243" i="60" s="1"/>
  <c r="H243" i="60" l="1"/>
  <c r="J243" i="60" s="1"/>
  <c r="E243" i="60"/>
  <c r="F243" i="60" l="1"/>
  <c r="G243" i="60" s="1"/>
  <c r="I243" i="60"/>
  <c r="C244" i="60" s="1"/>
  <c r="H244" i="60" l="1"/>
  <c r="J244" i="60" s="1"/>
  <c r="E244" i="60"/>
  <c r="F244" i="60" l="1"/>
  <c r="G244" i="60" s="1"/>
  <c r="I244" i="60"/>
  <c r="C245" i="60" s="1"/>
  <c r="H245" i="60" l="1"/>
  <c r="J245" i="60" s="1"/>
  <c r="E245" i="60"/>
  <c r="F245" i="60" l="1"/>
  <c r="G245" i="60" s="1"/>
  <c r="I245" i="60"/>
  <c r="C246" i="60" s="1"/>
  <c r="H246" i="60" l="1"/>
  <c r="J246" i="60" s="1"/>
  <c r="E246" i="60"/>
  <c r="F246" i="60" l="1"/>
  <c r="G246" i="60" s="1"/>
  <c r="I246" i="60"/>
  <c r="C247" i="60" s="1"/>
  <c r="H247" i="60" l="1"/>
  <c r="J247" i="60" s="1"/>
  <c r="E247" i="60"/>
  <c r="F247" i="60" l="1"/>
  <c r="G247" i="60" s="1"/>
  <c r="I247" i="60" s="1"/>
  <c r="C248" i="60" s="1"/>
  <c r="H248" i="60" l="1"/>
  <c r="J248" i="60" s="1"/>
  <c r="E248" i="60"/>
  <c r="F248" i="60" l="1"/>
  <c r="G248" i="60" s="1"/>
  <c r="I248" i="60" s="1"/>
  <c r="C249" i="60" s="1"/>
  <c r="H249" i="60" l="1"/>
  <c r="J249" i="60" s="1"/>
  <c r="E249" i="60"/>
  <c r="F249" i="60" l="1"/>
  <c r="G249" i="60" s="1"/>
  <c r="I249" i="60" s="1"/>
  <c r="C250" i="60" s="1"/>
  <c r="H250" i="60" l="1"/>
  <c r="J250" i="60" s="1"/>
  <c r="E250" i="60"/>
  <c r="F250" i="60" l="1"/>
  <c r="G250" i="60" s="1"/>
  <c r="I250" i="60" s="1"/>
  <c r="C251" i="60" s="1"/>
  <c r="H251" i="60" l="1"/>
  <c r="J251" i="60" s="1"/>
  <c r="E251" i="60"/>
  <c r="F251" i="60" l="1"/>
  <c r="G251" i="60" s="1"/>
  <c r="I251" i="60"/>
  <c r="C252" i="60" s="1"/>
  <c r="H252" i="60" l="1"/>
  <c r="J252" i="60" s="1"/>
  <c r="E252" i="60"/>
  <c r="F252" i="60" l="1"/>
  <c r="G252" i="60" s="1"/>
  <c r="I252" i="60" s="1"/>
  <c r="C253" i="60" s="1"/>
  <c r="H253" i="60" l="1"/>
  <c r="J253" i="60" s="1"/>
  <c r="E253" i="60"/>
  <c r="F253" i="60" l="1"/>
  <c r="G253" i="60" s="1"/>
  <c r="I253" i="60" s="1"/>
  <c r="C254" i="60" s="1"/>
  <c r="H254" i="60" l="1"/>
  <c r="J254" i="60" s="1"/>
  <c r="E254" i="60"/>
  <c r="F254" i="60" l="1"/>
  <c r="G254" i="60" s="1"/>
  <c r="I254" i="60"/>
  <c r="C255" i="60" s="1"/>
  <c r="H255" i="60" l="1"/>
  <c r="J255" i="60" s="1"/>
  <c r="E255" i="60"/>
  <c r="F255" i="60" l="1"/>
  <c r="G255" i="60" s="1"/>
  <c r="I255" i="60"/>
  <c r="C256" i="60" s="1"/>
  <c r="H256" i="60" l="1"/>
  <c r="J256" i="60" s="1"/>
  <c r="E256" i="60"/>
  <c r="F256" i="60" l="1"/>
  <c r="G256" i="60" s="1"/>
  <c r="I256" i="60" s="1"/>
  <c r="C257" i="60" s="1"/>
  <c r="H257" i="60" l="1"/>
  <c r="J257" i="60" s="1"/>
  <c r="E257" i="60"/>
  <c r="F257" i="60" l="1"/>
  <c r="G257" i="60" s="1"/>
  <c r="I257" i="60" s="1"/>
  <c r="C258" i="60" s="1"/>
  <c r="H258" i="60" l="1"/>
  <c r="J258" i="60" s="1"/>
  <c r="E258" i="60"/>
  <c r="F258" i="60" l="1"/>
  <c r="G258" i="60" s="1"/>
  <c r="I258" i="60" s="1"/>
  <c r="C259" i="60" s="1"/>
  <c r="H259" i="60" l="1"/>
  <c r="J259" i="60" s="1"/>
  <c r="E259" i="60"/>
  <c r="F259" i="60" l="1"/>
  <c r="G259" i="60" s="1"/>
  <c r="I259" i="60"/>
  <c r="C260" i="60" s="1"/>
  <c r="H260" i="60" l="1"/>
  <c r="J260" i="60" s="1"/>
  <c r="E260" i="60"/>
  <c r="F260" i="60" l="1"/>
  <c r="G260" i="60" s="1"/>
  <c r="I260" i="60"/>
  <c r="C261" i="60" s="1"/>
  <c r="H261" i="60" l="1"/>
  <c r="J261" i="60" s="1"/>
  <c r="E261" i="60"/>
  <c r="F261" i="60" l="1"/>
  <c r="G261" i="60" s="1"/>
  <c r="I261" i="60"/>
  <c r="C262" i="60" s="1"/>
  <c r="H262" i="60" l="1"/>
  <c r="J262" i="60" s="1"/>
  <c r="E262" i="60"/>
  <c r="F262" i="60" l="1"/>
  <c r="G262" i="60" s="1"/>
  <c r="I262" i="60" s="1"/>
  <c r="C263" i="60" s="1"/>
  <c r="H263" i="60" l="1"/>
  <c r="J263" i="60" s="1"/>
  <c r="E263" i="60"/>
  <c r="F263" i="60" l="1"/>
  <c r="G263" i="60" s="1"/>
  <c r="I263" i="60" s="1"/>
  <c r="C264" i="60" s="1"/>
  <c r="H264" i="60" l="1"/>
  <c r="J264" i="60" s="1"/>
  <c r="E264" i="60"/>
  <c r="F264" i="60" l="1"/>
  <c r="G264" i="60" s="1"/>
  <c r="I264" i="60"/>
  <c r="C265" i="60" s="1"/>
  <c r="H265" i="60" l="1"/>
  <c r="J265" i="60" s="1"/>
  <c r="E265" i="60"/>
  <c r="F265" i="60" l="1"/>
  <c r="G265" i="60" s="1"/>
  <c r="I265" i="60"/>
  <c r="C266" i="60" s="1"/>
  <c r="H266" i="60" l="1"/>
  <c r="J266" i="60" s="1"/>
  <c r="E266" i="60"/>
  <c r="F266" i="60" l="1"/>
  <c r="G266" i="60" s="1"/>
  <c r="I266" i="60" s="1"/>
  <c r="C267" i="60" s="1"/>
  <c r="H267" i="60" l="1"/>
  <c r="J267" i="60" s="1"/>
  <c r="E267" i="60"/>
  <c r="F267" i="60" l="1"/>
  <c r="G267" i="60" s="1"/>
  <c r="I267" i="60" s="1"/>
  <c r="C268" i="60" s="1"/>
  <c r="H268" i="60" l="1"/>
  <c r="J268" i="60" s="1"/>
  <c r="E268" i="60"/>
  <c r="F268" i="60" l="1"/>
  <c r="G268" i="60" s="1"/>
  <c r="I268" i="60"/>
  <c r="C269" i="60" s="1"/>
  <c r="H269" i="60" l="1"/>
  <c r="J269" i="60" s="1"/>
  <c r="E269" i="60"/>
  <c r="F269" i="60" l="1"/>
  <c r="G269" i="60" s="1"/>
  <c r="I269" i="60"/>
  <c r="C270" i="60" s="1"/>
  <c r="H270" i="60" l="1"/>
  <c r="J270" i="60" s="1"/>
  <c r="E270" i="60"/>
  <c r="F270" i="60" l="1"/>
  <c r="G270" i="60" s="1"/>
  <c r="I270" i="60"/>
  <c r="C271" i="60" s="1"/>
  <c r="H271" i="60" l="1"/>
  <c r="J271" i="60" s="1"/>
  <c r="E271" i="60"/>
  <c r="F271" i="60" l="1"/>
  <c r="G271" i="60" s="1"/>
  <c r="I271" i="60"/>
  <c r="C272" i="60" s="1"/>
  <c r="H272" i="60" l="1"/>
  <c r="J272" i="60" s="1"/>
  <c r="E272" i="60"/>
  <c r="F272" i="60" l="1"/>
  <c r="G272" i="60" s="1"/>
  <c r="I272" i="60"/>
  <c r="C273" i="60" s="1"/>
  <c r="H273" i="60" l="1"/>
  <c r="J273" i="60" s="1"/>
  <c r="E273" i="60"/>
  <c r="F273" i="60" l="1"/>
  <c r="G273" i="60" s="1"/>
  <c r="I273" i="60"/>
  <c r="C274" i="60" s="1"/>
  <c r="H274" i="60" l="1"/>
  <c r="J274" i="60" s="1"/>
  <c r="E274" i="60"/>
  <c r="F274" i="60" l="1"/>
  <c r="G274" i="60" s="1"/>
  <c r="I274" i="60" s="1"/>
  <c r="C275" i="60" s="1"/>
  <c r="H275" i="60" l="1"/>
  <c r="J275" i="60" s="1"/>
  <c r="E275" i="60"/>
  <c r="F275" i="60" l="1"/>
  <c r="G275" i="60" s="1"/>
  <c r="I275" i="60" s="1"/>
  <c r="C276" i="60" s="1"/>
  <c r="H276" i="60" l="1"/>
  <c r="J276" i="60" s="1"/>
  <c r="E276" i="60"/>
  <c r="F276" i="60" l="1"/>
  <c r="G276" i="60" s="1"/>
  <c r="I276" i="60"/>
  <c r="C277" i="60" s="1"/>
  <c r="H277" i="60" l="1"/>
  <c r="J277" i="60" s="1"/>
  <c r="E277" i="60"/>
  <c r="F277" i="60" l="1"/>
  <c r="G277" i="60" s="1"/>
  <c r="I277" i="60"/>
  <c r="C278" i="60" s="1"/>
  <c r="H278" i="60" l="1"/>
  <c r="J278" i="60" s="1"/>
  <c r="E278" i="60"/>
  <c r="F278" i="60" l="1"/>
  <c r="G278" i="60" s="1"/>
  <c r="I278" i="60"/>
  <c r="C279" i="60" s="1"/>
  <c r="H279" i="60" l="1"/>
  <c r="J279" i="60" s="1"/>
  <c r="E279" i="60"/>
  <c r="F279" i="60" l="1"/>
  <c r="G279" i="60" s="1"/>
  <c r="I279" i="60"/>
  <c r="C280" i="60" s="1"/>
  <c r="H280" i="60" l="1"/>
  <c r="J280" i="60" s="1"/>
  <c r="E280" i="60"/>
  <c r="F280" i="60" l="1"/>
  <c r="G280" i="60" s="1"/>
  <c r="I280" i="60" s="1"/>
  <c r="C281" i="60" s="1"/>
  <c r="H281" i="60" l="1"/>
  <c r="J281" i="60" s="1"/>
  <c r="E281" i="60"/>
  <c r="F281" i="60" l="1"/>
  <c r="G281" i="60" s="1"/>
  <c r="I281" i="60" s="1"/>
  <c r="C282" i="60" s="1"/>
  <c r="H282" i="60" l="1"/>
  <c r="J282" i="60" s="1"/>
  <c r="E282" i="60"/>
  <c r="F282" i="60" l="1"/>
  <c r="G282" i="60" s="1"/>
  <c r="I282" i="60"/>
  <c r="C283" i="60" s="1"/>
  <c r="H283" i="60" l="1"/>
  <c r="J283" i="60" s="1"/>
  <c r="E283" i="60"/>
  <c r="F283" i="60" l="1"/>
  <c r="G283" i="60" s="1"/>
  <c r="I283" i="60" s="1"/>
  <c r="C284" i="60" s="1"/>
  <c r="H284" i="60" l="1"/>
  <c r="J284" i="60" s="1"/>
  <c r="E284" i="60"/>
  <c r="F284" i="60" l="1"/>
  <c r="G284" i="60" s="1"/>
  <c r="I284" i="60" s="1"/>
  <c r="C285" i="60" s="1"/>
  <c r="H285" i="60" l="1"/>
  <c r="J285" i="60" s="1"/>
  <c r="E285" i="60"/>
  <c r="F285" i="60" l="1"/>
  <c r="G285" i="60" s="1"/>
  <c r="I285" i="60"/>
  <c r="C286" i="60" s="1"/>
  <c r="H286" i="60" l="1"/>
  <c r="J286" i="60" s="1"/>
  <c r="E286" i="60"/>
  <c r="F286" i="60" l="1"/>
  <c r="G286" i="60" s="1"/>
  <c r="I286" i="60" s="1"/>
  <c r="C287" i="60" s="1"/>
  <c r="H287" i="60" l="1"/>
  <c r="J287" i="60" s="1"/>
  <c r="E287" i="60"/>
  <c r="F287" i="60" l="1"/>
  <c r="G287" i="60" s="1"/>
  <c r="I287" i="60"/>
  <c r="C288" i="60" s="1"/>
  <c r="H288" i="60" l="1"/>
  <c r="J288" i="60" s="1"/>
  <c r="E288" i="60"/>
  <c r="F288" i="60" l="1"/>
  <c r="G288" i="60" s="1"/>
  <c r="I288" i="60"/>
  <c r="C289" i="60" s="1"/>
  <c r="H289" i="60" l="1"/>
  <c r="J289" i="60" s="1"/>
  <c r="E289" i="60"/>
  <c r="F289" i="60" l="1"/>
  <c r="G289" i="60" s="1"/>
  <c r="I289" i="60" s="1"/>
  <c r="C290" i="60" s="1"/>
  <c r="H290" i="60" l="1"/>
  <c r="J290" i="60" s="1"/>
  <c r="E290" i="60"/>
  <c r="F290" i="60" l="1"/>
  <c r="G290" i="60" s="1"/>
  <c r="I290" i="60" s="1"/>
  <c r="C291" i="60" s="1"/>
  <c r="H291" i="60" l="1"/>
  <c r="J291" i="60" s="1"/>
  <c r="E291" i="60"/>
  <c r="F291" i="60" l="1"/>
  <c r="G291" i="60" s="1"/>
  <c r="I291" i="60"/>
  <c r="C292" i="60" s="1"/>
  <c r="H292" i="60" l="1"/>
  <c r="J292" i="60" s="1"/>
  <c r="E292" i="60"/>
  <c r="F292" i="60" l="1"/>
  <c r="G292" i="60" s="1"/>
  <c r="I292" i="60"/>
  <c r="C293" i="60" s="1"/>
  <c r="H293" i="60" l="1"/>
  <c r="J293" i="60" s="1"/>
  <c r="E293" i="60"/>
  <c r="F293" i="60" l="1"/>
  <c r="G293" i="60" s="1"/>
  <c r="I293" i="60"/>
  <c r="C294" i="60" s="1"/>
  <c r="H294" i="60" l="1"/>
  <c r="J294" i="60" s="1"/>
  <c r="E294" i="60"/>
  <c r="F294" i="60" l="1"/>
  <c r="G294" i="60" s="1"/>
  <c r="I294" i="60"/>
  <c r="C295" i="60" s="1"/>
  <c r="H295" i="60" l="1"/>
  <c r="J295" i="60" s="1"/>
  <c r="E295" i="60"/>
  <c r="F295" i="60" l="1"/>
  <c r="G295" i="60" s="1"/>
  <c r="I295" i="60" s="1"/>
  <c r="C296" i="60" s="1"/>
  <c r="H296" i="60" l="1"/>
  <c r="J296" i="60" s="1"/>
  <c r="E296" i="60"/>
  <c r="F296" i="60" l="1"/>
  <c r="G296" i="60" s="1"/>
  <c r="I296" i="60"/>
  <c r="C297" i="60" s="1"/>
  <c r="H297" i="60" l="1"/>
  <c r="J297" i="60" s="1"/>
  <c r="E297" i="60"/>
  <c r="F297" i="60" l="1"/>
  <c r="G297" i="60" s="1"/>
  <c r="I297" i="60" s="1"/>
  <c r="C298" i="60" s="1"/>
  <c r="H298" i="60" l="1"/>
  <c r="J298" i="60" s="1"/>
  <c r="E298" i="60"/>
  <c r="F298" i="60" l="1"/>
  <c r="G298" i="60" s="1"/>
  <c r="I298" i="60"/>
  <c r="C299" i="60" s="1"/>
  <c r="H299" i="60" l="1"/>
  <c r="J299" i="60" s="1"/>
  <c r="E299" i="60"/>
  <c r="F299" i="60" l="1"/>
  <c r="G299" i="60" s="1"/>
  <c r="I299" i="60" s="1"/>
  <c r="C300" i="60" s="1"/>
  <c r="H300" i="60" l="1"/>
  <c r="J300" i="60" s="1"/>
  <c r="E300" i="60"/>
  <c r="F300" i="60" l="1"/>
  <c r="G300" i="60" s="1"/>
  <c r="I300" i="60" s="1"/>
  <c r="C301" i="60" s="1"/>
  <c r="H301" i="60" l="1"/>
  <c r="J301" i="60" s="1"/>
  <c r="E301" i="60"/>
  <c r="F301" i="60" l="1"/>
  <c r="G301" i="60" s="1"/>
  <c r="I301" i="60" s="1"/>
  <c r="C302" i="60" s="1"/>
  <c r="H302" i="60" l="1"/>
  <c r="J302" i="60" s="1"/>
  <c r="E302" i="60"/>
  <c r="F302" i="60" l="1"/>
  <c r="G302" i="60" s="1"/>
  <c r="I302" i="60" s="1"/>
  <c r="C303" i="60" s="1"/>
  <c r="H303" i="60" l="1"/>
  <c r="J303" i="60" s="1"/>
  <c r="E303" i="60"/>
  <c r="F303" i="60" l="1"/>
  <c r="G303" i="60" s="1"/>
  <c r="I303" i="60" s="1"/>
  <c r="C304" i="60" s="1"/>
  <c r="H304" i="60" l="1"/>
  <c r="J304" i="60" s="1"/>
  <c r="E304" i="60"/>
  <c r="F304" i="60" l="1"/>
  <c r="G304" i="60" s="1"/>
  <c r="I304" i="60" s="1"/>
  <c r="C305" i="60" s="1"/>
  <c r="H305" i="60" l="1"/>
  <c r="J305" i="60" s="1"/>
  <c r="E305" i="60"/>
  <c r="F305" i="60" l="1"/>
  <c r="G305" i="60" s="1"/>
  <c r="I305" i="60"/>
  <c r="C306" i="60" s="1"/>
  <c r="H306" i="60" l="1"/>
  <c r="J306" i="60" s="1"/>
  <c r="E306" i="60"/>
  <c r="F306" i="60" l="1"/>
  <c r="G306" i="60" s="1"/>
  <c r="I306" i="60" s="1"/>
  <c r="C307" i="60" s="1"/>
  <c r="H307" i="60" l="1"/>
  <c r="J307" i="60" s="1"/>
  <c r="E307" i="60"/>
  <c r="F307" i="60" l="1"/>
  <c r="G307" i="60" s="1"/>
  <c r="I307" i="60" s="1"/>
  <c r="C308" i="60" s="1"/>
  <c r="H308" i="60" l="1"/>
  <c r="J308" i="60" s="1"/>
  <c r="E308" i="60"/>
  <c r="F308" i="60" l="1"/>
  <c r="G308" i="60" s="1"/>
  <c r="I308" i="60" s="1"/>
  <c r="C309" i="60" s="1"/>
  <c r="H309" i="60" l="1"/>
  <c r="J309" i="60" s="1"/>
  <c r="E309" i="60"/>
  <c r="F309" i="60" l="1"/>
  <c r="G309" i="60" s="1"/>
  <c r="I309" i="60"/>
  <c r="C310" i="60" s="1"/>
  <c r="H310" i="60" l="1"/>
  <c r="J310" i="60" s="1"/>
  <c r="E310" i="60"/>
  <c r="F310" i="60" l="1"/>
  <c r="G310" i="60" s="1"/>
  <c r="I310" i="60"/>
  <c r="C311" i="60" s="1"/>
  <c r="H311" i="60" l="1"/>
  <c r="J311" i="60" s="1"/>
  <c r="E311" i="60"/>
  <c r="F311" i="60" l="1"/>
  <c r="G311" i="60" s="1"/>
  <c r="I311" i="60"/>
  <c r="C312" i="60" s="1"/>
  <c r="H312" i="60" l="1"/>
  <c r="J312" i="60" s="1"/>
  <c r="E312" i="60"/>
  <c r="F312" i="60" l="1"/>
  <c r="G312" i="60" s="1"/>
  <c r="I312" i="60" s="1"/>
  <c r="C313" i="60" s="1"/>
  <c r="H313" i="60" l="1"/>
  <c r="J313" i="60" s="1"/>
  <c r="E313" i="60"/>
  <c r="F313" i="60" l="1"/>
  <c r="G313" i="60" s="1"/>
  <c r="I313" i="60" s="1"/>
  <c r="C314" i="60" s="1"/>
  <c r="H314" i="60" l="1"/>
  <c r="J314" i="60" s="1"/>
  <c r="E314" i="60"/>
  <c r="F314" i="60" l="1"/>
  <c r="G314" i="60" s="1"/>
  <c r="I314" i="60" s="1"/>
  <c r="C315" i="60" s="1"/>
  <c r="H315" i="60" l="1"/>
  <c r="J315" i="60" s="1"/>
  <c r="E315" i="60"/>
  <c r="F315" i="60" l="1"/>
  <c r="G315" i="60" s="1"/>
  <c r="I315" i="60" s="1"/>
  <c r="C316" i="60" s="1"/>
  <c r="H316" i="60" l="1"/>
  <c r="J316" i="60" s="1"/>
  <c r="E316" i="60"/>
  <c r="F316" i="60" l="1"/>
  <c r="G316" i="60" s="1"/>
  <c r="I316" i="60" s="1"/>
  <c r="C317" i="60" s="1"/>
  <c r="H317" i="60" l="1"/>
  <c r="J317" i="60" s="1"/>
  <c r="E317" i="60"/>
  <c r="F317" i="60" l="1"/>
  <c r="G317" i="60" s="1"/>
  <c r="I317" i="60"/>
  <c r="C318" i="60" s="1"/>
  <c r="H318" i="60" l="1"/>
  <c r="J318" i="60" s="1"/>
  <c r="E318" i="60"/>
  <c r="F318" i="60" l="1"/>
  <c r="G318" i="60" s="1"/>
  <c r="I318" i="60"/>
  <c r="C319" i="60" s="1"/>
  <c r="H319" i="60" l="1"/>
  <c r="J319" i="60" s="1"/>
  <c r="E319" i="60"/>
  <c r="F319" i="60" l="1"/>
  <c r="G319" i="60" s="1"/>
  <c r="I319" i="60"/>
  <c r="C320" i="60" s="1"/>
  <c r="H320" i="60" l="1"/>
  <c r="J320" i="60" s="1"/>
  <c r="E320" i="60"/>
  <c r="F320" i="60" l="1"/>
  <c r="G320" i="60" s="1"/>
  <c r="I320" i="60"/>
  <c r="C321" i="60" s="1"/>
  <c r="H321" i="60" l="1"/>
  <c r="J321" i="60" s="1"/>
  <c r="E321" i="60"/>
  <c r="I321" i="60" l="1"/>
  <c r="C322" i="60" s="1"/>
  <c r="F321" i="60"/>
  <c r="G321" i="60" s="1"/>
  <c r="H322" i="60" l="1"/>
  <c r="J322" i="60" s="1"/>
  <c r="E322" i="60"/>
  <c r="I322" i="60" l="1"/>
  <c r="C323" i="60" s="1"/>
  <c r="F322" i="60"/>
  <c r="G322" i="60" s="1"/>
  <c r="H323" i="60" l="1"/>
  <c r="J323" i="60" s="1"/>
  <c r="E323" i="60"/>
  <c r="I323" i="60" l="1"/>
  <c r="C324" i="60" s="1"/>
  <c r="F323" i="60"/>
  <c r="G323" i="60" s="1"/>
  <c r="H324" i="60" l="1"/>
  <c r="J324" i="60" s="1"/>
  <c r="E324" i="60"/>
  <c r="F324" i="60" l="1"/>
  <c r="G324" i="60" s="1"/>
  <c r="I324" i="60"/>
  <c r="C325" i="60" s="1"/>
  <c r="H325" i="60" l="1"/>
  <c r="J325" i="60" s="1"/>
  <c r="E325" i="60"/>
  <c r="F325" i="60" l="1"/>
  <c r="G325" i="60" s="1"/>
  <c r="I325" i="60"/>
  <c r="C326" i="60" s="1"/>
  <c r="H326" i="60" l="1"/>
  <c r="J326" i="60" s="1"/>
  <c r="E326" i="60"/>
  <c r="I326" i="60" l="1"/>
  <c r="C327" i="60" s="1"/>
  <c r="F326" i="60"/>
  <c r="G326" i="60" s="1"/>
  <c r="H327" i="60" l="1"/>
  <c r="J327" i="60" s="1"/>
  <c r="E327" i="60"/>
  <c r="I327" i="60" l="1"/>
  <c r="C328" i="60" s="1"/>
  <c r="F327" i="60"/>
  <c r="G327" i="60" s="1"/>
  <c r="H328" i="60" l="1"/>
  <c r="J328" i="60" s="1"/>
  <c r="E328" i="60"/>
  <c r="I328" i="60" l="1"/>
  <c r="C329" i="60" s="1"/>
  <c r="F328" i="60"/>
  <c r="G328" i="60" s="1"/>
  <c r="H329" i="60" l="1"/>
  <c r="J329" i="60" s="1"/>
  <c r="E329" i="60"/>
  <c r="I329" i="60" l="1"/>
  <c r="C330" i="60" s="1"/>
  <c r="F329" i="60"/>
  <c r="G329" i="60" s="1"/>
  <c r="H330" i="60" l="1"/>
  <c r="J330" i="60" s="1"/>
  <c r="E330" i="60"/>
  <c r="F330" i="60" l="1"/>
  <c r="G330" i="60" s="1"/>
  <c r="I330" i="60"/>
  <c r="C331" i="60" s="1"/>
  <c r="H331" i="60" l="1"/>
  <c r="J331" i="60" s="1"/>
  <c r="E331" i="60"/>
  <c r="I331" i="60" l="1"/>
  <c r="C332" i="60" s="1"/>
  <c r="F331" i="60"/>
  <c r="G331" i="60" s="1"/>
  <c r="H332" i="60" l="1"/>
  <c r="J332" i="60" s="1"/>
  <c r="E332" i="60"/>
  <c r="I332" i="60" l="1"/>
  <c r="C333" i="60" s="1"/>
  <c r="F332" i="60"/>
  <c r="G332" i="60" s="1"/>
  <c r="H333" i="60" l="1"/>
  <c r="J333" i="60" s="1"/>
  <c r="E333" i="60"/>
  <c r="I333" i="60" l="1"/>
  <c r="C334" i="60" s="1"/>
  <c r="F333" i="60"/>
  <c r="G333" i="60" s="1"/>
  <c r="H334" i="60" l="1"/>
  <c r="J334" i="60" s="1"/>
  <c r="E334" i="60"/>
  <c r="I334" i="60" l="1"/>
  <c r="C335" i="60" s="1"/>
  <c r="F334" i="60"/>
  <c r="G334" i="60" s="1"/>
  <c r="H335" i="60" l="1"/>
  <c r="J335" i="60" s="1"/>
  <c r="E335" i="60"/>
  <c r="I335" i="60" l="1"/>
  <c r="C336" i="60" s="1"/>
  <c r="F335" i="60"/>
  <c r="G335" i="60" s="1"/>
  <c r="H336" i="60" l="1"/>
  <c r="J336" i="60" s="1"/>
  <c r="E336" i="60"/>
  <c r="I336" i="60" l="1"/>
  <c r="C337" i="60" s="1"/>
  <c r="F336" i="60"/>
  <c r="G336" i="60" s="1"/>
  <c r="H337" i="60" l="1"/>
  <c r="J337" i="60" s="1"/>
  <c r="E337" i="60"/>
  <c r="F337" i="60" l="1"/>
  <c r="G337" i="60" s="1"/>
  <c r="I337" i="60"/>
  <c r="C338" i="60" s="1"/>
  <c r="H338" i="60" l="1"/>
  <c r="J338" i="60" s="1"/>
  <c r="E338" i="60"/>
  <c r="I338" i="60" l="1"/>
  <c r="C339" i="60" s="1"/>
  <c r="F338" i="60"/>
  <c r="G338" i="60" s="1"/>
  <c r="H339" i="60" l="1"/>
  <c r="J339" i="60" s="1"/>
  <c r="E339" i="60"/>
  <c r="F339" i="60" l="1"/>
  <c r="G339" i="60" s="1"/>
  <c r="I339" i="60"/>
  <c r="C340" i="60" s="1"/>
  <c r="H340" i="60" l="1"/>
  <c r="J340" i="60" s="1"/>
  <c r="E340" i="60"/>
  <c r="F340" i="60" l="1"/>
  <c r="G340" i="60" s="1"/>
  <c r="I340" i="60"/>
  <c r="C341" i="60" s="1"/>
  <c r="H341" i="60" l="1"/>
  <c r="J341" i="60" s="1"/>
  <c r="E341" i="60"/>
  <c r="I341" i="60" l="1"/>
  <c r="C342" i="60" s="1"/>
  <c r="F341" i="60"/>
  <c r="G341" i="60" s="1"/>
  <c r="H342" i="60" l="1"/>
  <c r="J342" i="60" s="1"/>
  <c r="E342" i="60"/>
  <c r="F342" i="60" l="1"/>
  <c r="G342" i="60" s="1"/>
  <c r="I342" i="60"/>
  <c r="C343" i="60" s="1"/>
  <c r="H343" i="60" l="1"/>
  <c r="J343" i="60" s="1"/>
  <c r="E343" i="60"/>
  <c r="F343" i="60" l="1"/>
  <c r="G343" i="60" s="1"/>
  <c r="I343" i="60"/>
  <c r="C344" i="60" s="1"/>
  <c r="H344" i="60" l="1"/>
  <c r="J344" i="60" s="1"/>
  <c r="E344" i="60"/>
  <c r="I344" i="60" l="1"/>
  <c r="C345" i="60" s="1"/>
  <c r="F344" i="60"/>
  <c r="G344" i="60" s="1"/>
  <c r="H345" i="60" l="1"/>
  <c r="J345" i="60" s="1"/>
  <c r="E345" i="60"/>
  <c r="F345" i="60" l="1"/>
  <c r="G345" i="60" s="1"/>
  <c r="I345" i="60"/>
  <c r="C346" i="60" s="1"/>
  <c r="H346" i="60" l="1"/>
  <c r="J346" i="60" s="1"/>
  <c r="E346" i="60"/>
  <c r="F346" i="60" l="1"/>
  <c r="G346" i="60" s="1"/>
  <c r="I346" i="60"/>
  <c r="C347" i="60" s="1"/>
  <c r="H347" i="60" l="1"/>
  <c r="J347" i="60" s="1"/>
  <c r="E347" i="60"/>
  <c r="F347" i="60" l="1"/>
  <c r="G347" i="60" s="1"/>
  <c r="I347" i="60"/>
  <c r="C348" i="60" s="1"/>
  <c r="H348" i="60" l="1"/>
  <c r="J348" i="60" s="1"/>
  <c r="E348" i="60"/>
  <c r="F348" i="60" l="1"/>
  <c r="G348" i="60" s="1"/>
  <c r="I348" i="60"/>
  <c r="C349" i="60" s="1"/>
  <c r="H349" i="60" l="1"/>
  <c r="J349" i="60" s="1"/>
  <c r="E349" i="60"/>
  <c r="F349" i="60" l="1"/>
  <c r="G349" i="60" s="1"/>
  <c r="I349" i="60"/>
  <c r="C350" i="60" s="1"/>
  <c r="H350" i="60" l="1"/>
  <c r="J350" i="60" s="1"/>
  <c r="E350" i="60"/>
  <c r="F350" i="60" l="1"/>
  <c r="G350" i="60" s="1"/>
  <c r="I350" i="60"/>
  <c r="C351" i="60" s="1"/>
  <c r="H351" i="60" l="1"/>
  <c r="J351" i="60" s="1"/>
  <c r="E351" i="60"/>
  <c r="F351" i="60" l="1"/>
  <c r="G351" i="60" s="1"/>
  <c r="I351" i="60"/>
  <c r="C352" i="60" s="1"/>
  <c r="H352" i="60" l="1"/>
  <c r="J352" i="60" s="1"/>
  <c r="E352" i="60"/>
  <c r="F352" i="60" l="1"/>
  <c r="G352" i="60" s="1"/>
  <c r="I352" i="60"/>
  <c r="C353" i="60" s="1"/>
  <c r="H353" i="60" l="1"/>
  <c r="J353" i="60" s="1"/>
  <c r="E353" i="60"/>
  <c r="I353" i="60" l="1"/>
  <c r="C354" i="60" s="1"/>
  <c r="F353" i="60"/>
  <c r="G353" i="60" s="1"/>
  <c r="H354" i="60" l="1"/>
  <c r="J354" i="60" s="1"/>
  <c r="E354" i="60"/>
  <c r="I354" i="60" l="1"/>
  <c r="C355" i="60" s="1"/>
  <c r="F354" i="60"/>
  <c r="G354" i="60" s="1"/>
  <c r="H355" i="60" l="1"/>
  <c r="J355" i="60" s="1"/>
  <c r="E355" i="60"/>
  <c r="F355" i="60" l="1"/>
  <c r="G355" i="60" s="1"/>
  <c r="I355" i="60"/>
  <c r="C356" i="60" s="1"/>
  <c r="H356" i="60" l="1"/>
  <c r="J356" i="60" s="1"/>
  <c r="E356" i="60"/>
  <c r="F356" i="60" l="1"/>
  <c r="G356" i="60" s="1"/>
  <c r="I356" i="60"/>
  <c r="C357" i="60" s="1"/>
  <c r="H357" i="60" l="1"/>
  <c r="J357" i="60" s="1"/>
  <c r="E357" i="60"/>
  <c r="F357" i="60" l="1"/>
  <c r="G357" i="60" s="1"/>
  <c r="I357" i="60"/>
  <c r="C358" i="60" s="1"/>
  <c r="H358" i="60" l="1"/>
  <c r="J358" i="60" s="1"/>
  <c r="E358" i="60"/>
  <c r="I358" i="60" l="1"/>
  <c r="C359" i="60" s="1"/>
  <c r="F358" i="60"/>
  <c r="G358" i="60" s="1"/>
  <c r="H359" i="60" l="1"/>
  <c r="J359" i="60" s="1"/>
  <c r="E359" i="60"/>
  <c r="I359" i="60" l="1"/>
  <c r="C360" i="60" s="1"/>
  <c r="F359" i="60"/>
  <c r="G359" i="60" s="1"/>
  <c r="H360" i="60" l="1"/>
  <c r="J360" i="60" s="1"/>
  <c r="E360" i="60"/>
  <c r="F360" i="60" l="1"/>
  <c r="G360" i="60" s="1"/>
  <c r="I360" i="60"/>
  <c r="C361" i="60" s="1"/>
  <c r="H361" i="60" l="1"/>
  <c r="J361" i="60" s="1"/>
  <c r="E361" i="60"/>
  <c r="I361" i="60" l="1"/>
  <c r="C362" i="60" s="1"/>
  <c r="F361" i="60"/>
  <c r="G361" i="60" s="1"/>
  <c r="H362" i="60" l="1"/>
  <c r="J362" i="60" s="1"/>
  <c r="E362" i="60"/>
  <c r="I362" i="60" l="1"/>
  <c r="C363" i="60" s="1"/>
  <c r="F362" i="60"/>
  <c r="G362" i="60" s="1"/>
  <c r="H363" i="60" l="1"/>
  <c r="J363" i="60" s="1"/>
  <c r="E363" i="60"/>
  <c r="F363" i="60" l="1"/>
  <c r="G363" i="60" s="1"/>
  <c r="I363" i="60"/>
  <c r="C364" i="60" s="1"/>
  <c r="H364" i="60" l="1"/>
  <c r="J364" i="60" s="1"/>
  <c r="E364" i="60"/>
  <c r="F364" i="60" l="1"/>
  <c r="G364" i="60" s="1"/>
  <c r="I364" i="60"/>
  <c r="C365" i="60" s="1"/>
  <c r="H365" i="60" l="1"/>
  <c r="J365" i="60" s="1"/>
  <c r="E365" i="60"/>
  <c r="F365" i="60" l="1"/>
  <c r="G365" i="60" s="1"/>
  <c r="I365" i="60"/>
  <c r="C366" i="60" s="1"/>
  <c r="H366" i="60" l="1"/>
  <c r="J366" i="60" s="1"/>
  <c r="E366" i="60"/>
  <c r="F366" i="60" l="1"/>
  <c r="G366" i="60" s="1"/>
  <c r="I366" i="60"/>
  <c r="C367" i="60" s="1"/>
  <c r="H367" i="60" l="1"/>
  <c r="J367" i="60" s="1"/>
  <c r="E367" i="60"/>
  <c r="I367" i="60" l="1"/>
  <c r="C368" i="60" s="1"/>
  <c r="F367" i="60"/>
  <c r="G367" i="60" s="1"/>
  <c r="H368" i="60" l="1"/>
  <c r="J368" i="60" s="1"/>
  <c r="E368" i="60"/>
  <c r="I368" i="60" l="1"/>
  <c r="C369" i="60" s="1"/>
  <c r="F368" i="60"/>
  <c r="G368" i="60" s="1"/>
  <c r="H369" i="60" l="1"/>
  <c r="J369" i="60" s="1"/>
  <c r="E369" i="60"/>
  <c r="I369" i="60" l="1"/>
  <c r="C370" i="60" s="1"/>
  <c r="F369" i="60"/>
  <c r="G369" i="60" s="1"/>
  <c r="H370" i="60" l="1"/>
  <c r="J370" i="60" s="1"/>
  <c r="E370" i="60"/>
  <c r="I370" i="60" l="1"/>
  <c r="C371" i="60" s="1"/>
  <c r="F370" i="60"/>
  <c r="G370" i="60" s="1"/>
  <c r="H371" i="60" l="1"/>
  <c r="J371" i="60" s="1"/>
  <c r="E371" i="60"/>
  <c r="I371" i="60" l="1"/>
  <c r="C372" i="60" s="1"/>
  <c r="F371" i="60"/>
  <c r="G371" i="60" s="1"/>
  <c r="H372" i="60" l="1"/>
  <c r="J372" i="60" s="1"/>
  <c r="E372" i="60"/>
  <c r="I372" i="60" l="1"/>
  <c r="C373" i="60" s="1"/>
  <c r="F372" i="60"/>
  <c r="G372" i="60" s="1"/>
  <c r="H373" i="60" l="1"/>
  <c r="J373" i="60" s="1"/>
  <c r="E373" i="60"/>
  <c r="I373" i="60" l="1"/>
  <c r="C374" i="60" s="1"/>
  <c r="F373" i="60"/>
  <c r="G373" i="60" s="1"/>
  <c r="H374" i="60" l="1"/>
  <c r="J374" i="60" s="1"/>
  <c r="E374" i="60"/>
  <c r="F374" i="60" l="1"/>
  <c r="G374" i="60" s="1"/>
  <c r="I374" i="60"/>
  <c r="C375" i="60" s="1"/>
  <c r="H375" i="60" l="1"/>
  <c r="J375" i="60" s="1"/>
  <c r="E375" i="60"/>
  <c r="I375" i="60" l="1"/>
  <c r="C376" i="60" s="1"/>
  <c r="F375" i="60"/>
  <c r="G375" i="60" s="1"/>
  <c r="H376" i="60" l="1"/>
  <c r="J376" i="60" s="1"/>
  <c r="E376" i="60"/>
  <c r="I376" i="60" l="1"/>
  <c r="C377" i="60" s="1"/>
  <c r="F376" i="60"/>
  <c r="G376" i="60" s="1"/>
  <c r="H377" i="60" l="1"/>
  <c r="J377" i="60" s="1"/>
  <c r="E377" i="60"/>
  <c r="I377" i="60" l="1"/>
  <c r="C378" i="60" s="1"/>
  <c r="F377" i="60"/>
  <c r="G377" i="60" s="1"/>
  <c r="H378" i="60" l="1"/>
  <c r="J378" i="60" s="1"/>
  <c r="E378" i="60"/>
  <c r="H10" i="60"/>
  <c r="H9" i="60"/>
  <c r="I378" i="60" l="1"/>
  <c r="H8" i="60" s="1"/>
  <c r="F378" i="60"/>
  <c r="G378" i="6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Audrey Wendel</author>
  </authors>
  <commentList>
    <comment ref="C40" authorId="0" shapeId="0" xr:uid="{3C00881C-CBC6-9342-A889-1711415D34AD}">
      <text>
        <r>
          <rPr>
            <b/>
            <sz val="9"/>
            <color indexed="81"/>
            <rFont val="Tahoma"/>
            <family val="2"/>
          </rPr>
          <t>Administrator:</t>
        </r>
        <r>
          <rPr>
            <sz val="9"/>
            <color indexed="81"/>
            <rFont val="Tahoma"/>
            <family val="2"/>
          </rPr>
          <t xml:space="preserve">
Amortization Basis and Months required to calculate Payment.
</t>
        </r>
        <r>
          <rPr>
            <b/>
            <sz val="9"/>
            <color indexed="81"/>
            <rFont val="Tahoma"/>
            <family val="2"/>
          </rPr>
          <t>Pmt Calculates off Sources and Uses if input</t>
        </r>
      </text>
    </comment>
    <comment ref="C630" authorId="1" shapeId="0" xr:uid="{523EF1EA-2948-4945-9826-8EEFEBE7945E}">
      <text>
        <r>
          <rPr>
            <b/>
            <sz val="9"/>
            <color indexed="81"/>
            <rFont val="Tahoma"/>
            <family val="2"/>
          </rPr>
          <t>Audrey Wendel:</t>
        </r>
        <r>
          <rPr>
            <sz val="9"/>
            <color indexed="81"/>
            <rFont val="Tahoma"/>
            <family val="2"/>
          </rPr>
          <t xml:space="preserve">
Ferrell Lighting- Spouse</t>
        </r>
      </text>
    </comment>
    <comment ref="C631" authorId="1" shapeId="0" xr:uid="{3CEE111F-1008-4547-8044-93EC959E3B72}">
      <text>
        <r>
          <rPr>
            <b/>
            <sz val="9"/>
            <color indexed="81"/>
            <rFont val="Tahoma"/>
            <family val="2"/>
          </rPr>
          <t>Audrey Wendel:</t>
        </r>
        <r>
          <rPr>
            <sz val="9"/>
            <color indexed="81"/>
            <rFont val="Tahoma"/>
            <family val="2"/>
          </rPr>
          <t xml:space="preserve">
Business- Resolute Lien Services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 Woodard</author>
    <author>Administrator</author>
  </authors>
  <commentList>
    <comment ref="F4" authorId="0" shapeId="0" xr:uid="{D6469712-C5B6-4040-99E7-6ED2CBEE2495}">
      <text>
        <r>
          <rPr>
            <b/>
            <sz val="9"/>
            <color indexed="81"/>
            <rFont val="Tahoma"/>
            <family val="2"/>
          </rPr>
          <t xml:space="preserve">ADMINISTRATOR:  ZIP + 4 is MANDATORY for Mailing Address
</t>
        </r>
        <r>
          <rPr>
            <sz val="9"/>
            <color indexed="81"/>
            <rFont val="Tahoma"/>
            <family val="2"/>
          </rPr>
          <t xml:space="preserve">
</t>
        </r>
      </text>
    </comment>
    <comment ref="E8" authorId="0" shapeId="0" xr:uid="{C5717B01-A01A-4B22-9EFE-5F81FCA77C6C}">
      <text>
        <r>
          <rPr>
            <b/>
            <sz val="9"/>
            <color indexed="81"/>
            <rFont val="Tahoma"/>
            <family val="2"/>
          </rPr>
          <t>Bill Woodard:
2 Character State Code ONLY</t>
        </r>
      </text>
    </comment>
    <comment ref="B10" authorId="1" shapeId="0" xr:uid="{2798299C-AF0E-4BE7-ACD8-D8CF73C57E21}">
      <text>
        <r>
          <rPr>
            <b/>
            <sz val="9"/>
            <color indexed="81"/>
            <rFont val="Tahoma"/>
            <family val="2"/>
          </rPr>
          <t>Administrator:</t>
        </r>
        <r>
          <rPr>
            <sz val="9"/>
            <color indexed="81"/>
            <rFont val="Tahoma"/>
            <family val="2"/>
          </rPr>
          <t xml:space="preserve">
LOAN OPS USE ONLY</t>
        </r>
      </text>
    </comment>
    <comment ref="B15" authorId="1" shapeId="0" xr:uid="{60A68732-2F43-4E3E-B0AC-60C201791DB0}">
      <text>
        <r>
          <rPr>
            <b/>
            <sz val="9"/>
            <color indexed="81"/>
            <rFont val="Tahoma"/>
            <family val="2"/>
          </rPr>
          <t>Administrator:</t>
        </r>
        <r>
          <rPr>
            <sz val="9"/>
            <color indexed="81"/>
            <rFont val="Tahoma"/>
            <family val="2"/>
          </rPr>
          <t xml:space="preserve">
Do Not Include the above loan requests</t>
        </r>
      </text>
    </comment>
    <comment ref="B25" authorId="1" shapeId="0" xr:uid="{D7A59596-B527-4EAB-A076-C8B8DB48EA51}">
      <text>
        <r>
          <rPr>
            <b/>
            <sz val="9"/>
            <color indexed="81"/>
            <rFont val="Tahoma"/>
            <family val="2"/>
          </rPr>
          <t>Administrator:</t>
        </r>
        <r>
          <rPr>
            <sz val="9"/>
            <color indexed="81"/>
            <rFont val="Tahoma"/>
            <family val="2"/>
          </rPr>
          <t xml:space="preserve">
Required for PMT calc</t>
        </r>
      </text>
    </comment>
    <comment ref="F25" authorId="1" shapeId="0" xr:uid="{97C1620B-B488-4C9C-BA2C-0979F683CA97}">
      <text>
        <r>
          <rPr>
            <b/>
            <sz val="9"/>
            <color indexed="81"/>
            <rFont val="Tahoma"/>
            <family val="2"/>
          </rPr>
          <t>Administrator:</t>
        </r>
        <r>
          <rPr>
            <sz val="9"/>
            <color indexed="81"/>
            <rFont val="Tahoma"/>
            <family val="2"/>
          </rPr>
          <t xml:space="preserve">
Required for PMT calc</t>
        </r>
      </text>
    </comment>
    <comment ref="I25" authorId="1" shapeId="0" xr:uid="{9F1E6903-9E14-43B9-9369-F0D4A6030B9C}">
      <text>
        <r>
          <rPr>
            <b/>
            <sz val="9"/>
            <color indexed="81"/>
            <rFont val="Tahoma"/>
            <family val="2"/>
          </rPr>
          <t>Administrator:</t>
        </r>
        <r>
          <rPr>
            <sz val="9"/>
            <color indexed="81"/>
            <rFont val="Tahoma"/>
            <family val="2"/>
          </rPr>
          <t xml:space="preserve">
Amortization Basis and Months required to calculate Payment</t>
        </r>
      </text>
    </comment>
    <comment ref="D29" authorId="1" shapeId="0" xr:uid="{9B6D2369-EE16-4002-940D-9C2F8D2DCF54}">
      <text>
        <r>
          <rPr>
            <b/>
            <sz val="9"/>
            <color indexed="81"/>
            <rFont val="Tahoma"/>
            <family val="2"/>
          </rPr>
          <t>Administrator:</t>
        </r>
        <r>
          <rPr>
            <sz val="9"/>
            <color indexed="81"/>
            <rFont val="Tahoma"/>
            <family val="2"/>
          </rPr>
          <t xml:space="preserve">
Military Lending Act "Covered Borrower" serving on Active Military, Guard, or Reserve Duty or a dependent of such
</t>
        </r>
      </text>
    </comment>
    <comment ref="B70" authorId="1" shapeId="0" xr:uid="{6FC3DC5E-88AC-41FC-9941-5BF20755C7D7}">
      <text>
        <r>
          <rPr>
            <b/>
            <sz val="9"/>
            <color indexed="81"/>
            <rFont val="Tahoma"/>
            <family val="2"/>
          </rPr>
          <t>Administrator:</t>
        </r>
        <r>
          <rPr>
            <sz val="9"/>
            <color indexed="81"/>
            <rFont val="Tahoma"/>
            <family val="2"/>
          </rPr>
          <t xml:space="preserve">
Required for PMT calc</t>
        </r>
      </text>
    </comment>
    <comment ref="F70" authorId="1" shapeId="0" xr:uid="{736B3A5E-01CD-4F20-895E-B6EE4472B08D}">
      <text>
        <r>
          <rPr>
            <b/>
            <sz val="9"/>
            <color indexed="81"/>
            <rFont val="Tahoma"/>
            <family val="2"/>
          </rPr>
          <t>Administrator:</t>
        </r>
        <r>
          <rPr>
            <sz val="9"/>
            <color indexed="81"/>
            <rFont val="Tahoma"/>
            <family val="2"/>
          </rPr>
          <t xml:space="preserve">
Required for PMT calc</t>
        </r>
      </text>
    </comment>
    <comment ref="I70" authorId="1" shapeId="0" xr:uid="{36BB2866-1154-477E-91CD-3ADCA1790FDF}">
      <text>
        <r>
          <rPr>
            <b/>
            <sz val="9"/>
            <color indexed="81"/>
            <rFont val="Tahoma"/>
            <family val="2"/>
          </rPr>
          <t>Administrator:</t>
        </r>
        <r>
          <rPr>
            <sz val="9"/>
            <color indexed="81"/>
            <rFont val="Tahoma"/>
            <family val="2"/>
          </rPr>
          <t xml:space="preserve">
Amortization Basis and Months required to calculate Payment</t>
        </r>
      </text>
    </comment>
    <comment ref="D74" authorId="1" shapeId="0" xr:uid="{07DD99AB-3F5A-4EB9-91F7-3D20D5267ECA}">
      <text>
        <r>
          <rPr>
            <b/>
            <sz val="9"/>
            <color indexed="81"/>
            <rFont val="Tahoma"/>
            <family val="2"/>
          </rPr>
          <t>Administrator:</t>
        </r>
        <r>
          <rPr>
            <sz val="9"/>
            <color indexed="81"/>
            <rFont val="Tahoma"/>
            <family val="2"/>
          </rPr>
          <t xml:space="preserve">
Military Lending Act "Covered Borrower" serving on Active Military, Guard, or Reserve Duty or a dependent of such
</t>
        </r>
      </text>
    </comment>
    <comment ref="B108" authorId="0" shapeId="0" xr:uid="{2BDAEA46-D1A9-42FF-A7EA-561287B1D63D}">
      <text>
        <r>
          <rPr>
            <b/>
            <sz val="9"/>
            <color indexed="81"/>
            <rFont val="Tahoma"/>
            <family val="2"/>
          </rPr>
          <t>Hide/Unhide Principal Details as Necessary</t>
        </r>
      </text>
    </comment>
    <comment ref="B157" authorId="0" shapeId="0" xr:uid="{081A9A29-D226-43AE-94E1-D42B6D86DFA0}">
      <text>
        <r>
          <rPr>
            <b/>
            <sz val="9"/>
            <color indexed="81"/>
            <rFont val="Tahoma"/>
            <family val="2"/>
          </rPr>
          <t>Hide/Unhide Entity Details as Necessary</t>
        </r>
      </text>
    </comment>
    <comment ref="B224" authorId="0" shapeId="0" xr:uid="{819ACF4B-5205-4866-B59E-9E8073F42E56}">
      <text>
        <r>
          <rPr>
            <b/>
            <sz val="9"/>
            <color indexed="81"/>
            <rFont val="Tahoma"/>
            <family val="2"/>
          </rPr>
          <t>Hide the SBA Loan Information if not an SBA Loan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Bill Woodard</author>
    <author>Administrator</author>
  </authors>
  <commentList>
    <comment ref="B14" authorId="0" shapeId="0" xr:uid="{00000000-0006-0000-1300-000002000000}">
      <text>
        <r>
          <rPr>
            <b/>
            <sz val="9"/>
            <color indexed="81"/>
            <rFont val="Tahoma"/>
            <family val="2"/>
          </rPr>
          <t xml:space="preserve">Hide this section if not needed
</t>
        </r>
      </text>
    </comment>
    <comment ref="B23" authorId="0" shapeId="0" xr:uid="{00000000-0006-0000-1300-000004000000}">
      <text>
        <r>
          <rPr>
            <b/>
            <sz val="9"/>
            <color indexed="81"/>
            <rFont val="Tahoma"/>
            <family val="2"/>
          </rPr>
          <t>Hide this section if not needed</t>
        </r>
        <r>
          <rPr>
            <sz val="9"/>
            <color indexed="81"/>
            <rFont val="Tahoma"/>
            <family val="2"/>
          </rPr>
          <t xml:space="preserve">
</t>
        </r>
      </text>
    </comment>
    <comment ref="B32" authorId="0" shapeId="0" xr:uid="{00000000-0006-0000-1300-000006000000}">
      <text>
        <r>
          <rPr>
            <b/>
            <sz val="9"/>
            <color indexed="81"/>
            <rFont val="Tahoma"/>
            <family val="2"/>
          </rPr>
          <t>Hide unneeded asset sections</t>
        </r>
      </text>
    </comment>
    <comment ref="E125" authorId="1" shapeId="0" xr:uid="{65E7B72B-3515-40D9-BB15-09374410AABD}">
      <text>
        <r>
          <rPr>
            <b/>
            <sz val="9"/>
            <color indexed="81"/>
            <rFont val="Tahoma"/>
            <family val="2"/>
          </rPr>
          <t>Administrator:</t>
        </r>
        <r>
          <rPr>
            <sz val="9"/>
            <color indexed="81"/>
            <rFont val="Tahoma"/>
            <family val="2"/>
          </rPr>
          <t xml:space="preserve">
Data Validation Check.  This Should Match Total Project Figure.</t>
        </r>
      </text>
    </comment>
    <comment ref="E128" authorId="1" shapeId="0" xr:uid="{4DEA83A6-DE58-4D39-B74D-7B09721265BE}">
      <text>
        <r>
          <rPr>
            <b/>
            <sz val="9"/>
            <color indexed="81"/>
            <rFont val="Tahoma"/>
            <family val="2"/>
          </rPr>
          <t>Administrator:</t>
        </r>
        <r>
          <rPr>
            <sz val="9"/>
            <color indexed="81"/>
            <rFont val="Tahoma"/>
            <family val="2"/>
          </rPr>
          <t xml:space="preserve">
Data Validation Check.  This Should Match Loan Amount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Bill Woodard</author>
    <author>Administrator</author>
  </authors>
  <commentList>
    <comment ref="B14" authorId="0" shapeId="0" xr:uid="{7641E78F-DCAA-495B-8FD5-5DCE73B063EE}">
      <text>
        <r>
          <rPr>
            <b/>
            <sz val="9"/>
            <color indexed="81"/>
            <rFont val="Tahoma"/>
            <family val="2"/>
          </rPr>
          <t xml:space="preserve">Hide this section if not needed
</t>
        </r>
      </text>
    </comment>
    <comment ref="B23" authorId="0" shapeId="0" xr:uid="{98407758-081D-4A81-8163-61D92DB34EAA}">
      <text>
        <r>
          <rPr>
            <b/>
            <sz val="9"/>
            <color indexed="81"/>
            <rFont val="Tahoma"/>
            <family val="2"/>
          </rPr>
          <t>Hide this section if not needed</t>
        </r>
        <r>
          <rPr>
            <sz val="9"/>
            <color indexed="81"/>
            <rFont val="Tahoma"/>
            <family val="2"/>
          </rPr>
          <t xml:space="preserve">
</t>
        </r>
      </text>
    </comment>
    <comment ref="B32" authorId="0" shapeId="0" xr:uid="{43BD1744-78C2-4F76-B4F8-E1EC7E78D88D}">
      <text>
        <r>
          <rPr>
            <b/>
            <sz val="9"/>
            <color indexed="81"/>
            <rFont val="Tahoma"/>
            <family val="2"/>
          </rPr>
          <t>Hide unneeded asset sections</t>
        </r>
      </text>
    </comment>
    <comment ref="E125" authorId="1" shapeId="0" xr:uid="{19FAB2F2-C0E5-411F-929E-09CF354F2EF2}">
      <text>
        <r>
          <rPr>
            <b/>
            <sz val="9"/>
            <color indexed="81"/>
            <rFont val="Tahoma"/>
            <family val="2"/>
          </rPr>
          <t>Administrator:</t>
        </r>
        <r>
          <rPr>
            <sz val="9"/>
            <color indexed="81"/>
            <rFont val="Tahoma"/>
            <family val="2"/>
          </rPr>
          <t xml:space="preserve">
Data Validation Check.  This Should Match Total Project Figure.</t>
        </r>
      </text>
    </comment>
    <comment ref="E128" authorId="1" shapeId="0" xr:uid="{9F0F27D3-3F61-4D62-939A-7A7AAE37C957}">
      <text>
        <r>
          <rPr>
            <b/>
            <sz val="9"/>
            <color indexed="81"/>
            <rFont val="Tahoma"/>
            <family val="2"/>
          </rPr>
          <t>Administrator:</t>
        </r>
        <r>
          <rPr>
            <sz val="9"/>
            <color indexed="81"/>
            <rFont val="Tahoma"/>
            <family val="2"/>
          </rPr>
          <t xml:space="preserve">
Data Validation Check.  This Should Match Loan Amount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0000000-0006-0000-0A00-000001000000}">
      <text>
        <r>
          <rPr>
            <b/>
            <sz val="9"/>
            <color indexed="81"/>
            <rFont val="Tahoma"/>
            <family val="2"/>
          </rPr>
          <t>Use ALT+Ent to insert line breaks in the cell.  Foot note significant changes in IS or other relevant explanations</t>
        </r>
      </text>
    </comment>
    <comment ref="R66" authorId="0" shapeId="0" xr:uid="{00000000-0006-0000-0C00-000001000000}">
      <text>
        <r>
          <rPr>
            <b/>
            <sz val="9"/>
            <color indexed="81"/>
            <rFont val="Tahoma"/>
            <family val="2"/>
          </rPr>
          <t>Use ALT+Ent to insert line breaks in the cell.  Foot note significant changes in IS or other relevant explanations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00000000-0006-0000-0900-000001000000}">
      <text>
        <r>
          <rPr>
            <b/>
            <sz val="9"/>
            <color indexed="81"/>
            <rFont val="Tahoma"/>
            <family val="2"/>
          </rPr>
          <t>If additional officers comp/distributions are necessary to cover personal expenses, include it here.</t>
        </r>
      </text>
    </comment>
    <comment ref="A22" authorId="0" shapeId="0" xr:uid="{00000000-0006-0000-0900-000002000000}">
      <text>
        <r>
          <rPr>
            <b/>
            <sz val="9"/>
            <color indexed="81"/>
            <rFont val="Tahoma"/>
            <family val="2"/>
          </rPr>
          <t>Adjust for taxes, insurance, and other real estate expenses that may not have been accounted for in the spreads or projections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K6" authorId="0" shapeId="0" xr:uid="{00000000-0006-0000-0F00-000001000000}">
      <text>
        <r>
          <rPr>
            <b/>
            <sz val="9"/>
            <color indexed="81"/>
            <rFont val="Tahoma"/>
            <family val="2"/>
          </rPr>
          <t xml:space="preserve">Marking "Yes" in the refi column will automatically transfer that debt information to the Refinance Eligibility, it will also adust Existing/New Debt for the DSC Calculation.
</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P40" authorId="0" shapeId="0" xr:uid="{CA0B12F4-C6D9-4B9C-A0C5-568AFBE06505}">
      <text>
        <r>
          <rPr>
            <b/>
            <sz val="9"/>
            <color indexed="81"/>
            <rFont val="Tahoma"/>
            <family val="2"/>
          </rPr>
          <t>Use ALT+Ent to insert line breaks in the cell.  Foot note significant changes in IS or other relevant explanations</t>
        </r>
      </text>
    </comment>
    <comment ref="B80" authorId="0" shapeId="0" xr:uid="{F82F1101-C27D-4E2E-81D4-984BCB966DC5}">
      <text>
        <r>
          <rPr>
            <b/>
            <sz val="9"/>
            <color indexed="81"/>
            <rFont val="Tahoma"/>
            <family val="2"/>
          </rPr>
          <t>If additional officers comp/distributions are necessary to cover personal expenses, include it here.</t>
        </r>
      </text>
    </comment>
    <comment ref="B81" authorId="0" shapeId="0" xr:uid="{92B80B52-8A79-4C93-AB11-533D59AE363F}">
      <text>
        <r>
          <rPr>
            <b/>
            <sz val="9"/>
            <color indexed="81"/>
            <rFont val="Tahoma"/>
            <family val="2"/>
          </rPr>
          <t>Adjust for taxes, insurance, and other real estate expenses that may not have been accounted for in the spreads or projections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4C8C1E6C-977D-4669-AB0B-D45EFEF54A4A}">
      <text>
        <r>
          <rPr>
            <b/>
            <sz val="9"/>
            <color indexed="81"/>
            <rFont val="Tahoma"/>
            <family val="2"/>
          </rPr>
          <t>If additional officers comp/distributions are necessary to cover personal expenses, include it here.</t>
        </r>
      </text>
    </comment>
    <comment ref="A22" authorId="0" shapeId="0" xr:uid="{C324F67F-05B6-4736-837D-1C278842B962}">
      <text>
        <r>
          <rPr>
            <b/>
            <sz val="9"/>
            <color indexed="81"/>
            <rFont val="Tahoma"/>
            <family val="2"/>
          </rPr>
          <t>Adjust for taxes, insurance, and other real estate expenses that may not have been accounted for in the spreads or projections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00000000-0006-0000-0B00-000001000000}">
      <text>
        <r>
          <rPr>
            <b/>
            <sz val="9"/>
            <color indexed="81"/>
            <rFont val="Tahoma"/>
            <family val="2"/>
          </rPr>
          <t xml:space="preserve">Enter as a Negative Number
</t>
        </r>
      </text>
    </comment>
    <comment ref="A61" authorId="0" shapeId="0" xr:uid="{02012CDC-EDFC-41F3-AFB2-72A591D98CD2}">
      <text>
        <r>
          <rPr>
            <b/>
            <sz val="9"/>
            <color indexed="81"/>
            <rFont val="Tahoma"/>
            <family val="2"/>
          </rPr>
          <t>Use ALT+Ent to insert line breaks in the cell.  Foot note significant changes in BS or other relevant explanations</t>
        </r>
      </text>
    </comment>
    <comment ref="A79" authorId="0" shapeId="0" xr:uid="{00000000-0006-0000-0B00-000002000000}">
      <text>
        <r>
          <rPr>
            <b/>
            <sz val="9"/>
            <color indexed="81"/>
            <rFont val="Tahoma"/>
            <family val="2"/>
          </rPr>
          <t>Use ALT+Ent to insert line breaks in the cell.  Foot note significant changes in BS or other relevant explanations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3" authorId="0" shapeId="0" xr:uid="{00000000-0006-0000-0D00-000001000000}">
      <text>
        <r>
          <rPr>
            <b/>
            <sz val="9"/>
            <color indexed="81"/>
            <rFont val="Tahoma"/>
            <family val="2"/>
          </rPr>
          <t xml:space="preserve">Enter as a Negative Number
</t>
        </r>
      </text>
    </comment>
    <comment ref="A61" authorId="0" shapeId="0" xr:uid="{00000000-0006-0000-0D00-000002000000}">
      <text>
        <r>
          <rPr>
            <b/>
            <sz val="9"/>
            <color indexed="81"/>
            <rFont val="Tahoma"/>
            <family val="2"/>
          </rPr>
          <t>Use ALT+Ent to insert line breaks in the cell.  Foot note significant changes in BS or other relevant explanations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0000000-0006-0000-1000-000001000000}">
      <text>
        <r>
          <rPr>
            <b/>
            <sz val="9"/>
            <color indexed="81"/>
            <rFont val="Tahoma"/>
            <family val="2"/>
          </rPr>
          <t>Use ALT+Ent to insert line breaks in the cell.  Foot note significant changes in IS or other relevant explanations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8E7B1068-71EC-4D18-BEA0-6685AC11AC86}">
      <text>
        <r>
          <rPr>
            <b/>
            <sz val="9"/>
            <color indexed="81"/>
            <rFont val="Tahoma"/>
            <family val="2"/>
          </rPr>
          <t xml:space="preserve">Enter as a Negative Number
</t>
        </r>
      </text>
    </comment>
    <comment ref="A61" authorId="0" shapeId="0" xr:uid="{973FD5FF-9E07-46D6-930F-20C05E371061}">
      <text>
        <r>
          <rPr>
            <b/>
            <sz val="9"/>
            <color indexed="81"/>
            <rFont val="Tahoma"/>
            <family val="2"/>
          </rPr>
          <t>Use ALT+Ent to insert line breaks in the cell.  Foot note significant changes in BS or other relevant explanations</t>
        </r>
      </text>
    </comment>
    <comment ref="A79" authorId="0" shapeId="0" xr:uid="{17C4F94A-74E4-450F-BBBD-F77A146BCC64}">
      <text>
        <r>
          <rPr>
            <b/>
            <sz val="9"/>
            <color indexed="81"/>
            <rFont val="Tahoma"/>
            <family val="2"/>
          </rPr>
          <t>Use ALT+Ent to insert line breaks in the cell.  Foot note significant changes in BS or other relevant explanations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6F2C2EDE-83BC-458C-9F12-51D68FF5E8EF}">
      <text>
        <r>
          <rPr>
            <b/>
            <sz val="9"/>
            <color indexed="81"/>
            <rFont val="Tahoma"/>
            <family val="2"/>
          </rPr>
          <t>If additional officers comp/distributions are necessary to cover personal expenses, include it here.</t>
        </r>
      </text>
    </comment>
    <comment ref="A22" authorId="0" shapeId="0" xr:uid="{70C9954F-A006-4297-A302-37CB5BE27BBB}">
      <text>
        <r>
          <rPr>
            <b/>
            <sz val="9"/>
            <color indexed="81"/>
            <rFont val="Tahoma"/>
            <family val="2"/>
          </rPr>
          <t>Adjust for taxes, insurance, and other real estate expenses that may not have been accounted for in the spreads or projections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Mandy Kuxhausen</author>
  </authors>
  <commentList>
    <comment ref="A22" authorId="0" shapeId="0" xr:uid="{EC04889F-A72B-473B-AE09-0AAA7B8C7B48}">
      <text>
        <r>
          <rPr>
            <b/>
            <sz val="9"/>
            <color indexed="81"/>
            <rFont val="Tahoma"/>
            <family val="2"/>
          </rPr>
          <t>Mandy Kuxhausen:</t>
        </r>
        <r>
          <rPr>
            <sz val="9"/>
            <color indexed="81"/>
            <rFont val="Tahoma"/>
            <family val="2"/>
          </rPr>
          <t xml:space="preserve">
Insurance and Property Taxes are only added back when it is confirmed that the mortgage debt service requirement includes principal, interest, insurance and taxes (PITI).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2" authorId="0" shapeId="0" xr:uid="{7F93C501-60FA-4D7B-830F-19AC767EE10F}">
      <text>
        <r>
          <rPr>
            <b/>
            <sz val="9"/>
            <color indexed="81"/>
            <rFont val="Tahoma"/>
            <family val="2"/>
          </rPr>
          <t>Hide this section if not needed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2" authorId="0" shapeId="0" xr:uid="{10CE01C9-3A28-4482-8EDE-CAA3B17BCCAF}">
      <text>
        <r>
          <rPr>
            <b/>
            <sz val="9"/>
            <color indexed="81"/>
            <rFont val="Tahoma"/>
            <family val="2"/>
          </rPr>
          <t>Complete this form for EACH debt to be refinanced.  If more than one form is required create additional copies in the workbook.</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2" authorId="0" shapeId="0" xr:uid="{7D326D18-359B-4CA6-A8EE-36D822F12BCD}">
      <text>
        <r>
          <rPr>
            <b/>
            <sz val="9"/>
            <color indexed="81"/>
            <rFont val="Tahoma"/>
            <family val="2"/>
          </rPr>
          <t>Complete this form for EACH debt to be refinanced.  If more than one form is required create additional copies in the workbook.</t>
        </r>
        <r>
          <rPr>
            <sz val="9"/>
            <color indexed="81"/>
            <rFont val="Tahoma"/>
            <family val="2"/>
          </rPr>
          <t xml:space="preserve">
</t>
        </r>
      </text>
    </comment>
    <comment ref="B109" authorId="0" shapeId="0" xr:uid="{EDEDB5E3-FA06-460E-81D4-4CD8EC7F5D1F}">
      <text>
        <r>
          <rPr>
            <b/>
            <sz val="9"/>
            <color indexed="81"/>
            <rFont val="Tahoma"/>
            <family val="2"/>
          </rPr>
          <t>Complete this form for EACH debt to be refinanced.  If more than one form is required create additional copies in the workbook.</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0000000-0006-0000-1500-000001000000}">
      <text>
        <r>
          <rPr>
            <b/>
            <sz val="9"/>
            <color indexed="81"/>
            <rFont val="Tahoma"/>
            <family val="2"/>
          </rPr>
          <t>Use ALT+Ent to insert line breaks in the cell.  Foot note significant changes in IS or other relevant explanations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3C8FE599-7300-41EF-B610-4BB5FDEEBA90}">
      <text>
        <r>
          <rPr>
            <b/>
            <sz val="9"/>
            <color indexed="81"/>
            <rFont val="Tahoma"/>
            <family val="2"/>
          </rPr>
          <t xml:space="preserve">Enter as a Negative Number
</t>
        </r>
      </text>
    </comment>
    <comment ref="A61" authorId="0" shapeId="0" xr:uid="{E031926D-580D-4E03-A23E-AA78824C143C}">
      <text>
        <r>
          <rPr>
            <b/>
            <sz val="9"/>
            <color indexed="81"/>
            <rFont val="Tahoma"/>
            <family val="2"/>
          </rPr>
          <t>Use ALT+Ent to insert line breaks in the cell.  Foot note significant changes in BS or other relevant explanations</t>
        </r>
      </text>
    </comment>
    <comment ref="A79" authorId="0" shapeId="0" xr:uid="{00000000-0006-0000-1600-00000C000000}">
      <text>
        <r>
          <rPr>
            <b/>
            <sz val="9"/>
            <color indexed="81"/>
            <rFont val="Tahoma"/>
            <family val="2"/>
          </rPr>
          <t>Use ALT+Ent to insert line breaks in the cell.  Foot note significant changes in BS or other relevant explanations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7821D7DC-7172-4337-8EAE-BF1218239773}">
      <text>
        <r>
          <rPr>
            <b/>
            <sz val="9"/>
            <color indexed="81"/>
            <rFont val="Tahoma"/>
            <family val="2"/>
          </rPr>
          <t>If additional officers comp/distributions are necessary to cover personal expenses, include it here.</t>
        </r>
      </text>
    </comment>
    <comment ref="A22" authorId="0" shapeId="0" xr:uid="{7D8049AF-FB65-45B4-9D80-8FD4BFE8195E}">
      <text>
        <r>
          <rPr>
            <b/>
            <sz val="9"/>
            <color indexed="81"/>
            <rFont val="Tahoma"/>
            <family val="2"/>
          </rPr>
          <t>Adjust for taxes, insurance, and other real estate expenses that may not have been accounted for in the spreads or projections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0000000-0006-0000-1800-000001000000}">
      <text>
        <r>
          <rPr>
            <b/>
            <sz val="9"/>
            <color indexed="81"/>
            <rFont val="Tahoma"/>
            <family val="2"/>
          </rPr>
          <t>Use ALT+Ent to insert line breaks in the cell.  Foot note significant changes in IS or other relevant explanations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EA9C2BE9-74BA-4647-AE52-6F46D6874522}">
      <text>
        <r>
          <rPr>
            <b/>
            <sz val="9"/>
            <color indexed="81"/>
            <rFont val="Tahoma"/>
            <family val="2"/>
          </rPr>
          <t xml:space="preserve">Enter as a Negative Number
</t>
        </r>
      </text>
    </comment>
    <comment ref="A61" authorId="0" shapeId="0" xr:uid="{37496AD1-C758-46F4-982E-22213621811F}">
      <text>
        <r>
          <rPr>
            <b/>
            <sz val="9"/>
            <color indexed="81"/>
            <rFont val="Tahoma"/>
            <family val="2"/>
          </rPr>
          <t>Use ALT+Ent to insert line breaks in the cell.  Foot note significant changes in BS or other relevant explanations</t>
        </r>
      </text>
    </comment>
    <comment ref="A79" authorId="0" shapeId="0" xr:uid="{00000000-0006-0000-1900-00000C000000}">
      <text>
        <r>
          <rPr>
            <b/>
            <sz val="9"/>
            <color indexed="81"/>
            <rFont val="Tahoma"/>
            <family val="2"/>
          </rPr>
          <t>Use ALT+Ent to insert line breaks in the cell.  Foot note significant changes in BS or other relevant explanations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247F480A-64F7-41F2-8C4F-7C6D6FAD1AA4}">
      <text>
        <r>
          <rPr>
            <b/>
            <sz val="9"/>
            <color indexed="81"/>
            <rFont val="Tahoma"/>
            <family val="2"/>
          </rPr>
          <t>If additional officers comp/distributions are necessary to cover personal expenses, include it here.</t>
        </r>
      </text>
    </comment>
    <comment ref="A22" authorId="0" shapeId="0" xr:uid="{21DAE73C-2C7A-4FFF-B388-EF541A524514}">
      <text>
        <r>
          <rPr>
            <b/>
            <sz val="9"/>
            <color indexed="81"/>
            <rFont val="Tahoma"/>
            <family val="2"/>
          </rPr>
          <t>Adjust for taxes, insurance, and other real estate expenses that may not have been accounted for in the spreads or projections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0000000-0006-0000-1B00-000001000000}">
      <text>
        <r>
          <rPr>
            <b/>
            <sz val="9"/>
            <color indexed="81"/>
            <rFont val="Tahoma"/>
            <family val="2"/>
          </rPr>
          <t>Use ALT+Ent to insert line breaks in the cell.  Foot note significant changes in IS or other relevant explanations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A0FA510E-ED68-44FE-BD3D-8BF9A9B6950D}">
      <text>
        <r>
          <rPr>
            <b/>
            <sz val="9"/>
            <color indexed="81"/>
            <rFont val="Tahoma"/>
            <family val="2"/>
          </rPr>
          <t xml:space="preserve">Enter as a Negative Number
</t>
        </r>
      </text>
    </comment>
    <comment ref="A61" authorId="0" shapeId="0" xr:uid="{F46331FD-63E9-4098-9CAB-1B688584A96A}">
      <text>
        <r>
          <rPr>
            <b/>
            <sz val="9"/>
            <color indexed="81"/>
            <rFont val="Tahoma"/>
            <family val="2"/>
          </rPr>
          <t>Use ALT+Ent to insert line breaks in the cell.  Foot note significant changes in BS or other relevant explanations</t>
        </r>
      </text>
    </comment>
    <comment ref="A79" authorId="0" shapeId="0" xr:uid="{00000000-0006-0000-1C00-00000C000000}">
      <text>
        <r>
          <rPr>
            <b/>
            <sz val="9"/>
            <color indexed="81"/>
            <rFont val="Tahoma"/>
            <family val="2"/>
          </rPr>
          <t>Use ALT+Ent to insert line breaks in the cell.  Foot note significant changes in BS or other relevant explanations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C344B37F-C8D8-4E68-A25F-6222BB478F52}">
      <text>
        <r>
          <rPr>
            <b/>
            <sz val="9"/>
            <color indexed="81"/>
            <rFont val="Tahoma"/>
            <family val="2"/>
          </rPr>
          <t>If additional officers comp/distributions are necessary to cover personal expenses, include it here.</t>
        </r>
      </text>
    </comment>
    <comment ref="A22" authorId="0" shapeId="0" xr:uid="{37FA276D-BBE5-44BE-93F8-B0E5D00B8CCF}">
      <text>
        <r>
          <rPr>
            <b/>
            <sz val="9"/>
            <color indexed="81"/>
            <rFont val="Tahoma"/>
            <family val="2"/>
          </rPr>
          <t>Adjust for taxes, insurance, and other real estate expenses that may not have been accounted for in the spreads or projections</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0000000-0006-0000-1E00-000001000000}">
      <text>
        <r>
          <rPr>
            <b/>
            <sz val="9"/>
            <color indexed="81"/>
            <rFont val="Tahoma"/>
            <family val="2"/>
          </rPr>
          <t>Use ALT+Ent to insert line breaks in the cell.  Foot note significant changes in IS or other relevant explanations</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F38982AB-1DE6-4680-B502-349DAE169E1E}">
      <text>
        <r>
          <rPr>
            <b/>
            <sz val="9"/>
            <color indexed="81"/>
            <rFont val="Tahoma"/>
            <family val="2"/>
          </rPr>
          <t xml:space="preserve">Enter as a Negative Number
</t>
        </r>
      </text>
    </comment>
    <comment ref="A61" authorId="0" shapeId="0" xr:uid="{BBAE685B-C91D-45FF-8F74-6FC9C5155C26}">
      <text>
        <r>
          <rPr>
            <b/>
            <sz val="9"/>
            <color indexed="81"/>
            <rFont val="Tahoma"/>
            <family val="2"/>
          </rPr>
          <t>Use ALT+Ent to insert line breaks in the cell.  Foot note significant changes in BS or other relevant explanations</t>
        </r>
      </text>
    </comment>
    <comment ref="A79" authorId="0" shapeId="0" xr:uid="{00000000-0006-0000-1F00-00000C000000}">
      <text>
        <r>
          <rPr>
            <b/>
            <sz val="9"/>
            <color indexed="81"/>
            <rFont val="Tahoma"/>
            <family val="2"/>
          </rPr>
          <t>Use ALT+Ent to insert line breaks in the cell.  Foot note significant changes in BS or other relevant explanations</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D3BFE78B-E4D5-4A66-AD13-2B95D4E97296}">
      <text>
        <r>
          <rPr>
            <b/>
            <sz val="9"/>
            <color indexed="81"/>
            <rFont val="Tahoma"/>
            <family val="2"/>
          </rPr>
          <t>If additional officers comp/distributions are necessary to cover personal expenses, include it here.</t>
        </r>
      </text>
    </comment>
    <comment ref="A22" authorId="0" shapeId="0" xr:uid="{F85AB8D0-51C6-4DE1-9576-0AC4E0D92C0C}">
      <text>
        <r>
          <rPr>
            <b/>
            <sz val="9"/>
            <color indexed="81"/>
            <rFont val="Tahoma"/>
            <family val="2"/>
          </rPr>
          <t>Adjust for taxes, insurance, and other real estate expenses that may not have been accounted for in the spreads or projections</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0000000-0006-0000-2100-000001000000}">
      <text>
        <r>
          <rPr>
            <b/>
            <sz val="9"/>
            <color indexed="81"/>
            <rFont val="Tahoma"/>
            <family val="2"/>
          </rPr>
          <t>Use ALT+Ent to insert line breaks in the cell.  Foot note significant changes in IS or other relevant explanations</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4B26AA1E-6448-4570-BE64-91270DC4279F}">
      <text>
        <r>
          <rPr>
            <b/>
            <sz val="9"/>
            <color indexed="81"/>
            <rFont val="Tahoma"/>
            <family val="2"/>
          </rPr>
          <t xml:space="preserve">Enter as a Negative Number
</t>
        </r>
      </text>
    </comment>
    <comment ref="A61" authorId="0" shapeId="0" xr:uid="{7168EC39-D1AB-4ED3-8494-7439747C551A}">
      <text>
        <r>
          <rPr>
            <b/>
            <sz val="9"/>
            <color indexed="81"/>
            <rFont val="Tahoma"/>
            <family val="2"/>
          </rPr>
          <t>Use ALT+Ent to insert line breaks in the cell.  Foot note significant changes in BS or other relevant explanations</t>
        </r>
      </text>
    </comment>
    <comment ref="A79" authorId="0" shapeId="0" xr:uid="{00000000-0006-0000-2200-00000C000000}">
      <text>
        <r>
          <rPr>
            <b/>
            <sz val="9"/>
            <color indexed="81"/>
            <rFont val="Tahoma"/>
            <family val="2"/>
          </rPr>
          <t>Use ALT+Ent to insert line breaks in the cell.  Foot note significant changes in BS or other relevant explanations</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8BF37D79-9795-4A9A-BB78-83A172B0BA41}">
      <text>
        <r>
          <rPr>
            <b/>
            <sz val="9"/>
            <color indexed="81"/>
            <rFont val="Tahoma"/>
            <family val="2"/>
          </rPr>
          <t>If additional officers comp/distributions are necessary to cover personal expenses, include it here.</t>
        </r>
      </text>
    </comment>
    <comment ref="A22" authorId="0" shapeId="0" xr:uid="{6C175BD6-265C-433C-B5C5-6AD0EB5FEF78}">
      <text>
        <r>
          <rPr>
            <b/>
            <sz val="9"/>
            <color indexed="81"/>
            <rFont val="Tahoma"/>
            <family val="2"/>
          </rPr>
          <t>Adjust for taxes, insurance, and other real estate expenses that may not have been accounted for in the spreads or projections</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DC138BBE-D254-4205-9A45-622AA00CB482}">
      <text>
        <r>
          <rPr>
            <b/>
            <sz val="9"/>
            <color indexed="81"/>
            <rFont val="Tahoma"/>
            <family val="2"/>
          </rPr>
          <t>Use ALT+Ent to insert line breaks in the cell.  Foot note significant changes in IS or other relevant explanations</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7F4503D4-0DCA-4CCA-9BFA-A323A175A559}">
      <text>
        <r>
          <rPr>
            <b/>
            <sz val="9"/>
            <color indexed="81"/>
            <rFont val="Tahoma"/>
            <family val="2"/>
          </rPr>
          <t xml:space="preserve">Enter as a Negative Number
</t>
        </r>
      </text>
    </comment>
    <comment ref="A61" authorId="0" shapeId="0" xr:uid="{7E1D0EB7-6366-413F-B221-4BE41B602CE6}">
      <text>
        <r>
          <rPr>
            <b/>
            <sz val="9"/>
            <color indexed="81"/>
            <rFont val="Tahoma"/>
            <family val="2"/>
          </rPr>
          <t>Use ALT+Ent to insert line breaks in the cell.  Foot note significant changes in BS or other relevant explanations</t>
        </r>
      </text>
    </comment>
    <comment ref="A79" authorId="0" shapeId="0" xr:uid="{54CB1EA3-CD49-4220-9CA8-3B52D6EF2A06}">
      <text>
        <r>
          <rPr>
            <b/>
            <sz val="9"/>
            <color indexed="81"/>
            <rFont val="Tahoma"/>
            <family val="2"/>
          </rPr>
          <t>Use ALT+Ent to insert line breaks in the cell.  Foot note significant changes in BS or other relevant explanations</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EE350EE5-8476-4F70-A3F2-A2C93B37B57B}">
      <text>
        <r>
          <rPr>
            <b/>
            <sz val="9"/>
            <color indexed="81"/>
            <rFont val="Tahoma"/>
            <family val="2"/>
          </rPr>
          <t>If additional officers comp/distributions are necessary to cover personal expenses, include it here.</t>
        </r>
      </text>
    </comment>
    <comment ref="A22" authorId="0" shapeId="0" xr:uid="{88707290-E6FB-45A1-BF8C-FDB785832AF8}">
      <text>
        <r>
          <rPr>
            <b/>
            <sz val="9"/>
            <color indexed="81"/>
            <rFont val="Tahoma"/>
            <family val="2"/>
          </rPr>
          <t>Adjust for taxes, insurance, and other real estate expenses that may not have been accounted for in the spreads or projections</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5BA365F5-CD91-4A16-B7DF-DE9E2E352F70}">
      <text>
        <r>
          <rPr>
            <b/>
            <sz val="9"/>
            <color indexed="81"/>
            <rFont val="Tahoma"/>
            <family val="2"/>
          </rPr>
          <t>Use ALT+Ent to insert line breaks in the cell.  Foot note significant changes in IS or other relevant explanations</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65988422-E445-441B-95B3-E571C452CCB4}">
      <text>
        <r>
          <rPr>
            <b/>
            <sz val="9"/>
            <color indexed="81"/>
            <rFont val="Tahoma"/>
            <family val="2"/>
          </rPr>
          <t xml:space="preserve">Enter as a Negative Number
</t>
        </r>
      </text>
    </comment>
    <comment ref="A61" authorId="0" shapeId="0" xr:uid="{61B0C3A1-5C87-412B-8373-E6C57F7418A9}">
      <text>
        <r>
          <rPr>
            <b/>
            <sz val="9"/>
            <color indexed="81"/>
            <rFont val="Tahoma"/>
            <family val="2"/>
          </rPr>
          <t>Use ALT+Ent to insert line breaks in the cell.  Foot note significant changes in BS or other relevant explanations</t>
        </r>
      </text>
    </comment>
    <comment ref="A79" authorId="0" shapeId="0" xr:uid="{2DC082B6-DEC6-4CC7-BFE6-793B7D7EEECC}">
      <text>
        <r>
          <rPr>
            <b/>
            <sz val="9"/>
            <color indexed="81"/>
            <rFont val="Tahoma"/>
            <family val="2"/>
          </rPr>
          <t>Use ALT+Ent to insert line breaks in the cell.  Foot note significant changes in BS or other relevant explanations</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5CBA0963-0A97-4D69-BDC3-0501E5623773}">
      <text>
        <r>
          <rPr>
            <b/>
            <sz val="9"/>
            <color indexed="81"/>
            <rFont val="Tahoma"/>
            <family val="2"/>
          </rPr>
          <t>If additional officers comp/distributions are necessary to cover personal expenses, include it here.</t>
        </r>
      </text>
    </comment>
    <comment ref="A22" authorId="0" shapeId="0" xr:uid="{416DEAF2-3460-47DD-94CA-D48E2BCC70DF}">
      <text>
        <r>
          <rPr>
            <b/>
            <sz val="9"/>
            <color indexed="81"/>
            <rFont val="Tahoma"/>
            <family val="2"/>
          </rPr>
          <t>Adjust for taxes, insurance, and other real estate expenses that may not have been accounted for in the spreads or projections</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6ED595D8-CBD0-4821-B89F-A3A969421FD2}">
      <text>
        <r>
          <rPr>
            <b/>
            <sz val="9"/>
            <color indexed="81"/>
            <rFont val="Tahoma"/>
            <family val="2"/>
          </rPr>
          <t>Use ALT+Ent to insert line breaks in the cell.  Foot note significant changes in IS or other relevant explanations</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80600B48-AE8D-4B57-8078-2AF3549621A5}">
      <text>
        <r>
          <rPr>
            <b/>
            <sz val="9"/>
            <color indexed="81"/>
            <rFont val="Tahoma"/>
            <family val="2"/>
          </rPr>
          <t xml:space="preserve">Enter as a Negative Number
</t>
        </r>
      </text>
    </comment>
    <comment ref="A61" authorId="0" shapeId="0" xr:uid="{16099B37-0F26-4631-8CC4-DDAD00F51E00}">
      <text>
        <r>
          <rPr>
            <b/>
            <sz val="9"/>
            <color indexed="81"/>
            <rFont val="Tahoma"/>
            <family val="2"/>
          </rPr>
          <t>Use ALT+Ent to insert line breaks in the cell.  Foot note significant changes in BS or other relevant explanations</t>
        </r>
      </text>
    </comment>
    <comment ref="A79" authorId="0" shapeId="0" xr:uid="{8E798272-1529-493E-9D88-114BE296BBC2}">
      <text>
        <r>
          <rPr>
            <b/>
            <sz val="9"/>
            <color indexed="81"/>
            <rFont val="Tahoma"/>
            <family val="2"/>
          </rPr>
          <t>Use ALT+Ent to insert line breaks in the cell.  Foot note significant changes in BS or other relevant explanations</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12C12ED7-D464-479D-B115-8C554C191EF2}">
      <text>
        <r>
          <rPr>
            <b/>
            <sz val="9"/>
            <color indexed="81"/>
            <rFont val="Tahoma"/>
            <family val="2"/>
          </rPr>
          <t>If additional officers comp/distributions are necessary to cover personal expenses, include it here.</t>
        </r>
      </text>
    </comment>
    <comment ref="A22" authorId="0" shapeId="0" xr:uid="{6E7C595B-836C-4637-A511-55A8F30D57C1}">
      <text>
        <r>
          <rPr>
            <b/>
            <sz val="9"/>
            <color indexed="81"/>
            <rFont val="Tahoma"/>
            <family val="2"/>
          </rPr>
          <t>Adjust for taxes, insurance, and other real estate expenses that may not have been accounted for in the spreads or projections</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DB7A4478-A666-4A03-9D1C-566B6C538F90}">
      <text>
        <r>
          <rPr>
            <b/>
            <sz val="9"/>
            <color indexed="81"/>
            <rFont val="Tahoma"/>
            <family val="2"/>
          </rPr>
          <t>Use ALT+Ent to insert line breaks in the cell.  Foot note significant changes in IS or other relevant explanations</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1AE7260D-2355-455C-AE31-9CFC2FD349BF}">
      <text>
        <r>
          <rPr>
            <b/>
            <sz val="9"/>
            <color indexed="81"/>
            <rFont val="Tahoma"/>
            <family val="2"/>
          </rPr>
          <t xml:space="preserve">Enter as a Negative Number
</t>
        </r>
      </text>
    </comment>
    <comment ref="A61" authorId="0" shapeId="0" xr:uid="{6234871D-02D0-47A0-BF24-58902EF12361}">
      <text>
        <r>
          <rPr>
            <b/>
            <sz val="9"/>
            <color indexed="81"/>
            <rFont val="Tahoma"/>
            <family val="2"/>
          </rPr>
          <t>Use ALT+Ent to insert line breaks in the cell.  Foot note significant changes in BS or other relevant explanations</t>
        </r>
      </text>
    </comment>
    <comment ref="A79" authorId="0" shapeId="0" xr:uid="{6D8294F0-D52D-4D38-89E6-C50462D938C4}">
      <text>
        <r>
          <rPr>
            <b/>
            <sz val="9"/>
            <color indexed="81"/>
            <rFont val="Tahoma"/>
            <family val="2"/>
          </rPr>
          <t>Use ALT+Ent to insert line breaks in the cell.  Foot note significant changes in BS or other relevant explanations</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9B30197D-015A-4D95-9B5F-06C888A559C2}">
      <text>
        <r>
          <rPr>
            <b/>
            <sz val="9"/>
            <color indexed="81"/>
            <rFont val="Tahoma"/>
            <family val="2"/>
          </rPr>
          <t>If additional officers comp/distributions are necessary to cover personal expenses, include it here.</t>
        </r>
      </text>
    </comment>
    <comment ref="A22" authorId="0" shapeId="0" xr:uid="{66D90A0F-2AF0-46AB-9C8B-58F4D4475919}">
      <text>
        <r>
          <rPr>
            <b/>
            <sz val="9"/>
            <color indexed="81"/>
            <rFont val="Tahoma"/>
            <family val="2"/>
          </rPr>
          <t>Adjust for taxes, insurance, and other real estate expenses that may not have been accounted for in the spreads or projections</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EA50DD8C-D7E6-4B24-8DC3-873FAC60CBA5}">
      <text>
        <r>
          <rPr>
            <b/>
            <sz val="9"/>
            <color indexed="81"/>
            <rFont val="Tahoma"/>
            <family val="2"/>
          </rPr>
          <t>Use ALT+Ent to insert line breaks in the cell.  Foot note significant changes in IS or other relevant explanations</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72F4367B-9BC2-4E64-B4A5-532C9141A7B5}">
      <text>
        <r>
          <rPr>
            <b/>
            <sz val="9"/>
            <color indexed="81"/>
            <rFont val="Tahoma"/>
            <family val="2"/>
          </rPr>
          <t xml:space="preserve">Enter as a Negative Number
</t>
        </r>
      </text>
    </comment>
    <comment ref="A61" authorId="0" shapeId="0" xr:uid="{9A547261-38DC-4C70-85C1-58FE7AEB7D9D}">
      <text>
        <r>
          <rPr>
            <b/>
            <sz val="9"/>
            <color indexed="81"/>
            <rFont val="Tahoma"/>
            <family val="2"/>
          </rPr>
          <t>Use ALT+Ent to insert line breaks in the cell.  Foot note significant changes in BS or other relevant explanations</t>
        </r>
      </text>
    </comment>
    <comment ref="A79" authorId="0" shapeId="0" xr:uid="{6E52FDA6-963D-4206-8D1F-997530445AEB}">
      <text>
        <r>
          <rPr>
            <b/>
            <sz val="9"/>
            <color indexed="81"/>
            <rFont val="Tahoma"/>
            <family val="2"/>
          </rPr>
          <t>Use ALT+Ent to insert line breaks in the cell.  Foot note significant changes in BS or other relevant explanations</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0FEAC215-1BF0-4753-BB21-41B86E423FA0}">
      <text>
        <r>
          <rPr>
            <b/>
            <sz val="9"/>
            <color indexed="81"/>
            <rFont val="Tahoma"/>
            <family val="2"/>
          </rPr>
          <t>If additional officers comp/distributions are necessary to cover personal expenses, include it here.</t>
        </r>
      </text>
    </comment>
    <comment ref="A22" authorId="0" shapeId="0" xr:uid="{3C72F5C3-3717-472B-96AC-ECFDB99AEBC4}">
      <text>
        <r>
          <rPr>
            <b/>
            <sz val="9"/>
            <color indexed="81"/>
            <rFont val="Tahoma"/>
            <family val="2"/>
          </rPr>
          <t>Adjust for taxes, insurance, and other real estate expenses that may not have been accounted for in the spreads or projections</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8FC16114-9272-4447-82EB-A7F769D12294}">
      <text>
        <r>
          <rPr>
            <b/>
            <sz val="9"/>
            <color indexed="81"/>
            <rFont val="Tahoma"/>
            <family val="2"/>
          </rPr>
          <t>Use ALT+Ent to insert line breaks in the cell.  Foot note significant changes in IS or other relevant explanations</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387957ED-E4EF-4F33-B393-D9C6EF2A58F3}">
      <text>
        <r>
          <rPr>
            <b/>
            <sz val="9"/>
            <color indexed="81"/>
            <rFont val="Tahoma"/>
            <family val="2"/>
          </rPr>
          <t xml:space="preserve">Enter as a Negative Number
</t>
        </r>
      </text>
    </comment>
    <comment ref="A61" authorId="0" shapeId="0" xr:uid="{11E24918-CBBB-412B-BCBD-936222A339BB}">
      <text>
        <r>
          <rPr>
            <b/>
            <sz val="9"/>
            <color indexed="81"/>
            <rFont val="Tahoma"/>
            <family val="2"/>
          </rPr>
          <t>Use ALT+Ent to insert line breaks in the cell.  Foot note significant changes in BS or other relevant explanations</t>
        </r>
      </text>
    </comment>
    <comment ref="A79" authorId="0" shapeId="0" xr:uid="{87682E8D-5903-4E30-B2C0-D8FE4C5AE034}">
      <text>
        <r>
          <rPr>
            <b/>
            <sz val="9"/>
            <color indexed="81"/>
            <rFont val="Tahoma"/>
            <family val="2"/>
          </rPr>
          <t>Use ALT+Ent to insert line breaks in the cell.  Foot note significant changes in BS or other relevant explanations</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03D5DFAA-E82A-45DA-88AC-F70077845721}">
      <text>
        <r>
          <rPr>
            <b/>
            <sz val="9"/>
            <color indexed="81"/>
            <rFont val="Tahoma"/>
            <family val="2"/>
          </rPr>
          <t>If additional officers comp/distributions are necessary to cover personal expenses, include it here.</t>
        </r>
      </text>
    </comment>
    <comment ref="A22" authorId="0" shapeId="0" xr:uid="{619DB712-BDE5-486D-BE4E-1737126BCCD3}">
      <text>
        <r>
          <rPr>
            <b/>
            <sz val="9"/>
            <color indexed="81"/>
            <rFont val="Tahoma"/>
            <family val="2"/>
          </rPr>
          <t>Adjust for taxes, insurance, and other real estate expenses that may not have been accounted for in the spreads or projections</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96722BA7-8E7E-468C-88A8-E0D2D68965C0}">
      <text>
        <r>
          <rPr>
            <b/>
            <sz val="9"/>
            <color indexed="81"/>
            <rFont val="Tahoma"/>
            <family val="2"/>
          </rPr>
          <t>Use ALT+Ent to insert line breaks in the cell.  Foot note significant changes in IS or other relevant explanations</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C13351CB-306D-4267-B0EF-5586255E6779}">
      <text>
        <r>
          <rPr>
            <b/>
            <sz val="9"/>
            <color indexed="81"/>
            <rFont val="Tahoma"/>
            <family val="2"/>
          </rPr>
          <t xml:space="preserve">Enter as a Negative Number
</t>
        </r>
      </text>
    </comment>
    <comment ref="A61" authorId="0" shapeId="0" xr:uid="{BCCD9933-CB5E-4F62-B6E2-B364D8A46EB3}">
      <text>
        <r>
          <rPr>
            <b/>
            <sz val="9"/>
            <color indexed="81"/>
            <rFont val="Tahoma"/>
            <family val="2"/>
          </rPr>
          <t>Use ALT+Ent to insert line breaks in the cell.  Foot note significant changes in BS or other relevant explanations</t>
        </r>
      </text>
    </comment>
    <comment ref="A79" authorId="0" shapeId="0" xr:uid="{15402AD4-8B1E-4692-B0DD-54A194159BA3}">
      <text>
        <r>
          <rPr>
            <b/>
            <sz val="9"/>
            <color indexed="81"/>
            <rFont val="Tahoma"/>
            <family val="2"/>
          </rPr>
          <t>Use ALT+Ent to insert line breaks in the cell.  Foot note significant changes in BS or other relevant explanations</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CA67B665-5710-4B2F-8B44-BB02D6877359}">
      <text>
        <r>
          <rPr>
            <b/>
            <sz val="9"/>
            <color indexed="81"/>
            <rFont val="Tahoma"/>
            <family val="2"/>
          </rPr>
          <t>If additional officers comp/distributions are necessary to cover personal expenses, include it here.</t>
        </r>
      </text>
    </comment>
    <comment ref="A22" authorId="0" shapeId="0" xr:uid="{0B42F73F-EFCF-4301-B24A-A5B7F61FDD74}">
      <text>
        <r>
          <rPr>
            <b/>
            <sz val="9"/>
            <color indexed="81"/>
            <rFont val="Tahoma"/>
            <family val="2"/>
          </rPr>
          <t>Adjust for taxes, insurance, and other real estate expenses that may not have been accounted for in the spreads or projections</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039BD757-812A-4022-B24B-9B071F02FCD3}">
      <text>
        <r>
          <rPr>
            <b/>
            <sz val="9"/>
            <color indexed="81"/>
            <rFont val="Tahoma"/>
            <family val="2"/>
          </rPr>
          <t>Use ALT+Ent to insert line breaks in the cell.  Foot note significant changes in IS or other relevant explanations</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270C2CB1-EB44-4336-BE08-20AE49FE2DFC}">
      <text>
        <r>
          <rPr>
            <b/>
            <sz val="9"/>
            <color indexed="81"/>
            <rFont val="Tahoma"/>
            <family val="2"/>
          </rPr>
          <t xml:space="preserve">Enter as a Negative Number
</t>
        </r>
      </text>
    </comment>
    <comment ref="A61" authorId="0" shapeId="0" xr:uid="{CB8497CC-F5F1-4B94-AA3F-0009313A2603}">
      <text>
        <r>
          <rPr>
            <b/>
            <sz val="9"/>
            <color indexed="81"/>
            <rFont val="Tahoma"/>
            <family val="2"/>
          </rPr>
          <t>Use ALT+Ent to insert line breaks in the cell.  Foot note significant changes in BS or other relevant explanations</t>
        </r>
      </text>
    </comment>
    <comment ref="A79" authorId="0" shapeId="0" xr:uid="{1E5B6E8A-484D-47BE-BC9F-1DAEA5E79289}">
      <text>
        <r>
          <rPr>
            <b/>
            <sz val="9"/>
            <color indexed="81"/>
            <rFont val="Tahoma"/>
            <family val="2"/>
          </rPr>
          <t>Use ALT+Ent to insert line breaks in the cell.  Foot note significant changes in BS or other relevant explanations</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3874370A-C5FC-436D-BD86-6F57BD5AC17F}">
      <text>
        <r>
          <rPr>
            <b/>
            <sz val="9"/>
            <color indexed="81"/>
            <rFont val="Tahoma"/>
            <family val="2"/>
          </rPr>
          <t>If additional officers comp/distributions are necessary to cover personal expenses, include it here.</t>
        </r>
      </text>
    </comment>
    <comment ref="A22" authorId="0" shapeId="0" xr:uid="{5CDA8550-C1BF-4783-A717-1494EAF2488A}">
      <text>
        <r>
          <rPr>
            <b/>
            <sz val="9"/>
            <color indexed="81"/>
            <rFont val="Tahoma"/>
            <family val="2"/>
          </rPr>
          <t>Adjust for taxes, insurance, and other real estate expenses that may not have been accounted for in the spreads or projections</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A3735A42-71F5-412A-B333-6E22C1077D1F}">
      <text>
        <r>
          <rPr>
            <b/>
            <sz val="9"/>
            <color indexed="81"/>
            <rFont val="Tahoma"/>
            <family val="2"/>
          </rPr>
          <t>Use ALT+Ent to insert line breaks in the cell.  Foot note significant changes in IS or other relevant explanations</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79F9ADE3-8849-4B88-B17B-BC998C242F5D}">
      <text>
        <r>
          <rPr>
            <b/>
            <sz val="9"/>
            <color indexed="81"/>
            <rFont val="Tahoma"/>
            <family val="2"/>
          </rPr>
          <t xml:space="preserve">Enter as a Negative Number
</t>
        </r>
      </text>
    </comment>
    <comment ref="A61" authorId="0" shapeId="0" xr:uid="{00D50346-4B6E-4750-86F5-8E29887E9603}">
      <text>
        <r>
          <rPr>
            <b/>
            <sz val="9"/>
            <color indexed="81"/>
            <rFont val="Tahoma"/>
            <family val="2"/>
          </rPr>
          <t>Use ALT+Ent to insert line breaks in the cell.  Foot note significant changes in BS or other relevant explanations</t>
        </r>
      </text>
    </comment>
    <comment ref="A79" authorId="0" shapeId="0" xr:uid="{96820AA2-15EC-4619-B681-6F7F12AB1043}">
      <text>
        <r>
          <rPr>
            <b/>
            <sz val="9"/>
            <color indexed="81"/>
            <rFont val="Tahoma"/>
            <family val="2"/>
          </rPr>
          <t>Use ALT+Ent to insert line breaks in the cell.  Foot note significant changes in BS or other relevant explanations</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3580015A-9BA9-4626-BFCF-FF1988DF8D3D}">
      <text>
        <r>
          <rPr>
            <b/>
            <sz val="9"/>
            <color indexed="81"/>
            <rFont val="Tahoma"/>
            <family val="2"/>
          </rPr>
          <t>If additional officers comp/distributions are necessary to cover personal expenses, include it here.</t>
        </r>
      </text>
    </comment>
    <comment ref="A22" authorId="0" shapeId="0" xr:uid="{88054CA0-4181-4542-900E-2E0CF6E64FA9}">
      <text>
        <r>
          <rPr>
            <b/>
            <sz val="9"/>
            <color indexed="81"/>
            <rFont val="Tahoma"/>
            <family val="2"/>
          </rPr>
          <t>Adjust for taxes, insurance, and other real estate expenses that may not have been accounted for in the spreads or projections</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126C2196-C6A8-4ED4-A0D1-20C332B74B17}">
      <text>
        <r>
          <rPr>
            <b/>
            <sz val="9"/>
            <color indexed="81"/>
            <rFont val="Tahoma"/>
            <family val="2"/>
          </rPr>
          <t>Use ALT+Ent to insert line breaks in the cell.  Foot note significant changes in IS or other relevant explanations</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72139F73-4B10-4CDD-9EDA-057487A33830}">
      <text>
        <r>
          <rPr>
            <b/>
            <sz val="9"/>
            <color indexed="81"/>
            <rFont val="Tahoma"/>
            <family val="2"/>
          </rPr>
          <t xml:space="preserve">Enter as a Negative Number
</t>
        </r>
      </text>
    </comment>
    <comment ref="A61" authorId="0" shapeId="0" xr:uid="{B7DE0347-D8A5-4E9A-8BF4-43B61A76F974}">
      <text>
        <r>
          <rPr>
            <b/>
            <sz val="9"/>
            <color indexed="81"/>
            <rFont val="Tahoma"/>
            <family val="2"/>
          </rPr>
          <t>Use ALT+Ent to insert line breaks in the cell.  Foot note significant changes in BS or other relevant explanations</t>
        </r>
      </text>
    </comment>
    <comment ref="A79" authorId="0" shapeId="0" xr:uid="{7832C801-F108-4EFD-991D-395C00810336}">
      <text>
        <r>
          <rPr>
            <b/>
            <sz val="9"/>
            <color indexed="81"/>
            <rFont val="Tahoma"/>
            <family val="2"/>
          </rPr>
          <t>Use ALT+Ent to insert line breaks in the cell.  Foot note significant changes in BS or other relevant explanations</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4834B08E-BD7D-4B8D-84C6-FE1A260823B6}">
      <text>
        <r>
          <rPr>
            <b/>
            <sz val="9"/>
            <color indexed="81"/>
            <rFont val="Tahoma"/>
            <family val="2"/>
          </rPr>
          <t>If additional officers comp/distributions are necessary to cover personal expenses, include it here.</t>
        </r>
      </text>
    </comment>
    <comment ref="A22" authorId="0" shapeId="0" xr:uid="{710CC611-2761-4FD0-B1E3-0331C8C4A3E2}">
      <text>
        <r>
          <rPr>
            <b/>
            <sz val="9"/>
            <color indexed="81"/>
            <rFont val="Tahoma"/>
            <family val="2"/>
          </rPr>
          <t>Adjust for taxes, insurance, and other real estate expenses that may not have been accounted for in the spreads or projections</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97CFDF57-9100-47B4-9FB5-201853AFCADE}">
      <text>
        <r>
          <rPr>
            <b/>
            <sz val="9"/>
            <color indexed="81"/>
            <rFont val="Tahoma"/>
            <family val="2"/>
          </rPr>
          <t>Use ALT+Ent to insert line breaks in the cell.  Foot note significant changes in IS or other relevant explanations</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E1ABA6AA-26B0-4553-B8DC-E6A0FCDBF188}">
      <text>
        <r>
          <rPr>
            <b/>
            <sz val="9"/>
            <color indexed="81"/>
            <rFont val="Tahoma"/>
            <family val="2"/>
          </rPr>
          <t xml:space="preserve">Enter as a Negative Number
</t>
        </r>
      </text>
    </comment>
    <comment ref="A61" authorId="0" shapeId="0" xr:uid="{EE407C8E-B8CD-4040-8B67-5E73C4D4484E}">
      <text>
        <r>
          <rPr>
            <b/>
            <sz val="9"/>
            <color indexed="81"/>
            <rFont val="Tahoma"/>
            <family val="2"/>
          </rPr>
          <t>Use ALT+Ent to insert line breaks in the cell.  Foot note significant changes in BS or other relevant explanations</t>
        </r>
      </text>
    </comment>
    <comment ref="A79" authorId="0" shapeId="0" xr:uid="{1B007D48-E0DE-44F0-AD77-465FC1BF34C4}">
      <text>
        <r>
          <rPr>
            <b/>
            <sz val="9"/>
            <color indexed="81"/>
            <rFont val="Tahoma"/>
            <family val="2"/>
          </rPr>
          <t>Use ALT+Ent to insert line breaks in the cell.  Foot note significant changes in BS or other relevant explanations</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31228C87-DB54-42D6-81EF-5164CC9AA406}">
      <text>
        <r>
          <rPr>
            <b/>
            <sz val="9"/>
            <color indexed="81"/>
            <rFont val="Tahoma"/>
            <family val="2"/>
          </rPr>
          <t>If additional officers comp/distributions are necessary to cover personal expenses, include it here.</t>
        </r>
      </text>
    </comment>
    <comment ref="A22" authorId="0" shapeId="0" xr:uid="{6FA61A2F-1C26-4D8C-AB9C-5E9CAA905AB9}">
      <text>
        <r>
          <rPr>
            <b/>
            <sz val="9"/>
            <color indexed="81"/>
            <rFont val="Tahoma"/>
            <family val="2"/>
          </rPr>
          <t>Adjust for taxes, insurance, and other real estate expenses that may not have been accounted for in the spreads or projections</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A79143F8-66E2-481F-B1B4-F50B09B5BF03}">
      <text>
        <r>
          <rPr>
            <b/>
            <sz val="9"/>
            <color indexed="81"/>
            <rFont val="Tahoma"/>
            <family val="2"/>
          </rPr>
          <t>Use ALT+Ent to insert line breaks in the cell.  Foot note significant changes in IS or other relevant explanations</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011FD3A3-4866-4EFB-A667-DB8DB281822A}">
      <text>
        <r>
          <rPr>
            <b/>
            <sz val="9"/>
            <color indexed="81"/>
            <rFont val="Tahoma"/>
            <family val="2"/>
          </rPr>
          <t xml:space="preserve">Enter as a Negative Number
</t>
        </r>
      </text>
    </comment>
    <comment ref="A61" authorId="0" shapeId="0" xr:uid="{942EC549-6B27-4640-8642-EC718E7CFB09}">
      <text>
        <r>
          <rPr>
            <b/>
            <sz val="9"/>
            <color indexed="81"/>
            <rFont val="Tahoma"/>
            <family val="2"/>
          </rPr>
          <t>Use ALT+Ent to insert line breaks in the cell.  Foot note significant changes in BS or other relevant explanations</t>
        </r>
      </text>
    </comment>
    <comment ref="A79" authorId="0" shapeId="0" xr:uid="{3F9FEEF4-488D-415E-A29D-EACBD49C4419}">
      <text>
        <r>
          <rPr>
            <b/>
            <sz val="9"/>
            <color indexed="81"/>
            <rFont val="Tahoma"/>
            <family val="2"/>
          </rPr>
          <t>Use ALT+Ent to insert line breaks in the cell.  Foot note significant changes in BS or other relevant explanations</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7DFB5121-3C8C-42A3-8905-3CDF13A1F6E4}">
      <text>
        <r>
          <rPr>
            <b/>
            <sz val="9"/>
            <color indexed="81"/>
            <rFont val="Tahoma"/>
            <family val="2"/>
          </rPr>
          <t>If additional officers comp/distributions are necessary to cover personal expenses, include it here.</t>
        </r>
      </text>
    </comment>
    <comment ref="A22" authorId="0" shapeId="0" xr:uid="{06EDFAC5-6AAD-4625-BB6B-F56CBBEB84B3}">
      <text>
        <r>
          <rPr>
            <b/>
            <sz val="9"/>
            <color indexed="81"/>
            <rFont val="Tahoma"/>
            <family val="2"/>
          </rPr>
          <t>Adjust for taxes, insurance, and other real estate expenses that may not have been accounted for in the spreads or projections</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B66" authorId="0" shapeId="0" xr:uid="{7112DF3A-5151-40DC-919A-9B9ED105C37F}">
      <text>
        <r>
          <rPr>
            <b/>
            <sz val="9"/>
            <color indexed="81"/>
            <rFont val="Tahoma"/>
            <family val="2"/>
          </rPr>
          <t>Use ALT+Ent to insert line breaks in the cell.  Foot note significant changes in IS or other relevant explanations</t>
        </r>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4" authorId="0" shapeId="0" xr:uid="{871AC887-8DD9-42BB-BC09-D8C489AAF815}">
      <text>
        <r>
          <rPr>
            <b/>
            <sz val="9"/>
            <color indexed="81"/>
            <rFont val="Tahoma"/>
            <family val="2"/>
          </rPr>
          <t xml:space="preserve">Enter as a Negative Number
</t>
        </r>
      </text>
    </comment>
    <comment ref="A61" authorId="0" shapeId="0" xr:uid="{E12D7EBD-01CA-41A5-ACAF-2CFE04D68C18}">
      <text>
        <r>
          <rPr>
            <b/>
            <sz val="9"/>
            <color indexed="81"/>
            <rFont val="Tahoma"/>
            <family val="2"/>
          </rPr>
          <t>Use ALT+Ent to insert line breaks in the cell.  Foot note significant changes in BS or other relevant explanations</t>
        </r>
      </text>
    </comment>
    <comment ref="A79" authorId="0" shapeId="0" xr:uid="{734FC9AE-F01C-4F48-88DB-0CA624271A72}">
      <text>
        <r>
          <rPr>
            <b/>
            <sz val="9"/>
            <color indexed="81"/>
            <rFont val="Tahoma"/>
            <family val="2"/>
          </rPr>
          <t>Use ALT+Ent to insert line breaks in the cell.  Foot note significant changes in BS or other relevant explanations</t>
        </r>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Bill Woodard</author>
  </authors>
  <commentList>
    <comment ref="A21" authorId="0" shapeId="0" xr:uid="{247782E2-4B9A-4377-9727-D47528C4A57A}">
      <text>
        <r>
          <rPr>
            <b/>
            <sz val="9"/>
            <color indexed="81"/>
            <rFont val="Tahoma"/>
            <family val="2"/>
          </rPr>
          <t>If additional officers comp/distributions are necessary to cover personal expenses, include it here.</t>
        </r>
      </text>
    </comment>
    <comment ref="A22" authorId="0" shapeId="0" xr:uid="{6B3860F9-CBB2-473F-83E4-5E5C8D3A72C1}">
      <text>
        <r>
          <rPr>
            <b/>
            <sz val="9"/>
            <color indexed="81"/>
            <rFont val="Tahoma"/>
            <family val="2"/>
          </rPr>
          <t>Adjust for taxes, insurance, and other real estate expenses that may not have been accounted for in the spreads or projections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<sst xmlns="http://schemas.openxmlformats.org/spreadsheetml/2006/main" count="9185" uniqueCount="2084">
  <si>
    <t>Table of Contents</t>
  </si>
  <si>
    <t>BDO Prequal</t>
  </si>
  <si>
    <t>Scores</t>
  </si>
  <si>
    <t>Wksht Print Separately</t>
  </si>
  <si>
    <t>UOP</t>
  </si>
  <si>
    <t>UOP (2)</t>
  </si>
  <si>
    <t>Memo Grid</t>
  </si>
  <si>
    <t>Memo Grid 504</t>
  </si>
  <si>
    <t>Coll</t>
  </si>
  <si>
    <t>Coll (2)</t>
  </si>
  <si>
    <t>Ratios</t>
  </si>
  <si>
    <t>Hist IS and Proj</t>
  </si>
  <si>
    <t>Cash Flow</t>
  </si>
  <si>
    <t>Debt Sch</t>
  </si>
  <si>
    <t>Break Even</t>
  </si>
  <si>
    <t>Global CF</t>
  </si>
  <si>
    <t>Hist BS</t>
  </si>
  <si>
    <t>Pro-forma</t>
  </si>
  <si>
    <t>WC Analysis</t>
  </si>
  <si>
    <t>Biz Val Internal</t>
  </si>
  <si>
    <t>EPC IS</t>
  </si>
  <si>
    <t>EPC BS</t>
  </si>
  <si>
    <t>EPC CF</t>
  </si>
  <si>
    <t>Per Need 1</t>
  </si>
  <si>
    <t>PFS 1</t>
  </si>
  <si>
    <t>Per RE 1</t>
  </si>
  <si>
    <t>Per Need 2</t>
  </si>
  <si>
    <t>PFS 2</t>
  </si>
  <si>
    <t>Per RE 2</t>
  </si>
  <si>
    <t>Per Need 3</t>
  </si>
  <si>
    <t>PFS 3</t>
  </si>
  <si>
    <t>Per RE 3</t>
  </si>
  <si>
    <t>Per Need 4</t>
  </si>
  <si>
    <t>PFS 4</t>
  </si>
  <si>
    <t>Per RE 4</t>
  </si>
  <si>
    <t>SBA Elig</t>
  </si>
  <si>
    <t>EPC Elig</t>
  </si>
  <si>
    <t>SBA Debt Refi Elig</t>
  </si>
  <si>
    <t>Bus Acq Elig</t>
  </si>
  <si>
    <t>Aff 1 IS</t>
  </si>
  <si>
    <t>Aff 1 BS</t>
  </si>
  <si>
    <t>Aff 1 CF</t>
  </si>
  <si>
    <t>Aff 2 IS</t>
  </si>
  <si>
    <t>Aff 2 BS</t>
  </si>
  <si>
    <t>Aff 2 CF</t>
  </si>
  <si>
    <t>Aff 3 IS</t>
  </si>
  <si>
    <t>Aff 3 BS</t>
  </si>
  <si>
    <t>Aff 3 CF</t>
  </si>
  <si>
    <t>Aff 4 IS</t>
  </si>
  <si>
    <t>Aff 4 BS</t>
  </si>
  <si>
    <t>Aff 4 CF</t>
  </si>
  <si>
    <t>Aff 5 IS</t>
  </si>
  <si>
    <t>Aff 5 BS</t>
  </si>
  <si>
    <t>Aff 5 CF</t>
  </si>
  <si>
    <t>Aff 6 IS</t>
  </si>
  <si>
    <t>Aff 6 BS</t>
  </si>
  <si>
    <t>Aff 6 CF</t>
  </si>
  <si>
    <t>Aff 7 IS</t>
  </si>
  <si>
    <t>Aff 7 BS</t>
  </si>
  <si>
    <t>Aff 7 CF</t>
  </si>
  <si>
    <t>Aff 8 IS</t>
  </si>
  <si>
    <t>Aff 8 BS</t>
  </si>
  <si>
    <t>Aff 8 CF</t>
  </si>
  <si>
    <t>Aff 9 IS</t>
  </si>
  <si>
    <t>Aff 9 BS</t>
  </si>
  <si>
    <t>Aff 9 CF</t>
  </si>
  <si>
    <t>Aff 10 IS</t>
  </si>
  <si>
    <t>Aff 10 BS</t>
  </si>
  <si>
    <t>Aff 10 CF</t>
  </si>
  <si>
    <t>Aff 11 IS</t>
  </si>
  <si>
    <t>Aff 11 BS</t>
  </si>
  <si>
    <t>Aff 11 CF</t>
  </si>
  <si>
    <t>Aff 12 IS</t>
  </si>
  <si>
    <t>Aff 12 BS</t>
  </si>
  <si>
    <t>Aff 12 CF</t>
  </si>
  <si>
    <t>Aff 13 IS</t>
  </si>
  <si>
    <t>Aff 13 BS</t>
  </si>
  <si>
    <t>Aff 13 CF</t>
  </si>
  <si>
    <t>Aff 14 IS</t>
  </si>
  <si>
    <t>Aff 14 BS</t>
  </si>
  <si>
    <t>Aff 14 CF</t>
  </si>
  <si>
    <t>Aff 15 IS</t>
  </si>
  <si>
    <t>Aff 15 BS</t>
  </si>
  <si>
    <t>Aff 15 CF</t>
  </si>
  <si>
    <t>Aff 16 IS</t>
  </si>
  <si>
    <t>Aff 16 BS</t>
  </si>
  <si>
    <t>Aff 16 CF</t>
  </si>
  <si>
    <t>Aff 17 IS</t>
  </si>
  <si>
    <t>Aff 17 BS</t>
  </si>
  <si>
    <t>Aff 17 CF</t>
  </si>
  <si>
    <t>Aff 18 IS</t>
  </si>
  <si>
    <t>Aff 18 BS</t>
  </si>
  <si>
    <t>Aff 18 CF</t>
  </si>
  <si>
    <t>SBA Personal Resource Test</t>
  </si>
  <si>
    <t>Pmt Calcs</t>
  </si>
  <si>
    <t>Amort Sch</t>
  </si>
  <si>
    <t>Amort Sch (2)</t>
  </si>
  <si>
    <t>Lists</t>
  </si>
  <si>
    <t>Version</t>
  </si>
  <si>
    <t>Cameron Brewer</t>
  </si>
  <si>
    <t>Ownership %</t>
  </si>
  <si>
    <t>FICO</t>
  </si>
  <si>
    <t>Closing Costs</t>
  </si>
  <si>
    <t>Cost</t>
  </si>
  <si>
    <t>Total</t>
  </si>
  <si>
    <t>T Bank Loan</t>
  </si>
  <si>
    <t>Borrower</t>
  </si>
  <si>
    <t>3rd Party</t>
  </si>
  <si>
    <t>Product Type</t>
  </si>
  <si>
    <t>SBA 7a</t>
  </si>
  <si>
    <t>SBA Gty %</t>
  </si>
  <si>
    <t>Real Estate Tax Fee</t>
  </si>
  <si>
    <t>Base Rate</t>
  </si>
  <si>
    <t>Spread</t>
  </si>
  <si>
    <t>Packaging Fee</t>
  </si>
  <si>
    <t>Indicative Rate</t>
  </si>
  <si>
    <t>Survey</t>
  </si>
  <si>
    <t>Amortization Basis</t>
  </si>
  <si>
    <t>Actual/365</t>
  </si>
  <si>
    <t>Business Valuation</t>
  </si>
  <si>
    <t>Term (years)</t>
  </si>
  <si>
    <t>Amortization (mos)</t>
  </si>
  <si>
    <t>Estimated Pmt</t>
  </si>
  <si>
    <t>No</t>
  </si>
  <si>
    <t>Origination Fee</t>
  </si>
  <si>
    <t>Sources and Uses of Proceeds</t>
  </si>
  <si>
    <t>SBA Guaranty %</t>
  </si>
  <si>
    <t>Seller/Other</t>
  </si>
  <si>
    <t>3rd Party/CDC Loan</t>
  </si>
  <si>
    <t>SBA Term (yrs)</t>
  </si>
  <si>
    <t>%</t>
  </si>
  <si>
    <t>Wgt</t>
  </si>
  <si>
    <t>If there has been a previous SBA 7a loan funded within the last 90 days, enter loan amount and guaranty %.</t>
  </si>
  <si>
    <t>Direct Project Costs</t>
  </si>
  <si>
    <t>Previous Loan Amount</t>
  </si>
  <si>
    <t>Real Estate Acquisition</t>
  </si>
  <si>
    <t>Previous Guaranty %</t>
  </si>
  <si>
    <t>Debt Refi - CRE</t>
  </si>
  <si>
    <t>SBA Guaranty Fee Calculation</t>
  </si>
  <si>
    <t>Debt Refi - Non-CRE</t>
  </si>
  <si>
    <t>T Bank SBA Loan</t>
  </si>
  <si>
    <t>Previous SBA Loan Within 90 Days</t>
  </si>
  <si>
    <t>Two Loans Combined</t>
  </si>
  <si>
    <t>Machinery &amp; Equipment</t>
  </si>
  <si>
    <t>Loan Amount</t>
  </si>
  <si>
    <t>Furniture &amp; Fixtures (TIs)</t>
  </si>
  <si>
    <t>Guaranteed Portion</t>
  </si>
  <si>
    <t>Inventory</t>
  </si>
  <si>
    <t>Guaranty Fee</t>
  </si>
  <si>
    <t>Working Capital</t>
  </si>
  <si>
    <t>Add'l Gty Fee</t>
  </si>
  <si>
    <t>Working Capital - Pre Opening</t>
  </si>
  <si>
    <t>Total Gty Fee (Rounded)</t>
  </si>
  <si>
    <t>Business Acquisition</t>
  </si>
  <si>
    <t>Franchise Fees</t>
  </si>
  <si>
    <t>Proposed Loan Amount</t>
  </si>
  <si>
    <t>Fee %</t>
  </si>
  <si>
    <t>Prior Loan Amount Calc</t>
  </si>
  <si>
    <t>Total Combined</t>
  </si>
  <si>
    <t>Construction Hard Costs</t>
  </si>
  <si>
    <t>&lt;</t>
  </si>
  <si>
    <t>Interim Interest Reserve</t>
  </si>
  <si>
    <t>Construction Contingency</t>
  </si>
  <si>
    <t>Other Construction Soft Costs</t>
  </si>
  <si>
    <t>Amount</t>
  </si>
  <si>
    <t>As of:</t>
  </si>
  <si>
    <t>Request 1</t>
  </si>
  <si>
    <t>504 Perm 1st</t>
  </si>
  <si>
    <t>Basis</t>
  </si>
  <si>
    <t>Interest Rate</t>
  </si>
  <si>
    <t>Term (mo)</t>
  </si>
  <si>
    <t>Amo (mo)</t>
  </si>
  <si>
    <t>Start Month</t>
  </si>
  <si>
    <t>End Month</t>
  </si>
  <si>
    <t># days</t>
  </si>
  <si>
    <t>Interest Rate Conversion</t>
  </si>
  <si>
    <t>Pmt</t>
  </si>
  <si>
    <t>Income Statement Spreads</t>
  </si>
  <si>
    <t>30/360</t>
  </si>
  <si>
    <t>{Insert business name which represents PSOR}</t>
  </si>
  <si>
    <t>Yes</t>
  </si>
  <si>
    <t>Actual/360</t>
  </si>
  <si>
    <t>Statement Date</t>
  </si>
  <si>
    <t>Months Covered</t>
  </si>
  <si>
    <t>Plus 1%</t>
  </si>
  <si>
    <t>Statement Type</t>
  </si>
  <si>
    <t>Tax Returns</t>
  </si>
  <si>
    <t>Internal</t>
  </si>
  <si>
    <t>Revenue Recognition</t>
  </si>
  <si>
    <t>REVENUE</t>
  </si>
  <si>
    <t>Revenue</t>
  </si>
  <si>
    <t>COGS</t>
  </si>
  <si>
    <t>Plus 2%</t>
  </si>
  <si>
    <t>Plus 3%</t>
  </si>
  <si>
    <t>Total Revenue</t>
  </si>
  <si>
    <t>Total COGS</t>
  </si>
  <si>
    <t>Total Gross Margin</t>
  </si>
  <si>
    <t>OPERATING EXPENSES</t>
  </si>
  <si>
    <t>Officer's Compensation</t>
  </si>
  <si>
    <t>Plus 4%</t>
  </si>
  <si>
    <t>Salaries &amp; Wages</t>
  </si>
  <si>
    <t>Repairs &amp; Maintenance</t>
  </si>
  <si>
    <t>Bad Debts</t>
  </si>
  <si>
    <t>Rents</t>
  </si>
  <si>
    <t>Taxes &amp; Licenses</t>
  </si>
  <si>
    <t>Interest</t>
  </si>
  <si>
    <t>Depreciation &amp; Amortization</t>
  </si>
  <si>
    <t>Advertising</t>
  </si>
  <si>
    <t>Pension, Profit Sharing</t>
  </si>
  <si>
    <t>Employee Benefits</t>
  </si>
  <si>
    <t>Insurance</t>
  </si>
  <si>
    <t>Utilities, Telephone, Cable, Internet</t>
  </si>
  <si>
    <t>Legal, Professional, Accounting</t>
  </si>
  <si>
    <t>Travel, Meals &amp; Entertainment</t>
  </si>
  <si>
    <t>Office Expenses &amp; Supplies</t>
  </si>
  <si>
    <t>Auto &amp;Truck Expense</t>
  </si>
  <si>
    <t>Bank Charges, Credit Card Expenses</t>
  </si>
  <si>
    <t>Dues &amp; Subscriptions</t>
  </si>
  <si>
    <t>Other</t>
  </si>
  <si>
    <t>Total Operating Expenses</t>
  </si>
  <si>
    <t>Ordinary Income</t>
  </si>
  <si>
    <t xml:space="preserve">Other Income  </t>
  </si>
  <si>
    <t>Other Expense</t>
  </si>
  <si>
    <t>Total Other Income (Expenses)</t>
  </si>
  <si>
    <t>Net Income Before Taxes</t>
  </si>
  <si>
    <t>Income Taxes</t>
  </si>
  <si>
    <t>NET INCOME AFTER TAXES</t>
  </si>
  <si>
    <t>Add Backs :</t>
  </si>
  <si>
    <t>+ - Other</t>
  </si>
  <si>
    <t xml:space="preserve">  - Required Owner's Draw</t>
  </si>
  <si>
    <t>Cash Available</t>
  </si>
  <si>
    <t>Existing Debt</t>
  </si>
  <si>
    <t>Proposed Loan 1</t>
  </si>
  <si>
    <t>Proposed Loan 2</t>
  </si>
  <si>
    <t>CDC Payment</t>
  </si>
  <si>
    <t>Seller Carry Note</t>
  </si>
  <si>
    <t>3rd Party Financing</t>
  </si>
  <si>
    <t>Total Debt</t>
  </si>
  <si>
    <t>DCR</t>
  </si>
  <si>
    <t>1% Stress Test DCR</t>
  </si>
  <si>
    <t>2% Stress Test DCR</t>
  </si>
  <si>
    <t>3% Stress Test DCR</t>
  </si>
  <si>
    <t>Global Debt Coverage</t>
  </si>
  <si>
    <t>Operating Cash Available</t>
  </si>
  <si>
    <t>Operating Debt Service</t>
  </si>
  <si>
    <t>Owner(s) 1</t>
  </si>
  <si>
    <t>Owner(s) 2</t>
  </si>
  <si>
    <t>Owner(s) 3</t>
  </si>
  <si>
    <t>Owner(s) 4</t>
  </si>
  <si>
    <t>Affiliate 1 Cash Available</t>
  </si>
  <si>
    <t>Affiliate 1 Debt Service</t>
  </si>
  <si>
    <t>Affiliate 2 Cash Available</t>
  </si>
  <si>
    <t>Affiliate 2 Debt Service</t>
  </si>
  <si>
    <t>Affiliate 3 Cash Available</t>
  </si>
  <si>
    <t>Affiliate 3 Debt Service</t>
  </si>
  <si>
    <t>Affiliate 4 Cash Available</t>
  </si>
  <si>
    <t>Affiliate 4 Debt Service</t>
  </si>
  <si>
    <t>Affiliate 5 Cash Available</t>
  </si>
  <si>
    <t>Affiliate 5 Debt Service</t>
  </si>
  <si>
    <t>Total Cash Available</t>
  </si>
  <si>
    <t>Total Debt Service</t>
  </si>
  <si>
    <t>Global DCR</t>
  </si>
  <si>
    <t>Business Debt Schedule</t>
  </si>
  <si>
    <t>Lender</t>
  </si>
  <si>
    <t>Current Balance</t>
  </si>
  <si>
    <t>Mthly Pmt</t>
  </si>
  <si>
    <t>Collateral</t>
  </si>
  <si>
    <t>Refinance?</t>
  </si>
  <si>
    <t>% of Loan</t>
  </si>
  <si>
    <t>Refi Pmt</t>
  </si>
  <si>
    <t>% Chg</t>
  </si>
  <si>
    <t>CF Debt Svc</t>
  </si>
  <si>
    <t>Reserved</t>
  </si>
  <si>
    <t>Curr Pmts on Debt to Be Refinanced</t>
  </si>
  <si>
    <t>Proposed Pmt:</t>
  </si>
  <si>
    <t>% Savings:</t>
  </si>
  <si>
    <t>Liquid Assets</t>
  </si>
  <si>
    <t>Annual Income Sources other than SBC:</t>
  </si>
  <si>
    <t>Spouses salary/pension</t>
  </si>
  <si>
    <t>Interest and Dividends</t>
  </si>
  <si>
    <t>Business Income (Sch C)</t>
  </si>
  <si>
    <t>Net Rental Income (Sch E)</t>
  </si>
  <si>
    <t>Social Security Income</t>
  </si>
  <si>
    <t>Other: (Income from Affiliate)</t>
  </si>
  <si>
    <t>Other: (alimony, ongoing capital gains)</t>
  </si>
  <si>
    <t>Total Annual Outside Income</t>
  </si>
  <si>
    <t>Fixed Monthly Expenses:</t>
  </si>
  <si>
    <t>Home/Primary Residence</t>
  </si>
  <si>
    <t>Other Mortgages</t>
  </si>
  <si>
    <t>Other Installment Loans</t>
  </si>
  <si>
    <t>Vehicle Loans</t>
  </si>
  <si>
    <t>Credit Cards</t>
  </si>
  <si>
    <t>Other:</t>
  </si>
  <si>
    <t>Total Fixed Monthly Expenses</t>
  </si>
  <si>
    <t>Annualized Monthly Fixed Expenses</t>
  </si>
  <si>
    <t>Debt Ratio prior to draw</t>
  </si>
  <si>
    <t>Calculated draw (Mo. Exp x2)</t>
  </si>
  <si>
    <r>
      <t xml:space="preserve">Monthly Expenses </t>
    </r>
    <r>
      <rPr>
        <b/>
        <i/>
        <sz val="12"/>
        <color theme="1"/>
        <rFont val="Calibri"/>
        <family val="2"/>
        <scheme val="minor"/>
      </rPr>
      <t>not</t>
    </r>
    <r>
      <rPr>
        <b/>
        <sz val="12"/>
        <color theme="1"/>
        <rFont val="Calibri"/>
        <family val="2"/>
        <scheme val="minor"/>
      </rPr>
      <t xml:space="preserve"> Doubled</t>
    </r>
  </si>
  <si>
    <t>Lifestyle Adjustment</t>
  </si>
  <si>
    <t>Alimony Payments</t>
  </si>
  <si>
    <t>Rental/Other Property Payments</t>
  </si>
  <si>
    <t>Personal Expenses per PIE</t>
  </si>
  <si>
    <t>Diff between calculated draw and PIE</t>
  </si>
  <si>
    <t>Total Annual Need</t>
  </si>
  <si>
    <t>Less Income from Outside Sources</t>
  </si>
  <si>
    <t>Total Required Draw from SBC</t>
  </si>
  <si>
    <t>Include Required Draw in CF?</t>
  </si>
  <si>
    <t>Collateral Analysis</t>
  </si>
  <si>
    <t>Collateral Summary</t>
  </si>
  <si>
    <t>Prop Type</t>
  </si>
  <si>
    <t>Valuation Method</t>
  </si>
  <si>
    <t xml:space="preserve">Address </t>
  </si>
  <si>
    <t>Gross Value</t>
  </si>
  <si>
    <t>Liquidation Value</t>
  </si>
  <si>
    <t>Discounted
 Value</t>
  </si>
  <si>
    <t>Senior Liens</t>
  </si>
  <si>
    <t>Liquidation 
Value</t>
  </si>
  <si>
    <t>Totals</t>
  </si>
  <si>
    <t>Gross LTV</t>
  </si>
  <si>
    <t>Net LTV</t>
  </si>
  <si>
    <t>Discounted Collateral Value</t>
  </si>
  <si>
    <t>Gross Coverage</t>
  </si>
  <si>
    <t>Net Coverage</t>
  </si>
  <si>
    <t>Gross Exposure Amount</t>
  </si>
  <si>
    <t>Life Insurance Required</t>
  </si>
  <si>
    <t>SBA Guarantee Amount</t>
  </si>
  <si>
    <t>Maximum Exposure</t>
  </si>
  <si>
    <t>N/A</t>
  </si>
  <si>
    <t>Loan Worksheet</t>
  </si>
  <si>
    <t>Zoho File Name</t>
  </si>
  <si>
    <t>Street Mailing Address</t>
  </si>
  <si>
    <t>City / State/ Zip + 4</t>
  </si>
  <si>
    <t>USPS Zip Code Lookup</t>
  </si>
  <si>
    <t>Site Address</t>
  </si>
  <si>
    <t>Loan/LTR of Cr #</t>
  </si>
  <si>
    <t>Branch #</t>
  </si>
  <si>
    <t>BDO</t>
  </si>
  <si>
    <t>Borr BSA Rating</t>
  </si>
  <si>
    <t>Start Up</t>
  </si>
  <si>
    <t>Risk Rating</t>
  </si>
  <si>
    <t>NAICS Code</t>
  </si>
  <si>
    <t>County Code</t>
  </si>
  <si>
    <t>State Code</t>
  </si>
  <si>
    <t>Tract Code</t>
  </si>
  <si>
    <t>MSA Code</t>
  </si>
  <si>
    <t>Tract Income Level</t>
  </si>
  <si>
    <t>CRA Rev</t>
  </si>
  <si>
    <t>Type of Business</t>
  </si>
  <si>
    <t>Exception Clearing Assignee</t>
  </si>
  <si>
    <t>Rev Dec Stress Test</t>
  </si>
  <si>
    <t>G/DSCR</t>
  </si>
  <si>
    <t>Primary Contact</t>
  </si>
  <si>
    <t>Primary Contact Phone</t>
  </si>
  <si>
    <t>Email</t>
  </si>
  <si>
    <t>Signer Name / Title</t>
  </si>
  <si>
    <t>Gross Amt Ln 1</t>
  </si>
  <si>
    <t>Gross Amt Ln 2</t>
  </si>
  <si>
    <t>New Funds</t>
  </si>
  <si>
    <t>Renewal</t>
  </si>
  <si>
    <t>Existing Loans</t>
  </si>
  <si>
    <t>Affiliated Loans</t>
  </si>
  <si>
    <t>ACH Debit Orig</t>
  </si>
  <si>
    <t>Less Part Sold</t>
  </si>
  <si>
    <t>Less SBA/USDA Gty Portion</t>
  </si>
  <si>
    <t>Less Cash Secured Portion</t>
  </si>
  <si>
    <t>Net Bank Exposure</t>
  </si>
  <si>
    <t>Request  1 Details</t>
  </si>
  <si>
    <t>Gross Amount Loan 1</t>
  </si>
  <si>
    <t>Bus Acq</t>
  </si>
  <si>
    <t>Refinance</t>
  </si>
  <si>
    <t>Request 1 Product Type</t>
  </si>
  <si>
    <t>Submission</t>
  </si>
  <si>
    <t>Facility Type</t>
  </si>
  <si>
    <t>Rate Type</t>
  </si>
  <si>
    <t>Rate Adjustment</t>
  </si>
  <si>
    <t>Other Detail</t>
  </si>
  <si>
    <t>Index as of</t>
  </si>
  <si>
    <t>Index</t>
  </si>
  <si>
    <t>Rate Floor</t>
  </si>
  <si>
    <t>Origination fee %</t>
  </si>
  <si>
    <t>Interim/Const Rate Type</t>
  </si>
  <si>
    <t>Interim/Const Index</t>
  </si>
  <si>
    <t>Term (yrs)</t>
  </si>
  <si>
    <t>Amortization (mths)</t>
  </si>
  <si>
    <t>Est Pmt</t>
  </si>
  <si>
    <t>Interest Only Period (Mths)</t>
  </si>
  <si>
    <t>Pre Payment Penalty</t>
  </si>
  <si>
    <t>Disbursement</t>
  </si>
  <si>
    <t>Call Code Const</t>
  </si>
  <si>
    <t>Referral Source Detail/Name</t>
  </si>
  <si>
    <t>Referral Fee  %</t>
  </si>
  <si>
    <t>Referral Fee  $</t>
  </si>
  <si>
    <t>Date Initial Rate Set (SBA Only)</t>
  </si>
  <si>
    <t>SBA Fee (504 only)</t>
  </si>
  <si>
    <t>MLA Act</t>
  </si>
  <si>
    <t>Franchise #</t>
  </si>
  <si>
    <t>Participant (If Appl)</t>
  </si>
  <si>
    <t>% Sold</t>
  </si>
  <si>
    <t>Part Fee</t>
  </si>
  <si>
    <t>ORIG and Current Loan Purpose</t>
  </si>
  <si>
    <t>Repayment Program</t>
  </si>
  <si>
    <t>Sources of Repayment</t>
  </si>
  <si>
    <t>Primary</t>
  </si>
  <si>
    <t>Secondary</t>
  </si>
  <si>
    <t>Tertiary</t>
  </si>
  <si>
    <t>Purchase Price</t>
  </si>
  <si>
    <t>Improvements</t>
  </si>
  <si>
    <t>Closing &amp; Other Costs</t>
  </si>
  <si>
    <t>Total Costs</t>
  </si>
  <si>
    <t>Date Flood Det.</t>
  </si>
  <si>
    <t>Flood Zone</t>
  </si>
  <si>
    <t>Call Code 
Owner Occupied</t>
  </si>
  <si>
    <t>Loan to Costs</t>
  </si>
  <si>
    <t>Date of Notice to Borr</t>
  </si>
  <si>
    <t>Property/Contents</t>
  </si>
  <si>
    <t>ZOHO #</t>
  </si>
  <si>
    <t>Value/Method</t>
  </si>
  <si>
    <t>BK/Appraisal</t>
  </si>
  <si>
    <t>B/Base % Amt</t>
  </si>
  <si>
    <t>Life Insurance Requirement</t>
  </si>
  <si>
    <t>HIGH LTV LOAN</t>
  </si>
  <si>
    <r>
      <t xml:space="preserve">Raw Land Regulatory  Maximum </t>
    </r>
    <r>
      <rPr>
        <u/>
        <sz val="11"/>
        <color theme="1"/>
        <rFont val="Calibri"/>
        <family val="2"/>
        <scheme val="minor"/>
      </rPr>
      <t>65% LTV</t>
    </r>
  </si>
  <si>
    <r>
      <t xml:space="preserve">Land Development Regulatory Maximum </t>
    </r>
    <r>
      <rPr>
        <u/>
        <sz val="11"/>
        <color theme="1"/>
        <rFont val="Calibri"/>
        <family val="2"/>
        <scheme val="minor"/>
      </rPr>
      <t>75% LTV</t>
    </r>
  </si>
  <si>
    <r>
      <t xml:space="preserve">Construction Commercial Non-Residential Regulatory Maximum </t>
    </r>
    <r>
      <rPr>
        <u/>
        <sz val="11"/>
        <color theme="1"/>
        <rFont val="Calibri"/>
        <family val="2"/>
        <scheme val="minor"/>
      </rPr>
      <t>80% LTV</t>
    </r>
  </si>
  <si>
    <t>Improved Property Regulatory Maximum 85% LTV</t>
  </si>
  <si>
    <t>Residential Interim Construction Regulatory Maximum 85% LTV</t>
  </si>
  <si>
    <r>
      <t xml:space="preserve">Residential Interim Construction Initial Lot Draw Regulatory Maximum </t>
    </r>
    <r>
      <rPr>
        <u/>
        <sz val="10"/>
        <color theme="1"/>
        <rFont val="Arial"/>
        <family val="2"/>
      </rPr>
      <t>75% LTV</t>
    </r>
  </si>
  <si>
    <t>Portion of the loan that exceeds supervisory LTV limit is equal to or less than the SBA guarantee amount</t>
  </si>
  <si>
    <t>HVADC</t>
  </si>
  <si>
    <t>If all three of the following criteria apply, mark this as a HVADC loan.</t>
  </si>
  <si>
    <t xml:space="preserve">Excluding one-four-family residential property single family dwelling units, duplex units, townhomes, condominium, and cooperative construction loans; </t>
  </si>
  <si>
    <t xml:space="preserve">Does this credit facility primarily finance or refinance the acquisition, development, or construction of real property? </t>
  </si>
  <si>
    <t xml:space="preserve">Is the purpose of this credit facility to provide financing to acquire, develop, or improve real property into income producing real property? </t>
  </si>
  <si>
    <r>
      <t>Is the repayment of this credit facility dependent upon the future income or sales proceeds from, or refinancing of this</t>
    </r>
    <r>
      <rPr>
        <b/>
        <sz val="10"/>
        <color theme="1"/>
        <rFont val="Arial"/>
        <family val="2"/>
      </rPr>
      <t xml:space="preserve"> </t>
    </r>
    <r>
      <rPr>
        <sz val="10"/>
        <color theme="1"/>
        <rFont val="Arial"/>
        <family val="2"/>
      </rPr>
      <t>real property?</t>
    </r>
    <r>
      <rPr>
        <b/>
        <sz val="10"/>
        <color theme="1"/>
        <rFont val="Arial"/>
        <family val="2"/>
      </rPr>
      <t xml:space="preserve"> </t>
    </r>
  </si>
  <si>
    <t>Request  2 Details</t>
  </si>
  <si>
    <t>Gross Amount Loan 2</t>
  </si>
  <si>
    <t>Expand/Collapse Request 2 Details</t>
  </si>
  <si>
    <t>Principals</t>
  </si>
  <si>
    <t>Principal Name</t>
  </si>
  <si>
    <t>Phone #</t>
  </si>
  <si>
    <t>Address</t>
  </si>
  <si>
    <t>DOB</t>
  </si>
  <si>
    <t>SSN</t>
  </si>
  <si>
    <t>As of</t>
  </si>
  <si>
    <t>Borr/Gtor Request 1?</t>
  </si>
  <si>
    <t>Gty Type</t>
  </si>
  <si>
    <t>Borr/Gtor Request 2?</t>
  </si>
  <si>
    <t>Comments:</t>
  </si>
  <si>
    <t>Expand/Collapse Principal 2</t>
  </si>
  <si>
    <t>Expand/Collapse Principal 3</t>
  </si>
  <si>
    <t>Expand/Collapse Principal 4</t>
  </si>
  <si>
    <t>Expand/Collapse Principal 5</t>
  </si>
  <si>
    <t>Expand/Collapse Principal 6</t>
  </si>
  <si>
    <t>Expand/Collapse Principal 7</t>
  </si>
  <si>
    <t>Expand/Collapse Principal 8</t>
  </si>
  <si>
    <t>Entity Ownership</t>
  </si>
  <si>
    <t>Business Name:</t>
  </si>
  <si>
    <t>Entity Type</t>
  </si>
  <si>
    <t>Date Formed:</t>
  </si>
  <si>
    <t>EIN:</t>
  </si>
  <si>
    <t>Annual Revenues</t>
  </si>
  <si>
    <t>Time in Bus</t>
  </si>
  <si>
    <t>DSC</t>
  </si>
  <si>
    <t>NAICS Industry</t>
  </si>
  <si>
    <t>CAIVRS Check</t>
  </si>
  <si>
    <t>Borrower / Guarantor?</t>
  </si>
  <si>
    <t>Request 2</t>
  </si>
  <si>
    <t>% Owned</t>
  </si>
  <si>
    <t>Title</t>
  </si>
  <si>
    <t>Borrower / Guarantor</t>
  </si>
  <si>
    <t>Expand/Collapse Entity 2</t>
  </si>
  <si>
    <t>Expand/Collapse Entity 3</t>
  </si>
  <si>
    <t>Expand/Collapse Entity 4</t>
  </si>
  <si>
    <t>Expand/Collapse Entity 5</t>
  </si>
  <si>
    <t>Trust</t>
  </si>
  <si>
    <t>Expand/Collapse Entity 6</t>
  </si>
  <si>
    <t>Deposit Information</t>
  </si>
  <si>
    <t>Money Market #</t>
  </si>
  <si>
    <t>CD #</t>
  </si>
  <si>
    <t>DDA #</t>
  </si>
  <si>
    <t>Trust #</t>
  </si>
  <si>
    <t>Average Bal</t>
  </si>
  <si>
    <t>Related Debt</t>
  </si>
  <si>
    <t>Borrower/Affiliate Name</t>
  </si>
  <si>
    <t>Note Date</t>
  </si>
  <si>
    <t>Original Term</t>
  </si>
  <si>
    <t>Rate</t>
  </si>
  <si>
    <t>Maturity Date</t>
  </si>
  <si>
    <t>Balance</t>
  </si>
  <si>
    <t>Officer Comments</t>
  </si>
  <si>
    <t>Loan Policy Exceptions</t>
  </si>
  <si>
    <t>Exception</t>
  </si>
  <si>
    <t>Mitigating Factor</t>
  </si>
  <si>
    <t>Committee Decision</t>
  </si>
  <si>
    <t>Officers Loan Committee</t>
  </si>
  <si>
    <t>Date</t>
  </si>
  <si>
    <t>Member</t>
  </si>
  <si>
    <t>Motion</t>
  </si>
  <si>
    <t>2nd</t>
  </si>
  <si>
    <t>Decline</t>
  </si>
  <si>
    <t>Abstain</t>
  </si>
  <si>
    <t>Approved</t>
  </si>
  <si>
    <t>Comments</t>
  </si>
  <si>
    <t>Officers Loan Committee Subject to:</t>
  </si>
  <si>
    <t>Directors Loan Committee</t>
  </si>
  <si>
    <t>To DLC</t>
  </si>
  <si>
    <t>Purpose</t>
  </si>
  <si>
    <t>Loan Approval</t>
  </si>
  <si>
    <t>Loan Policy Exception</t>
  </si>
  <si>
    <t>Directors Loan Committee Subject to:</t>
  </si>
  <si>
    <t>Detail of Closing costs for Closer Use</t>
  </si>
  <si>
    <t>Loan 1</t>
  </si>
  <si>
    <t>Loan 2</t>
  </si>
  <si>
    <t>Appraisal - Commercial</t>
  </si>
  <si>
    <t>Appraisal - Residential</t>
  </si>
  <si>
    <t>Environmental Report (TSA, Phase I)</t>
  </si>
  <si>
    <t xml:space="preserve">Title/Escrow </t>
  </si>
  <si>
    <t>Site Inspection</t>
  </si>
  <si>
    <t>Feasibility Study</t>
  </si>
  <si>
    <t>Title Transfer (Autos)</t>
  </si>
  <si>
    <t>Doc Stamps for FL Non-CRE</t>
  </si>
  <si>
    <t>T Bank Credit Memo Version</t>
  </si>
  <si>
    <t>Sources and Uses of Proceeds Request 1</t>
  </si>
  <si>
    <t>Rate As of Date</t>
  </si>
  <si>
    <t>Rate Index</t>
  </si>
  <si>
    <t>Direct Project Costs Sub Totals</t>
  </si>
  <si>
    <t>Intial Est Closing Date</t>
  </si>
  <si>
    <t>SBA Guaranty Fee</t>
  </si>
  <si>
    <t>Prepayment Penalty</t>
  </si>
  <si>
    <t>Guarantee %</t>
  </si>
  <si>
    <t>Unguaranteed Portion</t>
  </si>
  <si>
    <t>Interim Loan Fee</t>
  </si>
  <si>
    <t>Misc Closing Costs</t>
  </si>
  <si>
    <t>Closing Costs Sub Totals</t>
  </si>
  <si>
    <t>Const Period</t>
  </si>
  <si>
    <t>Const Int</t>
  </si>
  <si>
    <t>Hard Costs - Contingency</t>
  </si>
  <si>
    <t>Equipment - Non Contingency</t>
  </si>
  <si>
    <t>Construction Hard Costs Sub Totals</t>
  </si>
  <si>
    <t>Construction Soft Costs</t>
  </si>
  <si>
    <t>Architect/Engineering/Proff Fees</t>
  </si>
  <si>
    <t>Permits</t>
  </si>
  <si>
    <t>Registration Fees</t>
  </si>
  <si>
    <t>Meter &amp; Tap Fees</t>
  </si>
  <si>
    <t>Offsite Costs</t>
  </si>
  <si>
    <t>Geotechnical (soils) reports</t>
  </si>
  <si>
    <t>Payment &amp; Performance Bond</t>
  </si>
  <si>
    <t>Insurance (cons period only)</t>
  </si>
  <si>
    <t>Contingency Reserve</t>
  </si>
  <si>
    <t>Construction Monitoring Cost</t>
  </si>
  <si>
    <t>Contractor Evaluation</t>
  </si>
  <si>
    <t>Misc Other Const Soft Costs</t>
  </si>
  <si>
    <t>Construction Soft Costs Sub Totals</t>
  </si>
  <si>
    <t>Combined Construction Sub Totals</t>
  </si>
  <si>
    <t>Project Total</t>
  </si>
  <si>
    <t>Wgt Term</t>
  </si>
  <si>
    <t>Percentages</t>
  </si>
  <si>
    <t>CDC Project Costs (504 Only)</t>
  </si>
  <si>
    <t>T Bank 504 to perm</t>
  </si>
  <si>
    <t>Project Percentage</t>
  </si>
  <si>
    <t>Interim Financing Total</t>
  </si>
  <si>
    <t>Ineligible Costs</t>
  </si>
  <si>
    <t>CDC Costs</t>
  </si>
  <si>
    <t>Total Ineligible Costs</t>
  </si>
  <si>
    <t>Final Project Totals</t>
  </si>
  <si>
    <t>CDC Fees (504 Only)</t>
  </si>
  <si>
    <t>CDC Term</t>
  </si>
  <si>
    <t>Funding Fee</t>
  </si>
  <si>
    <t>CDC Processing Fee</t>
  </si>
  <si>
    <t>Net Debenture</t>
  </si>
  <si>
    <t>SBA Guarantee Fee</t>
  </si>
  <si>
    <t>CDC Eligible Closing Costs</t>
  </si>
  <si>
    <t>Gross Debenture</t>
  </si>
  <si>
    <t>CDC Underwriting Fee</t>
  </si>
  <si>
    <t>20/25 Yr</t>
  </si>
  <si>
    <t>10 Yr</t>
  </si>
  <si>
    <t>Balance to Borrower</t>
  </si>
  <si>
    <t>CDC Terms</t>
  </si>
  <si>
    <t xml:space="preserve">CDC Finance Terms, if applicable </t>
  </si>
  <si>
    <t>Amort (mths)</t>
  </si>
  <si>
    <t>CDC Term Must be 10, 20, or 25 years</t>
  </si>
  <si>
    <t>Additional Comments</t>
  </si>
  <si>
    <t>Seller Financing Terms, If Applicable</t>
  </si>
  <si>
    <t>Seller Finance Terms, if applicable</t>
  </si>
  <si>
    <t>Standby Terms</t>
  </si>
  <si>
    <t xml:space="preserve">3rd Party Finance Terms, if applicable </t>
  </si>
  <si>
    <t>3rd Party Finance Terms, if applicable</t>
  </si>
  <si>
    <t>Soft Costs and SBA Gty Fee Calculation</t>
  </si>
  <si>
    <t>Fees below, except the guarantee fee are estimates only and should be adjusted if necessary</t>
  </si>
  <si>
    <t>T Bank/SBA</t>
  </si>
  <si>
    <t>504 Interim Loan Fees</t>
  </si>
  <si>
    <t>Loan Fee</t>
  </si>
  <si>
    <t>based on either perm or interim</t>
  </si>
  <si>
    <t>Guaranty Underpay Previous SBA Loan(s)</t>
  </si>
  <si>
    <t>Broker Fee</t>
  </si>
  <si>
    <t>Misc Other Closing Costs – type in # of each in Column D</t>
  </si>
  <si>
    <t>SBA Fee</t>
  </si>
  <si>
    <t>based on perm first</t>
  </si>
  <si>
    <t>UCC Searches - each bwr, sellers and gtrs</t>
  </si>
  <si>
    <t>Legal Fees</t>
  </si>
  <si>
    <t xml:space="preserve">DO NOT SHARE FEE DETAILS WITH CDC </t>
  </si>
  <si>
    <t>Contact Operations or Credit Manager</t>
  </si>
  <si>
    <t>Project Grid</t>
  </si>
  <si>
    <t>Loan Request 1</t>
  </si>
  <si>
    <t>Initial Est Closing Date</t>
  </si>
  <si>
    <t>Loan Request 2</t>
  </si>
  <si>
    <t>Interim/Bridge Loan is One Single Note (For construction and interim loan is NOT High LTV)</t>
  </si>
  <si>
    <t>T Bank’s Total Interim Loan Amount: $</t>
  </si>
  <si>
    <t>·        Term:  25 years plus XX months construction and debenture funding</t>
  </si>
  <si>
    <t>·        Monthly Payment*: Interest only until debenture funds and note has converted to permanent note.  Then P &amp; I payments start at: $X,XXX</t>
  </si>
  <si>
    <t>*Payment is based on a 360-day year for T Bank’s portion only once debenture is funded.</t>
  </si>
  <si>
    <t>·        Rate:  (during construction or after construction different?)</t>
  </si>
  <si>
    <t>Make sure any specific note language included in the Proposal letter/CAL is also included in the loan memo, i.e. interest rate will be set 5 days prior to closing? Final funding?</t>
  </si>
  <si>
    <t>·        Index:</t>
  </si>
  <si>
    <t>·        Spread:</t>
  </si>
  <si>
    <t>·        Fixed or Floating:</t>
  </si>
  <si>
    <t>·        Adjustment period:</t>
  </si>
  <si>
    <t>·        Disbursement: Multiple</t>
  </si>
  <si>
    <t>·        Interim loan fee is included in this loan</t>
  </si>
  <si>
    <t>·        Prepayment Penalty:  10% or maximum allowed by law until conversion and after conversion, the penalty will be assessed when the prepayment amount exceeds 10% of the outstanding balance of the loan and prepayment is made within the first five (5) years after the date of the conversion to a permanent loan.  The prepayment fee calculation is as follows:  Year 1-  5%, Year 2 – 4%, Year 3 – 3%, Year 4 – 2%, Year 5 - 1%</t>
  </si>
  <si>
    <t>Interim loan to be converted to permanent financing once SBA Debenture Loan is funded.</t>
  </si>
  <si>
    <t>T Bank’s Permanent Loan Amount: $</t>
  </si>
  <si>
    <t xml:space="preserve">·        Term:  25 years </t>
  </si>
  <si>
    <t>·        Monthly Payment*: P &amp; I payments start at: $</t>
  </si>
  <si>
    <t>*Payment is based on a 360-day year</t>
  </si>
  <si>
    <t>·        Disbursement: N/A</t>
  </si>
  <si>
    <t>·        Prepayment Penalty:   stated above</t>
  </si>
  <si>
    <t>SBA Loan Amount after debenture funds: $Total amount including CDC fees</t>
  </si>
  <si>
    <t>·        Monthly Payment: P &amp; I payments start at: $</t>
  </si>
  <si>
    <t xml:space="preserve">·        Fixed Rate*:  </t>
  </si>
  <si>
    <t>* Estimated; rate is to be determined in the month of debenture funding. The 20 yr debenture rate for August 2012 was 4.451%.</t>
  </si>
  <si>
    <t>Permanent loan is originated by T Bank and the ENTIRE Interim loan is originated by a third party (used when total interim loan is considered High LTV – rare, when it’s a single disbursement)</t>
  </si>
  <si>
    <t>·        Monthly Payment*: Interest only until debenture funds and note has converted to permanent note.  Then P &amp; I payments start at: $</t>
  </si>
  <si>
    <t>·        Fixed or Floating</t>
  </si>
  <si>
    <t>Interim loan is entirely originated by 3rd Party  will be paid off when SBA Debenture Loan is funded.</t>
  </si>
  <si>
    <t>3rd Party’s Total Interim Loan Amount equals SBA Portion “above the line”: $</t>
  </si>
  <si>
    <t>·        Term:  X months for construction and debenture funding</t>
  </si>
  <si>
    <t xml:space="preserve">·        Monthly Payment: Interest only until debenture funds </t>
  </si>
  <si>
    <t xml:space="preserve">·        Rate:  </t>
  </si>
  <si>
    <t>·        Prepayment Penalty: None</t>
  </si>
  <si>
    <t>·        Exit fee:  TBD by 3rd party</t>
  </si>
  <si>
    <t>Permanent loan is originated by T Bank and only SOME of Interim loan is originated by a third party (used when total interim loan is considered High LTV)</t>
  </si>
  <si>
    <t xml:space="preserve">T Bank’s Total Interim Loan Amount: $combo of permanent and SOME of the interim loan </t>
  </si>
  <si>
    <t>·        Pro- rata share of Interim loan fee is included in this loan</t>
  </si>
  <si>
    <t>Interim loan to be converted to permanent financing once SBA Debenture Loan is funded and is partially paid down along with 3rd party loan.</t>
  </si>
  <si>
    <t>3rd Party’s Total Interim Loan Amount equal to SBA Portion “above the line”: $</t>
  </si>
  <si>
    <t>Interim loan originated by 3rd Party  will be paid off when SBA Debenture Loan is funded.</t>
  </si>
  <si>
    <t>T Bank’s Permanent Loan Amount: $equal to just permanent loan amount</t>
  </si>
  <si>
    <t xml:space="preserve">Permanent and Interim notes are originated by T Bank in two separate notes (only for single disbursement for CRE/M&amp;E purchase) </t>
  </si>
  <si>
    <t>Permanent Loan Amount: $</t>
  </si>
  <si>
    <t>·        Term:  25 years plus 4 months for debenture funding</t>
  </si>
  <si>
    <t>·        Disbursement: Single</t>
  </si>
  <si>
    <t>Interim/Bridge Loan: Will be paid off when SBA Debenture funds</t>
  </si>
  <si>
    <t>Total Interim Loan Amount equal to SBA Portion “above the line”: $</t>
  </si>
  <si>
    <t>·        Term:  4 months</t>
  </si>
  <si>
    <t>·        Exit fee:  10% or maximum allowed by law until conversion</t>
  </si>
  <si>
    <t xml:space="preserve">Interim loan to be converted to permanent financing detailed below once SBA Debenture Loan is funded.  If the loan does not convert to permanent financing, then exit fee applies.  </t>
  </si>
  <si>
    <t>Interim/Bridge Loan is One Single Note with a Balloon Payment   (rarely used, but for very short construction periods or land purchases prior to construction and  must be approved by CCO)</t>
  </si>
  <si>
    <t>Total Interim Loan Amount: $</t>
  </si>
  <si>
    <t>·        Term:  12 months with balloon payment</t>
  </si>
  <si>
    <t xml:space="preserve">·        Monthly Payment: Interest only until debenture funds and note has converted to permanent note.  </t>
  </si>
  <si>
    <t>Primary Real Estate</t>
  </si>
  <si>
    <t>Location / Address</t>
  </si>
  <si>
    <t>Lien Position</t>
  </si>
  <si>
    <t>Property Type</t>
  </si>
  <si>
    <t>Appraisal Value</t>
  </si>
  <si>
    <t>Appraisal Reqd?</t>
  </si>
  <si>
    <t>County</t>
  </si>
  <si>
    <t>Owner Occupancy %</t>
  </si>
  <si>
    <t>Building Size</t>
  </si>
  <si>
    <t>Year Built</t>
  </si>
  <si>
    <t>Environ Reqd?</t>
  </si>
  <si>
    <t>Year Renovated</t>
  </si>
  <si>
    <t>Construction Type</t>
  </si>
  <si>
    <t>Excess Land</t>
  </si>
  <si>
    <t>Land Size</t>
  </si>
  <si>
    <t>Collateral Appraised Value  $</t>
  </si>
  <si>
    <t>Total Cost Value</t>
  </si>
  <si>
    <t>Equity</t>
  </si>
  <si>
    <t>% Equity</t>
  </si>
  <si>
    <t>LTV      %</t>
  </si>
  <si>
    <t>Rem Eco Life (yrs)</t>
  </si>
  <si>
    <t>Secondary Real Estate</t>
  </si>
  <si>
    <t>Business Assets</t>
  </si>
  <si>
    <t>Business Name</t>
  </si>
  <si>
    <t>Lien Type</t>
  </si>
  <si>
    <t>Asset Type</t>
  </si>
  <si>
    <t>Location</t>
  </si>
  <si>
    <t>Discount %</t>
  </si>
  <si>
    <t>Discounted Value</t>
  </si>
  <si>
    <t>Appraisal Required?</t>
  </si>
  <si>
    <t>Liq Value</t>
  </si>
  <si>
    <t>Primary CRE</t>
  </si>
  <si>
    <t>Primary Residence</t>
  </si>
  <si>
    <t>Secondary RE</t>
  </si>
  <si>
    <t>LI Liquidated Coll</t>
  </si>
  <si>
    <t>The SBA Loan is Fully Secured per SBA Policy Requirements</t>
  </si>
  <si>
    <t>The SBA Loan is NOT Fully Secured, but all available and worthwhile collateral has been taken.</t>
  </si>
  <si>
    <t>{Discussion of Life Insurance Requirements}</t>
  </si>
  <si>
    <t>Collateral Summary (504 Permanent Loan Only)</t>
  </si>
  <si>
    <t>High Loan to Value - 7a</t>
  </si>
  <si>
    <t>CRE Cost</t>
  </si>
  <si>
    <t>CRE Appraised Value</t>
  </si>
  <si>
    <t>Other project costs</t>
  </si>
  <si>
    <t>Total Project</t>
  </si>
  <si>
    <t>Minus Equity</t>
  </si>
  <si>
    <t>Other Financing</t>
  </si>
  <si>
    <t>CRE only-not total loan</t>
  </si>
  <si>
    <t>LTV of CRE Only</t>
  </si>
  <si>
    <t>Regulatory Max %</t>
  </si>
  <si>
    <t>Regulatory Max $</t>
  </si>
  <si>
    <t>Guarantee Amount at</t>
  </si>
  <si>
    <t>Portion Exceeding Regulatory Max</t>
  </si>
  <si>
    <t>If the portion of the loan that exceeds the supervisory LTV limit is equal to or less than the guarantee amount, the loan is not high LTV.</t>
  </si>
  <si>
    <t>Click to Expand/Collapse 7a HLTV</t>
  </si>
  <si>
    <t>High Loan to Value - 504/Conventional</t>
  </si>
  <si>
    <t>HLTV calculation is based on the Loan Amount divided by the value (or cost) of the Real Estate plus the discounted value of other collateral.</t>
  </si>
  <si>
    <t>Appraised value will be used for construction loans.  Lesser of Cost or Appraised value will be used for Purchase transactions.</t>
  </si>
  <si>
    <t>Appraisal</t>
  </si>
  <si>
    <t>CRE Cost Tbank loan</t>
  </si>
  <si>
    <t>CRE costs interim loan</t>
  </si>
  <si>
    <t>Equipment Tbank loan</t>
  </si>
  <si>
    <t>Equipment interim loan</t>
  </si>
  <si>
    <t>Equip Adv Rate</t>
  </si>
  <si>
    <t>Equipment Adv Value</t>
  </si>
  <si>
    <t>Total Value</t>
  </si>
  <si>
    <t>LTV of Coll</t>
  </si>
  <si>
    <t>If loan is equal to or less than the supervisory LTV limit  guarantee amount, the loan is not high LTV.</t>
  </si>
  <si>
    <t>Click to Expand/Collapse 504 HLTV</t>
  </si>
  <si>
    <t>High Loan to Value - Additional Collateral (DO NOT PRINT)</t>
  </si>
  <si>
    <t>Value</t>
  </si>
  <si>
    <t>Lien</t>
  </si>
  <si>
    <t>Supervisory Limit</t>
  </si>
  <si>
    <t>Regulatory Max</t>
  </si>
  <si>
    <t>Excess (Deficit)</t>
  </si>
  <si>
    <t>Ratio Analysis</t>
  </si>
  <si>
    <t>Income Statement</t>
  </si>
  <si>
    <t>RMA</t>
  </si>
  <si>
    <t>Annualized Revenue</t>
  </si>
  <si>
    <t>Revenue Inc/Dcr %</t>
  </si>
  <si>
    <t>Gross Profit Margin</t>
  </si>
  <si>
    <t>Op Expenses</t>
  </si>
  <si>
    <t>Net Profit Before Taxes</t>
  </si>
  <si>
    <t>Change in Net Income %</t>
  </si>
  <si>
    <t>EBITDA</t>
  </si>
  <si>
    <t>3% Stress Test</t>
  </si>
  <si>
    <t>Incr/Decr/Stbl</t>
  </si>
  <si>
    <t>Const / Inconsist</t>
  </si>
  <si>
    <t xml:space="preserve">Revenue trends </t>
  </si>
  <si>
    <t xml:space="preserve">COGS               </t>
  </si>
  <si>
    <t>Operating expenses</t>
  </si>
  <si>
    <t>Profitability</t>
  </si>
  <si>
    <t>Income Statement Discussion:</t>
  </si>
  <si>
    <t>Comment on any overall trends or significant changes in operations</t>
  </si>
  <si>
    <t>Balance Sheet:</t>
  </si>
  <si>
    <t>Pro-Forma</t>
  </si>
  <si>
    <t>Averages</t>
  </si>
  <si>
    <t>Liquidity Ratios</t>
  </si>
  <si>
    <t>Upper</t>
  </si>
  <si>
    <t>Mid</t>
  </si>
  <si>
    <t>Low</t>
  </si>
  <si>
    <t>Current Ratio</t>
  </si>
  <si>
    <t>Quick Ratio</t>
  </si>
  <si>
    <t>Receivable Days</t>
  </si>
  <si>
    <t>Payables Days</t>
  </si>
  <si>
    <t>Inventory Days</t>
  </si>
  <si>
    <t>Total Cash Cycle</t>
  </si>
  <si>
    <t xml:space="preserve">Leverage Ratios </t>
  </si>
  <si>
    <t>Debt/NW</t>
  </si>
  <si>
    <t>Debt/Tangible NW</t>
  </si>
  <si>
    <t>In Line with RMA industry averages?:</t>
  </si>
  <si>
    <t>(If no, explain any irregularities, mitigating factors, and management steps to correct if applicable)</t>
  </si>
  <si>
    <t>Balance Sheet Discussion:</t>
  </si>
  <si>
    <t>Asset composition changes/trends:</t>
  </si>
  <si>
    <t>{Comment on D/TNW and Current Ratio}
Explain when revenue is collected from customer and any changes either historical or projected
Explain historical operating/cash cycle days  Why did this change?</t>
  </si>
  <si>
    <t>Liability composition changes/trends:</t>
  </si>
  <si>
    <t>Net worth:</t>
  </si>
  <si>
    <t>Distributions in each year?
Why did net worth change?</t>
  </si>
  <si>
    <t>Other items:</t>
  </si>
  <si>
    <t>How does business compare to RMA?
Other items?</t>
  </si>
  <si>
    <t>A/R &amp; A/P Agings:</t>
  </si>
  <si>
    <t>A/R as of:</t>
  </si>
  <si>
    <t>Current</t>
  </si>
  <si>
    <t>0-30</t>
  </si>
  <si>
    <t>31-60</t>
  </si>
  <si>
    <t>61-90</t>
  </si>
  <si>
    <t>Over 90</t>
  </si>
  <si>
    <t>Concentration of Accounts over 20%:</t>
  </si>
  <si>
    <t>Reasons and status of accounts over 90 days:</t>
  </si>
  <si>
    <t>A/P as of:</t>
  </si>
  <si>
    <t>Projected Income Statements</t>
  </si>
  <si>
    <t>Borrower 
Year 1</t>
  </si>
  <si>
    <t>Borrower
Year 2</t>
  </si>
  <si>
    <t>Appraisal Proj</t>
  </si>
  <si>
    <t>Bank 
Adjusted</t>
  </si>
  <si>
    <t>FN</t>
  </si>
  <si>
    <t>Revenue (Product Line #1)</t>
  </si>
  <si>
    <t>COGS (Product Line #1)</t>
  </si>
  <si>
    <t>Gross Margin (Product Line #1)</t>
  </si>
  <si>
    <t>Revenue (Product Line #2)</t>
  </si>
  <si>
    <t>COGS (Product Line #2)</t>
  </si>
  <si>
    <t>Gross Margin (Product Line #2)</t>
  </si>
  <si>
    <t>Revenue (Product Line #3)</t>
  </si>
  <si>
    <t>COGS (Product Line #3)</t>
  </si>
  <si>
    <t>Gross Margin (Product Line #3)</t>
  </si>
  <si>
    <t>Variable Costs</t>
  </si>
  <si>
    <t>Fixed Costs</t>
  </si>
  <si>
    <t>Income Statement Comments and Footnotes</t>
  </si>
  <si>
    <t>Projections Comments, Footnotes, and Adjustments</t>
  </si>
  <si>
    <t>Cash Flow Analysis</t>
  </si>
  <si>
    <t>Net Income</t>
  </si>
  <si>
    <t>+ Depreciation &amp; Amortization</t>
  </si>
  <si>
    <t>+ Interest</t>
  </si>
  <si>
    <t>+ Rent Paid to EPC</t>
  </si>
  <si>
    <t>+ Income Taxes Paid</t>
  </si>
  <si>
    <t>+ Non Cash / Recur Expenses</t>
  </si>
  <si>
    <t>+ Seller/Officer Salary Add Back</t>
  </si>
  <si>
    <t>+ Other</t>
  </si>
  <si>
    <t>Adjusted EBITDA</t>
  </si>
  <si>
    <t>- Income Taxes Paid</t>
  </si>
  <si>
    <t>- Dividends and Distributions</t>
  </si>
  <si>
    <t>- Off Bal Sheet Obligations</t>
  </si>
  <si>
    <t>Owner Draw Required</t>
  </si>
  <si>
    <t>- RE Exp Adjustment</t>
  </si>
  <si>
    <t>- Replacement CapEX (if appl)</t>
  </si>
  <si>
    <t>- Other</t>
  </si>
  <si>
    <t>Total Cash Required</t>
  </si>
  <si>
    <t>Margin</t>
  </si>
  <si>
    <t>1% Margin</t>
  </si>
  <si>
    <t>1% Stress Test Payment Ln1</t>
  </si>
  <si>
    <t>1% Stress Test Payment Ln2</t>
  </si>
  <si>
    <t>2% Margin</t>
  </si>
  <si>
    <t>2% Stress Test Payment Ln1</t>
  </si>
  <si>
    <t>2% Stress Test Payment Ln2</t>
  </si>
  <si>
    <t>3% Margin</t>
  </si>
  <si>
    <t>3% Stress Test Payment Ln1</t>
  </si>
  <si>
    <t>3% Stress Test Payment Ln2</t>
  </si>
  <si>
    <t>4% Margin</t>
  </si>
  <si>
    <t>4% Stress Test Payment Ln1</t>
  </si>
  <si>
    <t>4% Stress Test Payment Ln2</t>
  </si>
  <si>
    <t>4% Stress Test DCR</t>
  </si>
  <si>
    <t>Cash Flow Comments:</t>
  </si>
  <si>
    <t>Debt Schedule</t>
  </si>
  <si>
    <t>Ln Int Rate</t>
  </si>
  <si>
    <t>Amortization Mths</t>
  </si>
  <si>
    <t>$ Portion of the Loan for Refi</t>
  </si>
  <si>
    <t>% Portion of the Loan for Refi</t>
  </si>
  <si>
    <t>Creditor</t>
  </si>
  <si>
    <t>Account Number</t>
  </si>
  <si>
    <t>Orig Balance</t>
  </si>
  <si>
    <t>Balance Due</t>
  </si>
  <si>
    <t>Curr Int Rate</t>
  </si>
  <si>
    <t>Monthly Payment</t>
  </si>
  <si>
    <t>Security</t>
  </si>
  <si>
    <t>Notes/Original Use</t>
  </si>
  <si>
    <t>Refi?</t>
  </si>
  <si>
    <t>% Change</t>
  </si>
  <si>
    <t>Eligible for Refinance</t>
  </si>
  <si>
    <t>Curr Pmt on Refi Debts</t>
  </si>
  <si>
    <t>Percent Improv</t>
  </si>
  <si>
    <t>504 Refinance - Informational Purposes Only DO NOT PRINT</t>
  </si>
  <si>
    <t>STEP</t>
  </si>
  <si>
    <t>Presence of any Balloon</t>
  </si>
  <si>
    <t>Does existing debt being refinanced have a qualified balloon?</t>
  </si>
  <si>
    <t xml:space="preserve">     If YES, STOP - Substantial Benefit met; If NO, continue to Step 2</t>
  </si>
  <si>
    <r>
      <t xml:space="preserve">     </t>
    </r>
    <r>
      <rPr>
        <b/>
        <i/>
        <sz val="14"/>
        <rFont val="Calibri"/>
        <family val="2"/>
      </rPr>
      <t>NOTE</t>
    </r>
    <r>
      <rPr>
        <i/>
        <sz val="14"/>
        <rFont val="Calibri"/>
        <family val="2"/>
      </rPr>
      <t xml:space="preserve"> - for 504 debt refi without expansion, balloon must come due within 5 years</t>
    </r>
  </si>
  <si>
    <t xml:space="preserve">                   for 504 debt refi with expansion, any balloon automatically meets substantial benefit</t>
  </si>
  <si>
    <t>Current Terms on Existing Debt Being Refinanced</t>
  </si>
  <si>
    <t>Current Payment</t>
  </si>
  <si>
    <t>&lt;enter existing lender name&gt;</t>
  </si>
  <si>
    <t>prepayment penalties, finance fees, etc.</t>
  </si>
  <si>
    <t>EXISTING DEBT BEING REFINANCED</t>
  </si>
  <si>
    <t>New 504 Refinance Project Financing</t>
  </si>
  <si>
    <t>New Financing Sources</t>
  </si>
  <si>
    <t>% of Total Project</t>
  </si>
  <si>
    <t>% of New Financing</t>
  </si>
  <si>
    <t>T Bank loan</t>
  </si>
  <si>
    <t>504 portion</t>
  </si>
  <si>
    <t>Borrower Contribution</t>
  </si>
  <si>
    <t>TOTAL 504 PROJECT</t>
  </si>
  <si>
    <t>SUBSTANTIAL BENEFIT</t>
  </si>
  <si>
    <t>Refinancing Amount</t>
  </si>
  <si>
    <t>Amortization (Years)</t>
  </si>
  <si>
    <t>TPL's share of refinancing amount</t>
  </si>
  <si>
    <t>SBA's share of refinancing amount</t>
  </si>
  <si>
    <t>Total new debt service attributed to debt refi</t>
  </si>
  <si>
    <t>Total Existing Payment</t>
  </si>
  <si>
    <t>Payment Reduction</t>
  </si>
  <si>
    <t>Payment Savings %</t>
  </si>
  <si>
    <t>Breakeven Analysis</t>
  </si>
  <si>
    <t>1.  Select Breakeven Based On</t>
  </si>
  <si>
    <t>2.  Click Button Below</t>
  </si>
  <si>
    <t>Statement</t>
  </si>
  <si>
    <t>Breakeven
Based On</t>
  </si>
  <si>
    <t>3.  Print the below chart for Credit Memo</t>
  </si>
  <si>
    <t>Breakeven based on:</t>
  </si>
  <si>
    <t>Variable Expenses</t>
  </si>
  <si>
    <t>Fixed Expenses</t>
  </si>
  <si>
    <t>Total Debt Service Requirement</t>
  </si>
  <si>
    <t>Owner Draw Requirement</t>
  </si>
  <si>
    <t>Adjusted EBITDA (Incl Addbacks)</t>
  </si>
  <si>
    <t>Total Cash Avail (Incl Other Reductions)</t>
  </si>
  <si>
    <t>Breakeven Revenue</t>
  </si>
  <si>
    <t>% of Historical Revenue</t>
  </si>
  <si>
    <t>% of Projected Revenue (Borr Yr1)</t>
  </si>
  <si>
    <t>% of Projected Revenue (Bank Adj)</t>
  </si>
  <si>
    <t>Wkst Rev Dec Stress Test</t>
  </si>
  <si>
    <t>Breakeven = (Total Fixed Costs+Debt Service+ Calculated Draw)/
(% of sales attributed to variable costs)</t>
  </si>
  <si>
    <t>Biz Interruption Insurance Amt</t>
  </si>
  <si>
    <t>Cash Expenses</t>
  </si>
  <si>
    <t>Required salary</t>
  </si>
  <si>
    <t>Debt Service</t>
  </si>
  <si>
    <t>Amount needed (50% of total)</t>
  </si>
  <si>
    <t>Break Even Comments</t>
  </si>
  <si>
    <t>Add Backs, Cash Flow, and DSC</t>
  </si>
  <si>
    <t>Global Cash Flow Analysis</t>
  </si>
  <si>
    <t>Tabs</t>
  </si>
  <si>
    <t>Bus Name</t>
  </si>
  <si>
    <t>This section does not print</t>
  </si>
  <si>
    <t>- Officer's Compensation Adj</t>
  </si>
  <si>
    <t>Global Cash Flow Comments:</t>
  </si>
  <si>
    <t>Balance Sheet Spreads</t>
  </si>
  <si>
    <t>ASSETS</t>
  </si>
  <si>
    <t xml:space="preserve"> </t>
  </si>
  <si>
    <t>Cash</t>
  </si>
  <si>
    <t>A/R</t>
  </si>
  <si>
    <t>Prepaid Expenses</t>
  </si>
  <si>
    <t>Employee Receivables</t>
  </si>
  <si>
    <t>Other Current Assets</t>
  </si>
  <si>
    <t>Total Current Assets</t>
  </si>
  <si>
    <t>Land</t>
  </si>
  <si>
    <t>Building</t>
  </si>
  <si>
    <t>Machinery</t>
  </si>
  <si>
    <t>Equipment</t>
  </si>
  <si>
    <t>Furniture</t>
  </si>
  <si>
    <t>Fixtures</t>
  </si>
  <si>
    <t>Vehicles</t>
  </si>
  <si>
    <t>Less Accum Depreciation</t>
  </si>
  <si>
    <t>Net Fixed Assets</t>
  </si>
  <si>
    <t>Shareholder Receivable</t>
  </si>
  <si>
    <t>Net Intangible Assets</t>
  </si>
  <si>
    <t xml:space="preserve">Other </t>
  </si>
  <si>
    <t>Total Other Assets</t>
  </si>
  <si>
    <t>TOTAL ASSETS</t>
  </si>
  <si>
    <t>LIABILITIES</t>
  </si>
  <si>
    <t>Accounts Payable</t>
  </si>
  <si>
    <t>Accrued Expenses</t>
  </si>
  <si>
    <t>Taxes Payable</t>
  </si>
  <si>
    <t>Lines of Credit</t>
  </si>
  <si>
    <t>Current Portion LTD</t>
  </si>
  <si>
    <t>Other Current Liabilities</t>
  </si>
  <si>
    <t>Total Current Liabilities</t>
  </si>
  <si>
    <t>Notes Payable</t>
  </si>
  <si>
    <t>Mortgages Payable</t>
  </si>
  <si>
    <t>Stockholder Notes Pay</t>
  </si>
  <si>
    <t>Other Long Term Debt</t>
  </si>
  <si>
    <t>Total LT Liabilities</t>
  </si>
  <si>
    <t>Deferred Income Taxes</t>
  </si>
  <si>
    <t>Other Liabilities</t>
  </si>
  <si>
    <t>Total Other Liabilities</t>
  </si>
  <si>
    <t>TOTAL LIABILITIES</t>
  </si>
  <si>
    <t>Stock</t>
  </si>
  <si>
    <t>Paid in Capital</t>
  </si>
  <si>
    <t>Retained Earnings</t>
  </si>
  <si>
    <t>NET WORTH</t>
  </si>
  <si>
    <t>Tangible Net Worth</t>
  </si>
  <si>
    <t>LIAB &amp; NET WORTH</t>
  </si>
  <si>
    <t>VARIANCE</t>
  </si>
  <si>
    <t>Net Worth Reconciliation</t>
  </si>
  <si>
    <t>Beginning Balance</t>
  </si>
  <si>
    <t>Current NI</t>
  </si>
  <si>
    <t>Interest Income</t>
  </si>
  <si>
    <t>Depreciation (Sec 179)</t>
  </si>
  <si>
    <t>Charitable Contributions</t>
  </si>
  <si>
    <t>Other Depreciation</t>
  </si>
  <si>
    <t>Travel &amp; Ent</t>
  </si>
  <si>
    <t>Other Non Deductible Exp</t>
  </si>
  <si>
    <t>Other Additions</t>
  </si>
  <si>
    <t>Distributions</t>
  </si>
  <si>
    <t>Rounding/Unexplained</t>
  </si>
  <si>
    <t>Ending Balance</t>
  </si>
  <si>
    <t>Difference</t>
  </si>
  <si>
    <t>Balance Sheet Comments and Footnotes</t>
  </si>
  <si>
    <t>Pro-Forma Balance Sheet</t>
  </si>
  <si>
    <t>Based on</t>
  </si>
  <si>
    <t>Debit</t>
  </si>
  <si>
    <t>Credit</t>
  </si>
  <si>
    <t>D/TNW</t>
  </si>
  <si>
    <t>Pro-Forma Balance Sheet Footnotes</t>
  </si>
  <si>
    <t>Working Capital Analysis</t>
  </si>
  <si>
    <t>Month 1</t>
  </si>
  <si>
    <t>Month 2</t>
  </si>
  <si>
    <t>Month 3</t>
  </si>
  <si>
    <t>Month 4</t>
  </si>
  <si>
    <t>Month 5</t>
  </si>
  <si>
    <t>Month 6</t>
  </si>
  <si>
    <t>Month 7</t>
  </si>
  <si>
    <t>Month 8</t>
  </si>
  <si>
    <t>Month 9</t>
  </si>
  <si>
    <t>Month 10</t>
  </si>
  <si>
    <t>Month 11</t>
  </si>
  <si>
    <t>Month 12</t>
  </si>
  <si>
    <t>Sales</t>
  </si>
  <si>
    <t>Expenses</t>
  </si>
  <si>
    <t>Add back Adj</t>
  </si>
  <si>
    <t>Owner Draw Req</t>
  </si>
  <si>
    <t>Total Debt Payments</t>
  </si>
  <si>
    <t>Net Cash</t>
  </si>
  <si>
    <t>Beg Cash</t>
  </si>
  <si>
    <t>End Cash</t>
  </si>
  <si>
    <t>Notes:</t>
  </si>
  <si>
    <t>Working Capital Adequacey</t>
  </si>
  <si>
    <t>RMA Average Operating Cycle - use if needed</t>
  </si>
  <si>
    <t>Historical</t>
  </si>
  <si>
    <t>Projected</t>
  </si>
  <si>
    <t># Days</t>
  </si>
  <si>
    <t>RMA Average Turnover/Yr</t>
  </si>
  <si>
    <t># of X/Yr</t>
  </si>
  <si>
    <t># of Days</t>
  </si>
  <si>
    <t>Based on year:</t>
  </si>
  <si>
    <t xml:space="preserve">  Sales/Receivables</t>
  </si>
  <si>
    <t xml:space="preserve">  COGS/Inv</t>
  </si>
  <si>
    <t>Net Cash Operating Expenses</t>
  </si>
  <si>
    <t xml:space="preserve">  COGS/Payables</t>
  </si>
  <si>
    <t>Operating Cycle Days</t>
  </si>
  <si>
    <t xml:space="preserve">Total  </t>
  </si>
  <si>
    <t>Projected Sales</t>
  </si>
  <si>
    <t>Projected COGS</t>
  </si>
  <si>
    <t>Total Expenses/Day</t>
  </si>
  <si>
    <t>Working Capital Calculation</t>
  </si>
  <si>
    <t>Working Capital incl in Project</t>
  </si>
  <si>
    <t xml:space="preserve">  Avg use of Cash for Receivables</t>
  </si>
  <si>
    <t>Current Working Capital</t>
  </si>
  <si>
    <t xml:space="preserve">  Avg use of Cash for Inventory</t>
  </si>
  <si>
    <t>Other Sources of Working Capital</t>
  </si>
  <si>
    <t xml:space="preserve">  Avg source of Cash for Payables</t>
  </si>
  <si>
    <t>Total Working Capital</t>
  </si>
  <si>
    <t>Total Cash Needed for One Cycle</t>
  </si>
  <si>
    <t># Days of Working Capital Available</t>
  </si>
  <si>
    <t>60 Days</t>
  </si>
  <si>
    <t>One Cycle</t>
  </si>
  <si>
    <t>Use the calculation that makes sense</t>
  </si>
  <si>
    <t>Total Inventory Exp/Day</t>
  </si>
  <si>
    <t>Total Working Capital Needed</t>
  </si>
  <si>
    <t>Inventory incl in Project</t>
  </si>
  <si>
    <t>Current Inventory</t>
  </si>
  <si>
    <t>Other Sources of Inventory</t>
  </si>
  <si>
    <t>Total Inventory</t>
  </si>
  <si>
    <t># Days of Inventory Available</t>
  </si>
  <si>
    <t>Total Cash Operating Expenses/Day</t>
  </si>
  <si>
    <t>Cash (working capital) incl in Project</t>
  </si>
  <si>
    <t>Current Cash</t>
  </si>
  <si>
    <t>Other Sources of Cash</t>
  </si>
  <si>
    <t>Total Cash</t>
  </si>
  <si>
    <t># Days of Cash Available</t>
  </si>
  <si>
    <t>Business Valuation Addendum</t>
  </si>
  <si>
    <t>Discounted Future Earnings Method</t>
  </si>
  <si>
    <t>No. of Years:</t>
  </si>
  <si>
    <t>EBIT</t>
  </si>
  <si>
    <t>Depreciation 
&amp; Amortization</t>
  </si>
  <si>
    <t>Salary</t>
  </si>
  <si>
    <t>Shareholder Equity and LT Debt</t>
  </si>
  <si>
    <t>Invested Capital:</t>
  </si>
  <si>
    <t>T Bank Debt:</t>
  </si>
  <si>
    <t>Seller Financing:</t>
  </si>
  <si>
    <t>Total Capital:</t>
  </si>
  <si>
    <t>If stock purchase and debt is included, the EBIT needs to be discounted by the amount of the payments.</t>
  </si>
  <si>
    <t>Average SDE:</t>
  </si>
  <si>
    <t>ROI:</t>
  </si>
  <si>
    <t>Summary Analysis (Average of Cap Rate &amp; DCF Approach)</t>
  </si>
  <si>
    <t>Intan. Bus. Val</t>
  </si>
  <si>
    <t>Average</t>
  </si>
  <si>
    <t>From Contract</t>
  </si>
  <si>
    <t>Historical EBIT</t>
  </si>
  <si>
    <t>(Conservative)</t>
  </si>
  <si>
    <t>Growth Rate</t>
  </si>
  <si>
    <t>Discount Rate</t>
  </si>
  <si>
    <t>Year 1</t>
  </si>
  <si>
    <t>Year 2</t>
  </si>
  <si>
    <t>Year 3</t>
  </si>
  <si>
    <t>Year 4</t>
  </si>
  <si>
    <t>Year 5</t>
  </si>
  <si>
    <t>Year 6</t>
  </si>
  <si>
    <t>Year 7</t>
  </si>
  <si>
    <t>Year 8</t>
  </si>
  <si>
    <t>Year 9</t>
  </si>
  <si>
    <t>Year 10</t>
  </si>
  <si>
    <t>Projected Business Value</t>
  </si>
  <si>
    <t>Average EBIT</t>
  </si>
  <si>
    <t>(Moderate)</t>
  </si>
  <si>
    <t>Projected EBIT</t>
  </si>
  <si>
    <t>(Aggressive)</t>
  </si>
  <si>
    <t>EPC Income Statement Spreads</t>
  </si>
  <si>
    <t>EPC Balance Sheet Spreads</t>
  </si>
  <si>
    <t>Affiliate Debt Schedule</t>
  </si>
  <si>
    <t>Lender Name</t>
  </si>
  <si>
    <t>Curr Bal</t>
  </si>
  <si>
    <t>Curr Pmt</t>
  </si>
  <si>
    <t>Orig Date</t>
  </si>
  <si>
    <t>SBA Ln (Y/N)</t>
  </si>
  <si>
    <t>Borr Yr 1</t>
  </si>
  <si>
    <t>Borr Yr 2</t>
  </si>
  <si>
    <t>Borr Yr 3</t>
  </si>
  <si>
    <t>Bank Adj</t>
  </si>
  <si>
    <t>Personal Needs Calculation</t>
  </si>
  <si>
    <t>Name:</t>
  </si>
  <si>
    <t>{Name of Guarantor/Principal}</t>
  </si>
  <si>
    <t>Historical Personal Income</t>
  </si>
  <si>
    <t>Mortgages</t>
  </si>
  <si>
    <t>(Does Not Print)</t>
  </si>
  <si>
    <t>Payment</t>
  </si>
  <si>
    <t>Primary Res</t>
  </si>
  <si>
    <t>Wages</t>
  </si>
  <si>
    <t>Dividends</t>
  </si>
  <si>
    <t>Tax refunds</t>
  </si>
  <si>
    <t>Alimony</t>
  </si>
  <si>
    <t>Sch C</t>
  </si>
  <si>
    <t>Capital gain</t>
  </si>
  <si>
    <t>Other gain</t>
  </si>
  <si>
    <t>VEHICLE LOANS</t>
  </si>
  <si>
    <t>IRA distributions</t>
  </si>
  <si>
    <t>Pensions &amp; Annuities</t>
  </si>
  <si>
    <t>Sch E</t>
  </si>
  <si>
    <t>Farm Income</t>
  </si>
  <si>
    <t>Unemployment</t>
  </si>
  <si>
    <t>Social Security</t>
  </si>
  <si>
    <t>Other income</t>
  </si>
  <si>
    <t>Total Income</t>
  </si>
  <si>
    <t>Adjustments</t>
  </si>
  <si>
    <t>AGI Total</t>
  </si>
  <si>
    <t>OTHER INSTALLMENT DEBT</t>
  </si>
  <si>
    <t>Taxes Paid</t>
  </si>
  <si>
    <t>CREDIT CARDS/REVOLVING DEBT</t>
  </si>
  <si>
    <t>Limit</t>
  </si>
  <si>
    <t>Monthly Difference, included in cell D29</t>
  </si>
  <si>
    <t>Credit Scores</t>
  </si>
  <si>
    <t>Spouse 1</t>
  </si>
  <si>
    <t>Spouse 2</t>
  </si>
  <si>
    <t>% of Revolving Limit Available</t>
  </si>
  <si>
    <t>{Discuss any unusual items on the personal needs}  
Address the following as appropriate.
-The calculated owner’s draw was/was not deducted from the operating cash flow of the subject business.  If not explain why.
-The principal has outside income that will continue of $XXX, therefore only $XXX has been deducted from the subject business.  
-Only $24M minim draw was deducted from the SBC cash flow.  Explain why
If true add the following:
- The following obligation was added to this calculation as the borrower co-signed a loan for their daughter/son/mother etc._x000B_- A lifestyle adjustment was made based on the principal’s Income/Expense worksheet where the principal stated they need $XX for all personal expenses and taxes.</t>
  </si>
  <si>
    <t>Personal Financial Statement Analysis</t>
  </si>
  <si>
    <t xml:space="preserve">NAME:   </t>
  </si>
  <si>
    <t>AS OF:</t>
  </si>
  <si>
    <t>BORROWER PREPARED PFS</t>
  </si>
  <si>
    <t>BANK ADJUSTED PFS</t>
  </si>
  <si>
    <t>Primary Residence Value Check</t>
  </si>
  <si>
    <t>ASSETS:</t>
  </si>
  <si>
    <t>(Does not Print)</t>
  </si>
  <si>
    <t>Cash on Hand &amp; In Banks</t>
  </si>
  <si>
    <t>Savings Accounts</t>
  </si>
  <si>
    <t>Trulia:</t>
  </si>
  <si>
    <t>IRA/Retirement Accounts</t>
  </si>
  <si>
    <t>Zillow:</t>
  </si>
  <si>
    <t>Accounts &amp; Notes Receivable</t>
  </si>
  <si>
    <t>Chase:</t>
  </si>
  <si>
    <t>CSVLI</t>
  </si>
  <si>
    <t>PFS:</t>
  </si>
  <si>
    <t>Stocks &amp; Bond (Liquid)</t>
  </si>
  <si>
    <t>Real Estate - SFR</t>
  </si>
  <si>
    <t>Real Estate - Commercial</t>
  </si>
  <si>
    <t>Adj Value for PFS</t>
  </si>
  <si>
    <t>Mortgage Balance</t>
  </si>
  <si>
    <t>Real Estate - Rental</t>
  </si>
  <si>
    <t>Gross Equity</t>
  </si>
  <si>
    <t>Automobiles</t>
  </si>
  <si>
    <t>Liquidation %</t>
  </si>
  <si>
    <t>Other Personal Property</t>
  </si>
  <si>
    <t>Net Equity</t>
  </si>
  <si>
    <t>Other Assets</t>
  </si>
  <si>
    <t>Note:</t>
  </si>
  <si>
    <t>If gross equity is 25% or more then a lien is required</t>
  </si>
  <si>
    <t>ADJUSTED ASSETS</t>
  </si>
  <si>
    <t>If Net Equity is $50M or more then a residential valuation is required</t>
  </si>
  <si>
    <t>LIABILITIES:</t>
  </si>
  <si>
    <t>Accounts Payable (Per Experian)</t>
  </si>
  <si>
    <t>Notes Payable to Bank &amp; Others</t>
  </si>
  <si>
    <t xml:space="preserve">Notes Payable </t>
  </si>
  <si>
    <t>Auto Loans</t>
  </si>
  <si>
    <t>Auto Loans (Per Experian)</t>
  </si>
  <si>
    <t>Other Installment</t>
  </si>
  <si>
    <t>Other Installment (Per Experian)</t>
  </si>
  <si>
    <t>Loan on Life Insurance</t>
  </si>
  <si>
    <t>Mortgage - SFR</t>
  </si>
  <si>
    <t>Mortgage - Commercial</t>
  </si>
  <si>
    <t>Mortgage - Rental</t>
  </si>
  <si>
    <t>Unpaid Taxes</t>
  </si>
  <si>
    <t>Margin Accounts</t>
  </si>
  <si>
    <t>ADJUSTED LIABILITIES</t>
  </si>
  <si>
    <t>ADJUSTED NET WORTH</t>
  </si>
  <si>
    <t>Adjusted Liquid Assets</t>
  </si>
  <si>
    <t>Footnotes / Comments:</t>
  </si>
  <si>
    <t>Personal Real Estate Addendum</t>
  </si>
  <si>
    <t>Real Estate Schedule for:</t>
  </si>
  <si>
    <t>Do not print</t>
  </si>
  <si>
    <t>Property Address</t>
  </si>
  <si>
    <t>Date Acquired</t>
  </si>
  <si>
    <t>Market Value</t>
  </si>
  <si>
    <t>Equity In Property</t>
  </si>
  <si>
    <t>Source:</t>
  </si>
  <si>
    <t>Date:</t>
  </si>
  <si>
    <t>Gross Rents</t>
  </si>
  <si>
    <t>Total Expenses</t>
  </si>
  <si>
    <t>(-)</t>
  </si>
  <si>
    <t>(=)</t>
  </si>
  <si>
    <t>Adjustments:</t>
  </si>
  <si>
    <t xml:space="preserve">  Depreciation</t>
  </si>
  <si>
    <t>(+)</t>
  </si>
  <si>
    <t xml:space="preserve">  Interest</t>
  </si>
  <si>
    <t xml:space="preserve">  Insurance*</t>
  </si>
  <si>
    <t xml:space="preserve">  Property Taxes*</t>
  </si>
  <si>
    <t>Available Cash Flow</t>
  </si>
  <si>
    <t>% Ownership</t>
  </si>
  <si>
    <t>Adjusted Net Rental Inc.</t>
  </si>
  <si>
    <t>Annual Mortgage Pmts</t>
  </si>
  <si>
    <t>% Portion of Pmts</t>
  </si>
  <si>
    <t>Total Annual Pmt</t>
  </si>
  <si>
    <t>Annual Net Gain/Loss</t>
  </si>
  <si>
    <t>Gross Equity %</t>
  </si>
  <si>
    <t xml:space="preserve"> Do not print</t>
  </si>
  <si>
    <t>SBA Eligibility Worksheet</t>
  </si>
  <si>
    <t>GENERAL INFORMATION</t>
  </si>
  <si>
    <t>Addendum is to be completed during underwriting, but no later than when the loan is submitted to SBA.</t>
  </si>
  <si>
    <t>50 10 7.1  Effective November 15, 2023</t>
  </si>
  <si>
    <t>1</t>
  </si>
  <si>
    <t>Credit is not available elsewhere on reasonable terms due to the following:</t>
  </si>
  <si>
    <t>(Mark all applicable items with an "X")</t>
  </si>
  <si>
    <t>a.</t>
  </si>
  <si>
    <t>The business needs a longer maturity than the lender’s policy permits (for example, the business needs a loan that is not on a demand basis);</t>
  </si>
  <si>
    <t>b.</t>
  </si>
  <si>
    <t>The requested loan exceeds the lender’s policy limit regarding the amount that it can lend to one customer;</t>
  </si>
  <si>
    <t>c.</t>
  </si>
  <si>
    <t>The collateral does not meet the lender’s policy requirements;</t>
  </si>
  <si>
    <t>d.</t>
  </si>
  <si>
    <t>The lender’s policy normally does not allow loans to new businesses or businesses in the applicant’s industry; and/or</t>
  </si>
  <si>
    <t>e.</t>
  </si>
  <si>
    <t>Any other factors relating to the credit that, in the lender’s opinion, cannot be overcome except for the guaranty. These other factors must be specifically documented in the loan file.</t>
  </si>
  <si>
    <t>Detail Other:</t>
  </si>
  <si>
    <t>2</t>
  </si>
  <si>
    <t>The applicant does NOT meet any of the following:</t>
  </si>
  <si>
    <t xml:space="preserve">Non-profit businesses (for profit subsidiaries are eligible) </t>
  </si>
  <si>
    <t>Financial businesses primarily engaged in the business of lending, such as banks, finance companies, and factors;</t>
  </si>
  <si>
    <t xml:space="preserve"> Passive businesses owned by developers and landlords that do not actively use or occupy the assets acquired or improved with the loan proceeds (except Eligible Passive Companies);</t>
  </si>
  <si>
    <t>Life insurance companies;</t>
  </si>
  <si>
    <t>Businesses located in a foreign country (businesses in the U.S. owned by aliens may qualify)</t>
  </si>
  <si>
    <t>f.</t>
  </si>
  <si>
    <t>Pyramid sales distribution plans;</t>
  </si>
  <si>
    <t>g.</t>
  </si>
  <si>
    <t>Businesses deriving more than one-third of gross annual revenue from legal gambling activities;</t>
  </si>
  <si>
    <t>h.</t>
  </si>
  <si>
    <t>Businesses engaged in any illegal activity;</t>
  </si>
  <si>
    <t>i.</t>
  </si>
  <si>
    <t>Businesses That Restrict Patronage or Have Discriminatory Hiring Practices;</t>
  </si>
  <si>
    <t>j.</t>
  </si>
  <si>
    <t>Government-owned entities (except for businesses owned or controlled by a Native American tribe);</t>
  </si>
  <si>
    <t>k.</t>
  </si>
  <si>
    <t>Loan packagers earning more than one third of their gross annual revenue from packaging SBA loans;</t>
  </si>
  <si>
    <t>l.</t>
  </si>
  <si>
    <t>Businesses with an Associate who is incarcerated, on probation, on parole, or has been indicted for a felony or a crime of moral turpitude;</t>
  </si>
  <si>
    <t>m.</t>
  </si>
  <si>
    <t>Businesses in which the lender or any of its Associates owns an equity interest;</t>
  </si>
  <si>
    <t>n.</t>
  </si>
  <si>
    <t>Businesses Providing Prurient Sexual Material;</t>
  </si>
  <si>
    <t>o.</t>
  </si>
  <si>
    <t>Prior Loss to the Government or Prior Loss to the Government</t>
  </si>
  <si>
    <t>p.</t>
  </si>
  <si>
    <t>Businesses primarily engaged in political or lobbying activities; and</t>
  </si>
  <si>
    <t>q.</t>
  </si>
  <si>
    <t>Speculative businesses (such as oil wildcatting).</t>
  </si>
  <si>
    <t>r.</t>
  </si>
  <si>
    <t>Small Business Lending Company</t>
  </si>
  <si>
    <t>s.</t>
  </si>
  <si>
    <t>Coastal Barrier Islands</t>
  </si>
  <si>
    <t>3</t>
  </si>
  <si>
    <t>The Applicant is an Operating Business (except for EPCs)</t>
  </si>
  <si>
    <t>4</t>
  </si>
  <si>
    <t xml:space="preserve">The Applicant is organized for profit.  </t>
  </si>
  <si>
    <t>5</t>
  </si>
  <si>
    <t>The Applicant is located in the United States</t>
  </si>
  <si>
    <t>6</t>
  </si>
  <si>
    <r>
      <rPr>
        <b/>
        <sz val="14"/>
        <color theme="1"/>
        <rFont val="Calibri"/>
        <family val="2"/>
        <scheme val="minor"/>
      </rPr>
      <t>The Maturity of the loan</t>
    </r>
    <r>
      <rPr>
        <sz val="14"/>
        <color theme="1"/>
        <rFont val="Calibri"/>
        <family val="2"/>
        <scheme val="minor"/>
      </rPr>
      <t xml:space="preserve"> does not exceed the maximum allowable by SBA for the use of proceeds and is the shortest appropriate term commensurate with the repayment ability of the applicant. </t>
    </r>
  </si>
  <si>
    <t>7</t>
  </si>
  <si>
    <t>Applicant is an EPC/OC Structure:</t>
  </si>
  <si>
    <t>The Lender has verified that all owners with an interest of 20% or more in the Small Business Applicant will guarantee the loan, including each 20% or more owner of the EPC and each 20% or more owner of the OC in an EPC/OC structure. The 20% threshold includes a spouse when the combined ownership of both spouses is 20% or more. Only ESOPs and/or eligible 401(k) Plans are excluded from this requirement.</t>
  </si>
  <si>
    <t>8</t>
  </si>
  <si>
    <t xml:space="preserve">Applicant meets the following occupancy Requirements  </t>
  </si>
  <si>
    <t>PURCHASED BUILDING: Eligible Operating Entity will occupy at least 51%</t>
  </si>
  <si>
    <t>NEW CONSTRUCTION: Applicant (or Operating Company(ies)) will permanently occupy at least 60% of the Rentable Property for the term of the loan; may permanently lease to a third party up to 20% and temporarily lease an additional 20% with the intention of using some of the additional 20% within 3 years and all of it within 10 years.</t>
  </si>
  <si>
    <t xml:space="preserve">NEW CONSTRUCTION LEASEHOLDS/IMPROVEMENTS:  Eligible Operating Entity will occupy 100% of the space being improved.  Loan proceeds will not be used to remodel or convert any rental space in the property.  </t>
  </si>
  <si>
    <t>EPC:  Eligible Operating Entity will occupy 100% of the rentable property.  For existing building the OC may sub-lease no more than 49% and for new construction the OC(s) must occupy 60% of the Rentable Property, may permanently sublease to a third party up to 20% and temporarily sublease an additional 20% with the intention of using some of the additional 20% within 3 years and all of it within 10 years.</t>
  </si>
  <si>
    <t>9</t>
  </si>
  <si>
    <t>The Applicant is Small under the SBA Size Requirements:</t>
  </si>
  <si>
    <t>Entity Name</t>
  </si>
  <si>
    <t>NAICS</t>
  </si>
  <si>
    <t>Industry</t>
  </si>
  <si>
    <t>Primary Industry</t>
  </si>
  <si>
    <t>3 Yr Ave Rev Std</t>
  </si>
  <si>
    <t>3 Yr Actual Ave Rev</t>
  </si>
  <si>
    <t>Employee Std</t>
  </si>
  <si>
    <t># Employee</t>
  </si>
  <si>
    <t>Alt TNW Standard</t>
  </si>
  <si>
    <t>Alt 2 Yr NI Standard</t>
  </si>
  <si>
    <t>Actual TNW</t>
  </si>
  <si>
    <t>Actual Ave 2 Yr NI</t>
  </si>
  <si>
    <t>Size Standard Comments:</t>
  </si>
  <si>
    <t>Size Standard Notes:</t>
  </si>
  <si>
    <t>* The applicant business alone (without affiliates) must not exceed the size standard for the industry in which the applicant is primarily engaged AND the applicant business combined with its affiliates must not  exceed the size standard designated for either the primary industry of the applicant alone or the primary industry of the applicant and its affiliates, whichever is higher.</t>
  </si>
  <si>
    <t>* The applicant business may qualify under either the industry size standards discussed above or the alternative size standard. To qualify under the alternative size standard, the applicant business including any affiliates must meet the following:</t>
  </si>
  <si>
    <t>* The maximum tangible net worth of the applicant and its affiliates is not more than $20,000,000; AND</t>
  </si>
  <si>
    <t>* The average net income after Federal income taxes (excluding any carry-over losses) of the applicant and its affiliates for the 2 full fiscal years before the date of the application is not more than $6,500,000.</t>
  </si>
  <si>
    <t>10</t>
  </si>
  <si>
    <t xml:space="preserve">Lender has verified or will verify prior to closing the financial data used for cash flow against borrower's IRS transcripts.  </t>
  </si>
  <si>
    <t>11</t>
  </si>
  <si>
    <t>Applicant is a franchise</t>
  </si>
  <si>
    <t>Brand</t>
  </si>
  <si>
    <t>Does the franchise engage in discriminatory hiring practices? Or Is the franchise a pyramid scheme? Or limit membership for any reason besides occupancy?
(if yes, then the loan is ineligible)</t>
  </si>
  <si>
    <t>Does the franchisor require an interest in any collateral used to secure the loan? 
 If so, please comment below</t>
  </si>
  <si>
    <t>12</t>
  </si>
  <si>
    <t>1919 Statement of Personal History</t>
  </si>
  <si>
    <t>Is the Applicant or any Associate of the Applicant currently incarcerated, serving a sentence of imprisonment imposed upon adjudication of guilty, or is under indictment for a felony or any crime involving or relating to financial misconduct or a false statement? (if “Yes” the Applicant is not eligible for SBA financial assistance.)</t>
  </si>
  <si>
    <t xml:space="preserve">Lender has verified that none of the 20%+ owners, trustor, key employees, agents are debarred from conducting business with the federal government by searching SAMS.gov. </t>
  </si>
  <si>
    <t>13</t>
  </si>
  <si>
    <t>7A Small Loan - those that are $500,000 or less.</t>
  </si>
  <si>
    <r>
      <t xml:space="preserve">Applicant meets the minimum acceptable credit score requirements for 7(a) Small loans - check here: www.sba.gov/partners/lenders/7a-loan-program;  </t>
    </r>
    <r>
      <rPr>
        <b/>
        <sz val="14"/>
        <color theme="1"/>
        <rFont val="Calibri"/>
        <family val="2"/>
        <scheme val="minor"/>
      </rPr>
      <t xml:space="preserve">  OR</t>
    </r>
    <r>
      <rPr>
        <sz val="14"/>
        <color theme="1"/>
        <rFont val="Calibri"/>
        <family val="2"/>
        <scheme val="minor"/>
      </rPr>
      <t xml:space="preserve"> the applicant has not received an acceptable credit score but PLP lender has completed a cashflow analysis that demonstrates the reasonable reassurance of repayment and will approve it under their delegated authority.
</t>
    </r>
  </si>
  <si>
    <t xml:space="preserve">Lender's Credit Memo includes a brief description of the history of the business and the management team of the company; Owner/Guarantor analysis; when 50 percent or more of the loan proceeds will be used for working capital, Lender must explain in its Credit Memo why this level of working capital is necessary and appropriate for the subject business; the reason(s) why credit is not available elsewhere on reasonable commercial terms from non-Federal, non-State, non-local government sources; whether life insurance or other insurances will be required in accordance with Lender's written policies and procedures it uses for its similarly-sized non-SBA guaranteed commercial loans; a list of collateral and its estimated value (if secured); other specifics related to the loan (e.g., seller financing, standby debt, liens or judgements, franchise/license/similar agreements, management agreements, any debt refinancing); and the impact any affiliates may have on the applicant's repayment ability.
</t>
  </si>
  <si>
    <t>14</t>
  </si>
  <si>
    <t>ROBS aka 401k rollover plan</t>
  </si>
  <si>
    <t xml:space="preserve">Is any portion of the Applicant's equity injection funded by a Rollover as Business Start-Up "ROBS"?
</t>
  </si>
  <si>
    <t xml:space="preserve">   If yes, the Applicant and the 401K plan is in compliance with all Applicable IRS, Treasury and Department of Labor Requirements.</t>
  </si>
  <si>
    <t>15</t>
  </si>
  <si>
    <t>Previous Government Financing</t>
  </si>
  <si>
    <t>1.</t>
  </si>
  <si>
    <t>Applicant has and/or had prior SBA loans?</t>
  </si>
  <si>
    <t>Debtor</t>
  </si>
  <si>
    <t>3.</t>
  </si>
  <si>
    <t>Lender/Agency</t>
  </si>
  <si>
    <t>Original Loan Amount</t>
  </si>
  <si>
    <t>Original Date</t>
  </si>
  <si>
    <t>Current?</t>
  </si>
  <si>
    <t>2.</t>
  </si>
  <si>
    <t>4.</t>
  </si>
  <si>
    <t>Remaining SBA Guaranty Calculation:</t>
  </si>
  <si>
    <t>Current SBA Balance</t>
  </si>
  <si>
    <t>SBA Guaranty Used</t>
  </si>
  <si>
    <t>*Based on 75% Gty, adjust accordingly</t>
  </si>
  <si>
    <t>Total Guaranty Available</t>
  </si>
  <si>
    <t>Remaining SBA Guaranty</t>
  </si>
  <si>
    <t>Proposed SBA Guaranty</t>
  </si>
  <si>
    <t xml:space="preserve">3. Principal currently has other government financing, including USDA, FHA or education loans and they are either current.   </t>
  </si>
  <si>
    <t>Applicant does NOT have a prior loss to the government:   
As defined by the following:</t>
  </si>
  <si>
    <t>a) Applicant previously defaulted on a Federal loan or federally assisted financing that resulted in the Federal government, or any of its departments or agencies, sustaining a loss (a compromise agreement under which the Federal agency/department accepted less than the full amount owed is also considered a loss).</t>
  </si>
  <si>
    <t>b) Another business owned, operated, and/or controlled by the Applicant or any Associate of the Applicant previously defaulted on a Federal loan (or guaranteed a loan which was defaulted) and caused the Federal government, or any of its agencies or departments to sustain a loss in any of its programs (a compromise agreement under which the Federal agency/department accepted less than the full amount owed is also considered a loss</t>
  </si>
  <si>
    <t>c) The Applicant or any of the guarantors is currently delinquent on a nontax debt to the Federal Government
(a Federal debt that is the subject of, or has been discharged in, a bankruptcy proceeding, or has been released or compromised by the Federal agency/department is not considered delinquent).</t>
  </si>
  <si>
    <t xml:space="preserve">Underwriter has checked all entities and individuals owing 20% or more in CAIVRS </t>
  </si>
  <si>
    <t>16</t>
  </si>
  <si>
    <t>Citizenship</t>
  </si>
  <si>
    <t>Applicant business is owned at least 51% by US Citizens or Lawful Permanent Residents and T Bank has received a copy of a current resident alien card or a permanent resident card:</t>
  </si>
  <si>
    <t>If the business is owned by other than citizens or legal permanent residents, loan is not eligible.</t>
  </si>
  <si>
    <t>17</t>
  </si>
  <si>
    <t>Applicant is NOT related to ANY TBank, N.A. employee, officer, or director</t>
  </si>
  <si>
    <t>If False Explain:</t>
  </si>
  <si>
    <t>Application meets all SBA Criteria:</t>
  </si>
  <si>
    <t>Underwriter:</t>
  </si>
  <si>
    <t>Eligible Passive Company Addendum Page 1</t>
  </si>
  <si>
    <t>This addendum to be completed by the underwriter prior to submission to the SBA</t>
  </si>
  <si>
    <t>The Eligible Passive Company (EPC) rule is an exception to SBA regulations that prohibit financing assets which are held for their passive income. Because the EPC rule is an exception, it is interpreted strictly.</t>
  </si>
  <si>
    <r>
      <t>1. Conditions necessary to qualify as an EPC. (</t>
    </r>
    <r>
      <rPr>
        <sz val="14"/>
        <color rgb="FF0000FF"/>
        <rFont val="Calibri"/>
        <family val="2"/>
        <scheme val="minor"/>
      </rPr>
      <t>13 CFR §120.111</t>
    </r>
    <r>
      <rPr>
        <sz val="14"/>
        <color theme="1"/>
        <rFont val="Calibri"/>
        <family val="2"/>
        <scheme val="minor"/>
      </rPr>
      <t>)</t>
    </r>
  </si>
  <si>
    <t>a) Under SBA regulations, an EPC can take any legal form or ownership structure. A tenancy in common is a form of legal ownership and does not create a new or separate legal entity. If authorized by state law, legal entities can be a tenant in common with individuals.</t>
  </si>
  <si>
    <t>i. There may be several individuals or entities in a tenancy in common, but the tenancy in common is considered 1 EPC.</t>
  </si>
  <si>
    <t>ii. The loan documents must be signed by all of the members of the tenancy in common, with authorized individuals signing for the entity members.</t>
  </si>
  <si>
    <t xml:space="preserve">b) An Eligible Passive Company (EPC) must use loan proceeds only to acquire or lease, and/or improve or renovate, real or personal property (including eligible refinancing), that it leases to one or more Operating Companies (OCs) for conducting the OC's business, or to finance a change of ownership between the existing owners of the EPC. An EPC may only use loan proceeds to finance a change of ownership between existing owners of the EPC when the real estate or personal property has been held by the selling owner(s) for at least 36 months. </t>
  </si>
  <si>
    <t>2. Conditions that apply to all legal entities:</t>
  </si>
  <si>
    <r>
      <t xml:space="preserve">a) </t>
    </r>
    <r>
      <rPr>
        <sz val="14"/>
        <color theme="1"/>
        <rFont val="Calibri"/>
        <family val="2"/>
        <scheme val="minor"/>
      </rPr>
      <t>The OC must be an eligible small business;</t>
    </r>
  </si>
  <si>
    <r>
      <t xml:space="preserve">b) </t>
    </r>
    <r>
      <rPr>
        <sz val="14"/>
        <color theme="1"/>
        <rFont val="Calibri"/>
        <family val="2"/>
        <scheme val="minor"/>
      </rPr>
      <t>The proposed use of proceeds must be an eligible use as if the OC were obtaining the financing directly, subject to paragraph 1.b) above;</t>
    </r>
  </si>
  <si>
    <r>
      <t xml:space="preserve">c) </t>
    </r>
    <r>
      <rPr>
        <sz val="14"/>
        <color theme="1"/>
        <rFont val="Calibri"/>
        <family val="2"/>
        <scheme val="minor"/>
      </rPr>
      <t xml:space="preserve">The EPC (with the exception of a trust) and the OC each must be small under the appropriate size standard of </t>
    </r>
    <r>
      <rPr>
        <sz val="14"/>
        <color rgb="FF0000FF"/>
        <rFont val="Calibri"/>
        <family val="2"/>
        <scheme val="minor"/>
      </rPr>
      <t>13 CFR Part 121</t>
    </r>
    <r>
      <rPr>
        <sz val="14"/>
        <color theme="1"/>
        <rFont val="Calibri"/>
        <family val="2"/>
        <scheme val="minor"/>
      </rPr>
      <t>.</t>
    </r>
  </si>
  <si>
    <r>
      <t xml:space="preserve">d) </t>
    </r>
    <r>
      <rPr>
        <sz val="14"/>
        <color theme="1"/>
        <rFont val="Calibri"/>
        <family val="2"/>
        <scheme val="minor"/>
      </rPr>
      <t xml:space="preserve">The EPC must lease the project property directly to the OC and: The lease must be in writing; </t>
    </r>
  </si>
  <si>
    <t>i. obtain a fully executed lease</t>
  </si>
  <si>
    <t>ii. The lease must be subordinated to the SBA’s mortgage, trust deed lien, or security interest on the property;</t>
  </si>
  <si>
    <t>iii. The lease must have a term, including options to renew exercisable solely by the OC, at least equal to the term of the loan;</t>
  </si>
  <si>
    <t>iv. The EPC (as landlord) must furnish as collateral for the loan an assignment of all rents paid under the lease. An assignment of the lease is only required when necessary to perfect the assignment of rents or to enable lender to exercise the tenant’s rights upon default;</t>
  </si>
  <si>
    <t>v. The rent or lease payments cannot exceed the amount necessary to make the loan payment to the lender, and an additional amount to cover the EPC’s expenses of holding the property, such as maintenance, insurance and property taxes; and</t>
  </si>
  <si>
    <t>vi. The SBA Lender has determined the OC’s cash flow will be sufficient to cover the loan payment (for 504 loans, including the loan payment to the Third Party Lender), in addition to the expenses of holding the property including the payment of routine maintenance, property taxes, utility expenses, insurance, and all other ongoing expenses;</t>
  </si>
  <si>
    <t>vii. The OC must lease 100% of the property from the EPC, but it can sublease a portion of the property under the rules governing occupancy requirements with which all SBA borrowers must comply.</t>
  </si>
  <si>
    <t>viii. If in acquiring the property, the EPC becomes the beneficiary or owner of the rights to an existing mineral lease on the property, the EPC must assign its interest in the lease (together with its rights to all rental, mineral, royalty, bonus, or similar lease payments that might accrue by virtue of the existing mineral (oil and gas) lease) to the OC; and any such assignment must be subordinated to all Deeds of Trust or Mortgages. In addition, the lender must take the following actions as applicable:</t>
  </si>
  <si>
    <t>(a) If subordination is not possible, the lender must provide documentation to that effect.</t>
  </si>
  <si>
    <t>(b) If the mineral lease has been terminated, the lender should attempt to have it removed from the Title Policy.</t>
  </si>
  <si>
    <t>(c) If the lender is unable to have the lease removed from the Title Policy, the lender must provide supporting documentation evidencing the property assignment of the lease to the OC and obtain a title endorsement to protect SBA’s interest in the real property (i.e., California Land Title Association (CLTA) 100.23 or 100.24).</t>
  </si>
  <si>
    <t>Items a-c above are complete, or are conditions of the loan.</t>
  </si>
  <si>
    <t>e) The OC must be a guarantor or a co-borrower on the loan. The OC must be a co-borrower if it receives any loan proceeds as working capital and/or for the purchase of other assets, including intangible assets, for the Operating Company’s use.</t>
  </si>
  <si>
    <t>f) Each holder of an ownership interest constituting at least 20% of either the EPC or the OC must guarantee the loan (if the holder is a trust, then the Trustee shall execute the guarantee on behalf of the trust). Each spouse owning less than 20% e of the EPC or the OC must personally guarantee the loan in full when the combined ownership interest of both spouses in the EPC or OC is 20% or more.</t>
  </si>
  <si>
    <t xml:space="preserve">c)	For a non-owner spouse, the SBA Lender must require the signature of the spouse on the appropriate collateral documents. The spouse's guaranty secured by jointly held collateral will be limited to the spouse's interest in the collateral. 
</t>
  </si>
  <si>
    <t>d)  If a person has executed the Note as a Borrower in an individual capacity, that person does not also have to execute a personal guaranty.</t>
  </si>
  <si>
    <t>e)  When deemed necessary for credit or other reasons, SBA or, for a loan processed under an SBA Lender’s delegated authority, the SBA Lender, may require other appropriate individuals or entities to provide full or limited guaranties of the loan without regard to the percentage of their ownership interests, if any.</t>
  </si>
  <si>
    <t>Conditions that apply when the EPC is owned in whole or in part by a trust.</t>
  </si>
  <si>
    <r>
      <t xml:space="preserve">a) </t>
    </r>
    <r>
      <rPr>
        <sz val="14"/>
        <color theme="1"/>
        <rFont val="Calibri"/>
        <family val="2"/>
        <scheme val="minor"/>
      </rPr>
      <t>The eligibility status of the Trustor will determine trust eligibility.</t>
    </r>
  </si>
  <si>
    <r>
      <t xml:space="preserve">b) </t>
    </r>
    <r>
      <rPr>
        <sz val="14"/>
        <color theme="1"/>
        <rFont val="Calibri"/>
        <family val="2"/>
        <scheme val="minor"/>
      </rPr>
      <t>All donors to the trust will be deemed to have Trustor status for eligibility purpose.</t>
    </r>
  </si>
  <si>
    <r>
      <t xml:space="preserve">c) </t>
    </r>
    <r>
      <rPr>
        <sz val="14"/>
        <color theme="1"/>
        <rFont val="Calibri"/>
        <family val="2"/>
        <scheme val="minor"/>
      </rPr>
      <t>The Trustee must warrant and certify that the trust will not be revoked or substantially amended for the term of the loan without the prior written consent of SBA.</t>
    </r>
  </si>
  <si>
    <r>
      <t xml:space="preserve">d) </t>
    </r>
    <r>
      <rPr>
        <sz val="14"/>
        <color theme="1"/>
        <rFont val="Calibri"/>
        <family val="2"/>
        <scheme val="minor"/>
      </rPr>
      <t>The Trustor must guarantee the loan.</t>
    </r>
  </si>
  <si>
    <t>i. If an Employee Stock Ownership Plan trust agreement prohibits it from being a guarantor or co-borrower, then it cannot use the EPC form of borrowing.</t>
  </si>
  <si>
    <t>ii. Beneficiaries usually do not have any control over the actions of the trust and, therefore, do not have to meet the guaranty requirements.</t>
  </si>
  <si>
    <r>
      <t xml:space="preserve">e) </t>
    </r>
    <r>
      <rPr>
        <sz val="14"/>
        <color theme="1"/>
        <rFont val="Calibri"/>
        <family val="2"/>
        <scheme val="minor"/>
      </rPr>
      <t xml:space="preserve">The Trustee shall certify in writing to SBA that: </t>
    </r>
  </si>
  <si>
    <t>i. The Trustee has authority to act;</t>
  </si>
  <si>
    <t>ii. The trust has authority to borrow funds, pledge trust assets, and lease the property to the OC;</t>
  </si>
  <si>
    <t>iii. The Trustee has provided accurate, pertinent language from the trust agreement confirming the above; and</t>
  </si>
  <si>
    <t>iv. The Trustee has provided and will continue to provide SBA with a true and complete list of all trustors and donors.</t>
  </si>
  <si>
    <r>
      <t xml:space="preserve">f) </t>
    </r>
    <r>
      <rPr>
        <sz val="14"/>
        <color theme="1"/>
        <rFont val="Calibri"/>
        <family val="2"/>
        <scheme val="minor"/>
      </rPr>
      <t>The trust itself does not have to be small by SBA size standards.</t>
    </r>
  </si>
  <si>
    <t xml:space="preserve">4. Size Determinations under the EPC rule  Applicant meets all size standards, see general eligibility above </t>
  </si>
  <si>
    <r>
      <t xml:space="preserve">a) </t>
    </r>
    <r>
      <rPr>
        <sz val="14"/>
        <color theme="1"/>
        <rFont val="Calibri"/>
        <family val="2"/>
        <scheme val="minor"/>
      </rPr>
      <t>If the EPC and the OC are affiliated the two companies are combined for determining size.</t>
    </r>
  </si>
  <si>
    <t>i. If there is only one OC, use the OC’s NAICS code.</t>
  </si>
  <si>
    <t>ii. If there are multiple, unaffiliated OCs, use the NAICS code of the OC that derives the most revenue. Note: Each OC must be small based on its own NAICS code.</t>
  </si>
  <si>
    <r>
      <t xml:space="preserve">iii. If the multiple OCs are affiliated, then use the rules detailed in </t>
    </r>
    <r>
      <rPr>
        <sz val="14"/>
        <color rgb="FF0000FF"/>
        <rFont val="Calibri"/>
        <family val="2"/>
        <scheme val="minor"/>
      </rPr>
      <t xml:space="preserve">13 CFR §121.107 </t>
    </r>
    <r>
      <rPr>
        <sz val="14"/>
        <color theme="1"/>
        <rFont val="Calibri"/>
        <family val="2"/>
        <scheme val="minor"/>
      </rPr>
      <t>for determining the primary industry of affiliated businesses. The NAICS Code of the primary industry of the OC shall be the identifying NAICS Code.</t>
    </r>
  </si>
  <si>
    <r>
      <t xml:space="preserve">b) </t>
    </r>
    <r>
      <rPr>
        <sz val="14"/>
        <color theme="1"/>
        <rFont val="Calibri"/>
        <family val="2"/>
        <scheme val="minor"/>
      </rPr>
      <t>If the EPC and the OC are not affiliated, each entity must be small under the size requirement for its particular industry.</t>
    </r>
  </si>
  <si>
    <r>
      <t xml:space="preserve">c) </t>
    </r>
    <r>
      <rPr>
        <sz val="14"/>
        <color theme="1"/>
        <rFont val="Calibri"/>
        <family val="2"/>
        <scheme val="minor"/>
      </rPr>
      <t>The existence of a lease between the EPC and the OC does not, in and of itself, create an affiliation, even if the EPC and OC are co-borrowers.</t>
    </r>
  </si>
  <si>
    <r>
      <t xml:space="preserve">d) </t>
    </r>
    <r>
      <rPr>
        <sz val="14"/>
        <color theme="1"/>
        <rFont val="Calibri"/>
        <family val="2"/>
        <scheme val="minor"/>
      </rPr>
      <t>An EPC (including a trust) may engage in a business activity other than leasing the property to the OC.</t>
    </r>
  </si>
  <si>
    <t>5. Multiple OCs can be separately owned.</t>
  </si>
  <si>
    <t>6. Multiple EPCs in one transaction are not permitted.</t>
  </si>
  <si>
    <t>7. When sending data to SBA, use the same NAICS Code that was used to determine size for the Small Business Applicant.</t>
  </si>
  <si>
    <t>8. Submission of Financial Statements by the EPC and the OC</t>
  </si>
  <si>
    <r>
      <t xml:space="preserve">a) </t>
    </r>
    <r>
      <rPr>
        <sz val="14"/>
        <color theme="1"/>
        <rFont val="Calibri"/>
        <family val="2"/>
        <scheme val="minor"/>
      </rPr>
      <t>Both the EPC and each OC must submit Financial Statements. The OC’s statements are subject to tax verification.</t>
    </r>
  </si>
  <si>
    <r>
      <t xml:space="preserve">b) </t>
    </r>
    <r>
      <rPr>
        <sz val="14"/>
        <color theme="1"/>
        <rFont val="Calibri"/>
        <family val="2"/>
        <scheme val="minor"/>
      </rPr>
      <t>The regular requirement for an Aging of receivables and payables is waived for EPCs.</t>
    </r>
  </si>
  <si>
    <t xml:space="preserve">Applicant EPC/OC structure meets all guidelines detailed above. </t>
  </si>
  <si>
    <t>Debt Refinance Addendum</t>
  </si>
  <si>
    <t xml:space="preserve">Debts must meet the criteria listed in below paragraph and meet criteria in both 1 AND 2  to be eligible for refinancing.
SBA-guaranteed loan proceeds may not be used to pay a creditor in a position to sustain a loss (including the same institution’s debt). This includes any refinancing that will shift all or part of a potential loss from the original lender to the SBA. 13 CFR §§ 120.140(j)(1) and 120.201
The debt to be refinanced must be, and must have been, current for at least the last 12 months or for the life of the loan, whichever is less. “Current” means that a required payment has not remained unpaid for more than 29 days. A loan that has matured and not been paid within 29 days of the maturity date is not current and is not eligible for refinancing. </t>
  </si>
  <si>
    <t>1. Debt to be refinanced meets one of these types:</t>
  </si>
  <si>
    <r>
      <t xml:space="preserve">a) </t>
    </r>
    <r>
      <rPr>
        <sz val="14"/>
        <color theme="1"/>
        <rFont val="Calibri"/>
        <family val="2"/>
        <scheme val="minor"/>
      </rPr>
      <t xml:space="preserve">Debt (short or long term) structured with a demand note or balloon payment; </t>
    </r>
  </si>
  <si>
    <r>
      <t xml:space="preserve">b) </t>
    </r>
    <r>
      <rPr>
        <sz val="14"/>
        <color theme="1"/>
        <rFont val="Calibri"/>
        <family val="2"/>
        <scheme val="minor"/>
      </rPr>
      <t xml:space="preserve">Debt with an interest rate that exceeds the SBA maximum interest rate based on size, term and 7(a) processing method being used;  </t>
    </r>
  </si>
  <si>
    <r>
      <rPr>
        <b/>
        <sz val="14"/>
        <color theme="1"/>
        <rFont val="Calibri"/>
        <family val="2"/>
        <scheme val="minor"/>
      </rPr>
      <t>c)</t>
    </r>
    <r>
      <rPr>
        <sz val="14"/>
        <color theme="1"/>
        <rFont val="Calibri"/>
        <family val="2"/>
        <scheme val="minor"/>
      </rPr>
      <t xml:space="preserve"> Credit card obligations used for business-related purposes; The Applicant must certify that the proceeds from the debt were used exclusively for the Applicant’s business and were not used for any ineligible purpose as set forth in 13 CFR § 120.130.</t>
    </r>
  </si>
  <si>
    <r>
      <t xml:space="preserve">d) </t>
    </r>
    <r>
      <rPr>
        <sz val="14"/>
        <color theme="1"/>
        <rFont val="Calibri"/>
        <family val="2"/>
        <scheme val="minor"/>
      </rPr>
      <t>Debt that is over collateralized based on SBA’s collateral requirements;</t>
    </r>
    <r>
      <rPr>
        <b/>
        <sz val="14"/>
        <color theme="1"/>
        <rFont val="Calibri"/>
        <family val="2"/>
        <scheme val="minor"/>
      </rPr>
      <t xml:space="preserve"> </t>
    </r>
  </si>
  <si>
    <r>
      <t xml:space="preserve">e) </t>
    </r>
    <r>
      <rPr>
        <sz val="14"/>
        <color theme="1"/>
        <rFont val="Calibri"/>
        <family val="2"/>
        <scheme val="minor"/>
      </rPr>
      <t>Revolving lines of credit (short term or long term) where the original lender is unwilling to renew the line or the applicant is restructuring its financing in order to obtain a lower interest rate or longer term;</t>
    </r>
  </si>
  <si>
    <r>
      <t xml:space="preserve">f) </t>
    </r>
    <r>
      <rPr>
        <sz val="14"/>
        <color theme="1"/>
        <rFont val="Calibri"/>
        <family val="2"/>
        <scheme val="minor"/>
      </rPr>
      <t>Debt with a maturity that was not appropriate for the purpose of the financing (e.g. a 3 year term loan to finance a piece of equipment with a useful life of 15 years);</t>
    </r>
  </si>
  <si>
    <r>
      <t xml:space="preserve">g) </t>
    </r>
    <r>
      <rPr>
        <sz val="14"/>
        <color theme="1"/>
        <rFont val="Calibri"/>
        <family val="2"/>
        <scheme val="minor"/>
      </rPr>
      <t>Debt used to finance a change of ownership; and</t>
    </r>
  </si>
  <si>
    <t xml:space="preserve">   i. To be eligible for refinancing, any seller financed note must have been in place and current for 24 months following the change of ownership.
</t>
  </si>
  <si>
    <t xml:space="preserve">   ii. If the change of ownership is between existing owners of a business and existing business debt will be refinanced as part of the transaction, the refinancing must meet the requirements set forth in this section.</t>
  </si>
  <si>
    <r>
      <rPr>
        <b/>
        <sz val="14"/>
        <color theme="1"/>
        <rFont val="Calibri"/>
        <family val="2"/>
        <scheme val="minor"/>
      </rPr>
      <t>h)</t>
    </r>
    <r>
      <rPr>
        <sz val="14"/>
        <color theme="1"/>
        <rFont val="Calibri"/>
        <family val="2"/>
        <scheme val="minor"/>
      </rPr>
      <t xml:space="preserve"> Debt reflected on the Applicant’s business balance sheet is eligible for refinancing if the Applicant certified that the debt is reflected on the Applicant’s business tax returns (Schedule C for sole proprietorships) showing the interest expense associated with the debt. If a Lender submits a loan with proceeds refinanced from debt on the Applicant’s business balance sheet where the Applicant certified that the proceeds from the debt were used exclusively for the Applicant’s business but if the Applicant certification is determined to be invalid, SBA will not use this as a basis to deny or repair the guaranty purchase request. The Lender may rely on the Applicant certification.</t>
    </r>
  </si>
  <si>
    <r>
      <rPr>
        <b/>
        <sz val="14"/>
        <color theme="1"/>
        <rFont val="Calibri"/>
        <family val="2"/>
        <scheme val="minor"/>
      </rPr>
      <t xml:space="preserve">i) </t>
    </r>
    <r>
      <rPr>
        <sz val="14"/>
        <color theme="1"/>
        <rFont val="Calibri"/>
        <family val="2"/>
        <scheme val="minor"/>
      </rPr>
      <t xml:space="preserve"> Home Equity Line of Credit (HELOC): If the debt is in the form of a HELOC, the Applicant must certify that the amount being refinanced was used exclusively for business. If a Lender submits a loan with proceeds refinanced from debt in the form of a HELOC where the Applicant certified that the proceeds from the debt were used exclusively for the Applicant’s business but if the Applicant certification is determined to be invalid, SBA will not use this as a basis to deny or repair the guaranty purchase request. The Lender may rely on the Applicant certification.</t>
    </r>
  </si>
  <si>
    <r>
      <rPr>
        <b/>
        <sz val="14"/>
        <color theme="1"/>
        <rFont val="Calibri"/>
        <family val="2"/>
        <scheme val="minor"/>
      </rPr>
      <t>j)</t>
    </r>
    <r>
      <rPr>
        <sz val="14"/>
        <color theme="1"/>
        <rFont val="Calibri"/>
        <family val="2"/>
        <scheme val="minor"/>
      </rPr>
      <t xml:space="preserve"> The Lender is refinancing its own non-SBA guaranteed loan to the Applicant and it meets the following requirements:
i.	The new loan meets the SBA 10 percent improvement to installment payment amount in paragraph d. below; Additionally, loans that reduce the Lender's credit exposure to the Applicant must be processed under non-delegated authority.</t>
    </r>
  </si>
  <si>
    <r>
      <rPr>
        <b/>
        <sz val="14"/>
        <color theme="1"/>
        <rFont val="Calibri"/>
        <family val="2"/>
        <scheme val="minor"/>
      </rPr>
      <t>k)</t>
    </r>
    <r>
      <rPr>
        <sz val="14"/>
        <color theme="1"/>
        <rFont val="Calibri"/>
        <family val="2"/>
        <scheme val="minor"/>
      </rPr>
      <t xml:space="preserve"> The Lender is refinancing an existing SBA-guaranteed loan to the Applicant  and it meets the following requirements:
</t>
    </r>
    <r>
      <rPr>
        <b/>
        <sz val="14"/>
        <color theme="1"/>
        <rFont val="Calibri"/>
        <family val="2"/>
        <scheme val="minor"/>
      </rPr>
      <t xml:space="preserve">Refinancing an SBA 7(a) loan. </t>
    </r>
    <r>
      <rPr>
        <sz val="14"/>
        <color theme="1"/>
        <rFont val="Calibri"/>
        <family val="2"/>
        <scheme val="minor"/>
      </rPr>
      <t xml:space="preserve">
a)  The new loan will meet the 10 percent improvement to installment payment amount requirement 
b)  Any applicable subsidy recoupment fees will apply
</t>
    </r>
    <r>
      <rPr>
        <b/>
        <sz val="14"/>
        <color theme="1"/>
        <rFont val="Calibri"/>
        <family val="2"/>
        <scheme val="minor"/>
      </rPr>
      <t xml:space="preserve">Refinancing an SBA 504 loan. </t>
    </r>
    <r>
      <rPr>
        <sz val="14"/>
        <color theme="1"/>
        <rFont val="Calibri"/>
        <family val="2"/>
        <scheme val="minor"/>
      </rPr>
      <t xml:space="preserve">
a)	The loan meets the SBA 10 percent improvement to installment payment amount  
b)	The justification to refinance the existing 504 loan must be included in the credit memorandum.
c)	Any applicable 504 prepayment penalties will apply.
d)	The Lender may not solely refinance the Third Party Lender’s loan for an existing 504 project.</t>
    </r>
  </si>
  <si>
    <t>Explain:</t>
  </si>
  <si>
    <r>
      <rPr>
        <b/>
        <sz val="14"/>
        <color theme="1"/>
        <rFont val="Calibri"/>
        <family val="2"/>
        <scheme val="minor"/>
      </rPr>
      <t xml:space="preserve">  2. Ten Percent Payment Improvemen</t>
    </r>
    <r>
      <rPr>
        <sz val="14"/>
        <color theme="1"/>
        <rFont val="Calibri"/>
        <family val="2"/>
        <scheme val="minor"/>
      </rPr>
      <t xml:space="preserve">t:  With the exception of debt (short-term or long-term) structured with a demand note or balloon payment, credit card obligations and HELOC used for business-related purposes, and revolving lines of credit (short-term or long-term) where the original lender is unable or unwilling to renew the line or the Applicant is restructuring its financing in order to obtain a lower interest rate or longer term, when refinancing debt, </t>
    </r>
    <r>
      <rPr>
        <b/>
        <sz val="14"/>
        <color theme="1"/>
        <rFont val="Calibri"/>
        <family val="2"/>
        <scheme val="minor"/>
      </rPr>
      <t xml:space="preserve">the new installment amount must be at least 10 percent less than the existing installment amount(s). </t>
    </r>
    <r>
      <rPr>
        <sz val="14"/>
        <color theme="1"/>
        <rFont val="Calibri"/>
        <family val="2"/>
        <scheme val="minor"/>
      </rPr>
      <t>If other debt is being refinanced at the same time, such debt may be included in the installment improvement calculation. If the note terms include an escalating payment structure, the new installment amount must be at least 10 percent less than the expected installment amount within the next 12 months.</t>
    </r>
  </si>
  <si>
    <t>Address the following for each debt to be refinanced:</t>
  </si>
  <si>
    <t>(Info to be obtained from debt schedule)</t>
  </si>
  <si>
    <t>Current Lender:</t>
  </si>
  <si>
    <t>Current Payment:</t>
  </si>
  <si>
    <t>New Payment:</t>
  </si>
  <si>
    <t>% Improvement</t>
  </si>
  <si>
    <t>Debt Refi meets all SBA Criteria:</t>
  </si>
  <si>
    <t>Change of Ownership Addendum</t>
  </si>
  <si>
    <t>A Borrower(s) (and any individual Co-Borrower as permitted under this paragraph), may use loan proceeds for a change of ownership, whether the change of ownership is accomplished through a stock purchase (including a stock redemption) or an asset purchase, only under the circumstances described under this paragraph. An asset purchase will be deemed a change of ownership and must comply with all of the requirements of this paragraph if the Applicant(s) is purchasing all or substantially all of the assets of the seller’s business and is continuing the operations of the seller’s business. The following requirements apply:</t>
  </si>
  <si>
    <t>The change of ownership will promote the sound development and/or preserve the existence of a small business;</t>
  </si>
  <si>
    <t>The small business is either the Borrower or the Co-Borrower as an SBA loan cannot be made solely to an individual</t>
  </si>
  <si>
    <t>The maximum 7(a) loan uses of proceeds is capped at the business valuation amount. When the business valuation is lower than the sales agreement, any financed capital required to meet the shortfall (in addition to the 7(a) loan and any equity injection) is subordinated to the 7(a) loan.</t>
  </si>
  <si>
    <t xml:space="preserve">There are not any seller earnouts in the purchase agreement.  Any buyer rebates based on business performance are allowed included will first be applied to pay down the 7(a) loan to a point that will not trigger a subsidy recoupment fee, and any remaining funds may be used for business purposes; </t>
  </si>
  <si>
    <t>Business valuation requirements:</t>
  </si>
  <si>
    <t>Select One</t>
  </si>
  <si>
    <t>The amount being financed (including any 7(a), 504, seller, or other financing) minus the appraised value of real estate and/or equipment being financed is $250,000 or less:  An internal valuation has been performed (see details below)</t>
  </si>
  <si>
    <t xml:space="preserve">2. </t>
  </si>
  <si>
    <r>
      <t>If the amount being financed (including any 7(a), 504, seller, or other financing) minus the appraised value of real estate and/or equipment is greater than $250,000 or if there is a close relationship between the buyer and seller.  An internal business valuation has been performed (see details below), additionally an independent 3</t>
    </r>
    <r>
      <rPr>
        <vertAlign val="superscript"/>
        <sz val="12"/>
        <color theme="1"/>
        <rFont val="Calibri"/>
        <family val="2"/>
        <scheme val="minor"/>
      </rPr>
      <t>rd</t>
    </r>
    <r>
      <rPr>
        <sz val="12"/>
        <color theme="1"/>
        <rFont val="Calibri"/>
        <family val="2"/>
        <scheme val="minor"/>
      </rPr>
      <t xml:space="preserve"> party valuation will be ordered.</t>
    </r>
  </si>
  <si>
    <t>Business Valuation Summary:</t>
  </si>
  <si>
    <t>The Lender’s loan documentation includes the following:</t>
  </si>
  <si>
    <t>i.	  A current business valuation (not to include any real estate) that meets SBA requirements in paragraph C.3.f.v, Business Valuation Requirements - Change of Ownership below.
ii.	  A site visit of the business being acquired. The Lender must document in its loan file the date of the site visit as well as comments. 
iii.	  A real estate appraisal for commercial real estate that meets SBA requirements. See paragraph C.3.f, Real Estate Appraisal and Business Valuation Requirements below.
iv.	  Business, stock, and asset purchase agreements. 
v.	  Evidence that all assets, including transferable licenses (e.g., liquor license) conveyed as a result of purchase are properly secured as collateral by Lender.</t>
  </si>
  <si>
    <t xml:space="preserve">The “purchase price of the business” includes all assets being acquired such as real estate, machinery and equipment, and intangible assets. </t>
  </si>
  <si>
    <t xml:space="preserve">No loan proceeds will be used to pay for any excess of the business valuation.  </t>
  </si>
  <si>
    <t xml:space="preserve">Lender has verified or will verify prior to closing the financial data used for the business valuation against the seller's IRS transcripts.  </t>
  </si>
  <si>
    <t>Structure of business purchase -Select One:</t>
  </si>
  <si>
    <t xml:space="preserve">1. </t>
  </si>
  <si>
    <t>Change of Ownership Resulting in a New Owner: A change of ownership resulting in a new owner may be financed under the following circumstances:</t>
  </si>
  <si>
    <t>i. A small business is purchasing 100% of the ownership interest in another business and has met the following requirements:</t>
  </si>
  <si>
    <t>The acquiring entity will be the Borrower. If, however, the business being acquired will continue to exist as a separate entity, the acquiring entity and the small business being acquired must be Co-Borrowers. All owners of the Applicant business, and the business being acquired, if it is a Co-Borrower, are subject to the requirements for guaranties in Section A, Ch. 5, Para. A, Guaranties.</t>
  </si>
  <si>
    <t xml:space="preserve">ii. An individual(s) who is not an existing owner is purchasing 100% of the ownership interest in a small business. </t>
  </si>
  <si>
    <t>The small business and the individual owner(s) who is acquiring the ownership interest must be Co-Borrowers. In addition, the Note must be executed, jointly and severally, by both the individual(s) who acquires the ownership interest(s) and the small business whose ownership interest is being acquired. If the small business denies liability for the debt based on an alleged failure of consideration under applicable state law, SBA may deny liability on its guaranty.</t>
  </si>
  <si>
    <t>iii. A small business is acquiring another small business through an asset purchase and has met the following requirements:</t>
  </si>
  <si>
    <t>The acquiring entity will be the Borrower. If, however, the business being acquired will continue to exist as a separate entity, the acquiring entity and the small business being acquired must be Co-Borrowers. All owners of the Applicant business, and the business being acquired, if it is a Co-Borrower, are subject to the requirements for guaranties in Section A, Ch. 5, Para. A, Guaranties</t>
  </si>
  <si>
    <t>iv. The eligibility of one of these scenarios has been met:</t>
  </si>
  <si>
    <t>d)	An Employee Stock Ownership Plan (ESOP) or equivalent trust is purchasing a controlling interest (51% or more) in the employer small business. (Note: any transaction costs associated with the purchase of the controlling interest by the ESOP or equivalent trust, but not costs associated with setting up the trust, may be included in the use of proceeds.) (13 CFR § 120.352(b)) See Section A, Ch. 1, Para. H.2., Loans to Employee Stock Ownership Plans (ESOPS), for more information.
e)	A small business is obtaining a loan for the sole purpose of re-lending the funds to an ESOP or equivalent trust to acquire a controlling interest (51% or more) in the small business. (Note: any transaction costs associated with making the loan to the ESOP or equivalent trust, but not the costs associated with setting up the trust, may be included in the use of proceeds.) See Section A, Ch. 1, Para. H.2., Loans to Employee Stock Ownership Plans (ESOPS),, for more information.
f)	A cooperative is purchasing a controlling interest (51% or more) in the employer small business. (Note: any transaction costs associated with the purchase of the controlling interest, but not costs associated with setting up the cooperative, may be included in the use of proceeds.) These loans may not be processed under PLP authority</t>
  </si>
  <si>
    <t xml:space="preserve">The seller will NOT remain as an officer, director, stockholder or key employee of the business. (13 CFR §120.130) (If a short transitional period is needed, the small business may contract with the seller as a consultant for a period not to exceed 12 months including any extensions.) </t>
  </si>
  <si>
    <t xml:space="preserve">Explain any transitional contracts: </t>
  </si>
  <si>
    <t xml:space="preserve">10% equity of the total project cost have been injected.  
</t>
  </si>
  <si>
    <t xml:space="preserve">i. Equity injection is new cash or other acceptable assets added into the project that is not on the Applicant's balance sheet prior to the equity injection. </t>
  </si>
  <si>
    <t xml:space="preserve">ii.  Seller debt included in the equity injection is on full standby for 24 months of the loan OR the seller debt is on partial standby (interest only payments being made) and lender has determined that there was historical business cash flow to make the payments AND at least 25% of the required equity injection is from a source other than the seller.  </t>
  </si>
  <si>
    <t>Change of Ownership Between Existing Owners: A change of ownership between existing owners may be financed under the following circumstances:</t>
  </si>
  <si>
    <t>i.  One or more current owners is purchasing the entire interest of another current owner, resulting in 100% ownership of the business by the remaining owner(s).   The small business and the individual owner(s) who is acquiring the ownership interest are Co-Borrowers. In addition, the Note will be executed, jointly and severally, by both the individual(s) who acquires the ownership interest(s) and the small business whose ownership interest is being acquired. If the small business denies liability for the debt based on an alleged failure of consideration under applicable state law, SBA may deny liability on its guaranty.</t>
  </si>
  <si>
    <t>ii.  The small business is redeeming the ownership interest of an owner(s), resulting in 100% ownership of the small business by the remaining owner(s). The small business must be the Borrower, and the remaining owner(s) are subject to the requirements for guaranties in Section A, Ch. 5, Para. A, Guaranties.</t>
  </si>
  <si>
    <r>
      <t xml:space="preserve">The seller </t>
    </r>
    <r>
      <rPr>
        <b/>
        <sz val="12"/>
        <color theme="1"/>
        <rFont val="Calibri"/>
        <family val="2"/>
        <scheme val="minor"/>
      </rPr>
      <t>MAY</t>
    </r>
    <r>
      <rPr>
        <sz val="12"/>
        <color theme="1"/>
        <rFont val="Calibri"/>
        <family val="2"/>
        <scheme val="minor"/>
      </rPr>
      <t xml:space="preserve"> stay on as an officer, director, stockholder or key employee of the business as one ore more current owners is selling less than their entire percentage of their current ownership.</t>
    </r>
  </si>
  <si>
    <t>In order to finance more than 90% of the change in ownership between existing owners, both of the following must be met.  In the event the T Bank is unable to document that both (iii) and (iv) below are satisfied, the remaining owner(s) must contribute cash in the amount of at least 10% of the purchase price of the business, as reflected in the purchase and sale agreement.</t>
  </si>
  <si>
    <r>
      <t xml:space="preserve">iii.  the remaining owner(s) have certified that he/she has been actively participating in the business operation and held the same ownership interest in the business for at least the past 24 months.  </t>
    </r>
    <r>
      <rPr>
        <b/>
        <sz val="12"/>
        <color theme="1"/>
        <rFont val="Calibri"/>
        <family val="2"/>
        <scheme val="minor"/>
      </rPr>
      <t>A copy of the certification is in file.</t>
    </r>
  </si>
  <si>
    <r>
      <t xml:space="preserve">iv.  The business balance sheets for the most recent completed fiscal year and current quarter reflect a debt-to-worth ratio of no greater than 9:1 </t>
    </r>
    <r>
      <rPr>
        <b/>
        <sz val="12"/>
        <color theme="1"/>
        <rFont val="Calibri"/>
        <family val="2"/>
        <scheme val="minor"/>
      </rPr>
      <t>prior to the change in ownership.</t>
    </r>
  </si>
  <si>
    <t>Changes of ownership other than complete changes of ownership or complete partner buyouts (partial change of ownership): Loan proceeds may be used to fund the purchase of a portion of one or more owner’s interest in the business or of the business itself.</t>
  </si>
  <si>
    <t>a)	Both the business and the individual owner(s) who is acquiring the ownership interest are co-borrowers on the new loan.
b)	The small business is redeeming a partial ownership interest from one or more owners. All remaining owners that are subject to the requirements for guaranties in Section A, Ch. 5, Para. A, Guaranties; based on the post-sale percentage of ownership in the business, will guaranty the note. Note that for ESOP transactions, there is a statutory requirement that if the seller of the employer small business remains as a partial owner, the seller must provide a full, unlimited guarantee regardless of ownership – this statutory requirement cannot be waived.</t>
  </si>
  <si>
    <r>
      <t xml:space="preserve">The seller </t>
    </r>
    <r>
      <rPr>
        <b/>
        <sz val="12"/>
        <color theme="1"/>
        <rFont val="Calibri"/>
        <family val="2"/>
        <scheme val="minor"/>
      </rPr>
      <t xml:space="preserve">MAY </t>
    </r>
    <r>
      <rPr>
        <sz val="12"/>
        <color theme="1"/>
        <rFont val="Calibri"/>
        <family val="2"/>
        <scheme val="minor"/>
      </rPr>
      <t>stay on as an officer, director, stockholder or key employee of the business as one ore more current owners is selling less than their entire percentage of their current ownership.</t>
    </r>
  </si>
  <si>
    <t>Change of ownership meets all SBA Criteria:</t>
  </si>
  <si>
    <t>Ownership Structure</t>
  </si>
  <si>
    <t>Operating Company</t>
  </si>
  <si>
    <t>Before</t>
  </si>
  <si>
    <t>After</t>
  </si>
  <si>
    <t>Entity:</t>
  </si>
  <si>
    <t>Owner:</t>
  </si>
  <si>
    <t>Holding Company</t>
  </si>
  <si>
    <t>Personal Resources Test</t>
  </si>
  <si>
    <t>Page 1</t>
  </si>
  <si>
    <t>Applicant / Borrower:</t>
  </si>
  <si>
    <t>Individual or Entity with 20% or more ownership:</t>
  </si>
  <si>
    <t xml:space="preserve">Any individual or entity owning 20 percent or more of the Applicant.  </t>
  </si>
  <si>
    <t>Cash and cash equivalents, including savings accounts, CDs</t>
  </si>
  <si>
    <t>Marketable Securities (Stocks &amp; Bonds)</t>
  </si>
  <si>
    <t>Cash Surrender Value of Life Insurance</t>
  </si>
  <si>
    <t>Others</t>
  </si>
  <si>
    <t>(Explain)</t>
  </si>
  <si>
    <t>Total Liquid Assets</t>
  </si>
  <si>
    <t>Total Financing Package</t>
  </si>
  <si>
    <t>Limit for SBA Package below $350,000</t>
  </si>
  <si>
    <t>greater of   2.0x   or</t>
  </si>
  <si>
    <t>Limit for SBA Package between $350,001 to $1,000,000</t>
  </si>
  <si>
    <t>greater of   1.5x   or</t>
  </si>
  <si>
    <t>Limit for SBA Package exceeding $1,000,000</t>
  </si>
  <si>
    <t>greater of   1.0x   or</t>
  </si>
  <si>
    <t xml:space="preserve">Times the Total Financing Package </t>
  </si>
  <si>
    <t xml:space="preserve">Liquid Asset Exemption is: </t>
  </si>
  <si>
    <t>Additional Injection required:</t>
  </si>
  <si>
    <t>Personal Resources Test (13 CFR § 120.102)</t>
  </si>
  <si>
    <t>Page 2</t>
  </si>
  <si>
    <t>7a</t>
  </si>
  <si>
    <t>504, Conventional, USDA</t>
  </si>
  <si>
    <t>Loan Amortization Schedule</t>
  </si>
  <si>
    <t>Enter values</t>
  </si>
  <si>
    <t>Loan summary</t>
  </si>
  <si>
    <t>Loan amount</t>
  </si>
  <si>
    <t>Scheduled payment</t>
  </si>
  <si>
    <t>Annual interest rate</t>
  </si>
  <si>
    <t>Scheduled number of payments</t>
  </si>
  <si>
    <t>Loan period in years</t>
  </si>
  <si>
    <t>Actual number of payments</t>
  </si>
  <si>
    <t>Number of payments per year</t>
  </si>
  <si>
    <t>Total early payments</t>
  </si>
  <si>
    <t>Start date of loan</t>
  </si>
  <si>
    <t>Total interest</t>
  </si>
  <si>
    <t>Optional extra payments</t>
  </si>
  <si>
    <t>Lender name:</t>
  </si>
  <si>
    <t>PmtNo.</t>
  </si>
  <si>
    <t>Payment Date</t>
  </si>
  <si>
    <t>Scheduled Payment</t>
  </si>
  <si>
    <t>Extra Payment</t>
  </si>
  <si>
    <t>Total Payment</t>
  </si>
  <si>
    <t>Principal</t>
  </si>
  <si>
    <t>Cumulative Interest</t>
  </si>
  <si>
    <t>Current Portion</t>
  </si>
  <si>
    <t>12 Mos Int</t>
  </si>
  <si>
    <t>Loan Type</t>
  </si>
  <si>
    <t>Basics</t>
  </si>
  <si>
    <t>Request</t>
  </si>
  <si>
    <t>UW</t>
  </si>
  <si>
    <t>Original</t>
  </si>
  <si>
    <t>New</t>
  </si>
  <si>
    <t>Andrew Taylor</t>
  </si>
  <si>
    <t>Audrey Wendel</t>
  </si>
  <si>
    <t>Mod 1</t>
  </si>
  <si>
    <t>Antony Parker</t>
  </si>
  <si>
    <t>Ben Eakin</t>
  </si>
  <si>
    <t>Mod 2</t>
  </si>
  <si>
    <t>SBA Express</t>
  </si>
  <si>
    <t>Modification</t>
  </si>
  <si>
    <t>Brent Ruch</t>
  </si>
  <si>
    <t>Mod 3</t>
  </si>
  <si>
    <t>Jennifer Dennis</t>
  </si>
  <si>
    <t>Eric Wadley</t>
  </si>
  <si>
    <t>Mod 4</t>
  </si>
  <si>
    <t>USDA</t>
  </si>
  <si>
    <t>Jessica Gauden</t>
  </si>
  <si>
    <t>Glenn Giro</t>
  </si>
  <si>
    <t>Mod 5</t>
  </si>
  <si>
    <t>P&amp;E</t>
  </si>
  <si>
    <t>Rodney Johnson</t>
  </si>
  <si>
    <t>Greg Swett</t>
  </si>
  <si>
    <t>Mod 6</t>
  </si>
  <si>
    <t>Conventional</t>
  </si>
  <si>
    <t>Multi</t>
  </si>
  <si>
    <t>Rose Haynes-Taylor</t>
  </si>
  <si>
    <t>Jordan Sayler</t>
  </si>
  <si>
    <t>Mod 7</t>
  </si>
  <si>
    <t>Single</t>
  </si>
  <si>
    <t>True/False</t>
  </si>
  <si>
    <t>Connor Shaw</t>
  </si>
  <si>
    <t>Kandace Moon</t>
  </si>
  <si>
    <t>Mod 8</t>
  </si>
  <si>
    <t>Sheila Simms</t>
  </si>
  <si>
    <t>Kerry Smith</t>
  </si>
  <si>
    <t>Mod 9</t>
  </si>
  <si>
    <t>True</t>
  </si>
  <si>
    <t>Kevin Coffman</t>
  </si>
  <si>
    <t>Mod 10</t>
  </si>
  <si>
    <t>False</t>
  </si>
  <si>
    <t>Mike Ramsay</t>
  </si>
  <si>
    <t>Patrick Phillips</t>
  </si>
  <si>
    <t>Entity Types</t>
  </si>
  <si>
    <t>Loan Program</t>
  </si>
  <si>
    <t>Rick McMann</t>
  </si>
  <si>
    <t>Rod Rodriguez</t>
  </si>
  <si>
    <t>TBD</t>
  </si>
  <si>
    <t>Roman Reyes</t>
  </si>
  <si>
    <t>Sole Prop</t>
  </si>
  <si>
    <t>PLP</t>
  </si>
  <si>
    <t>Audited</t>
  </si>
  <si>
    <t>Accrual</t>
  </si>
  <si>
    <t>Steve Jones</t>
  </si>
  <si>
    <t>LLC</t>
  </si>
  <si>
    <t>GP</t>
  </si>
  <si>
    <t>Reviewed</t>
  </si>
  <si>
    <t>Hybrid</t>
  </si>
  <si>
    <t>S-Corp</t>
  </si>
  <si>
    <t>Compiled</t>
  </si>
  <si>
    <t>C-Corp</t>
  </si>
  <si>
    <t>Proforma BS</t>
  </si>
  <si>
    <t>Prof Corp</t>
  </si>
  <si>
    <t>Form 10K</t>
  </si>
  <si>
    <t>Prof LLC</t>
  </si>
  <si>
    <t>Form 10Q</t>
  </si>
  <si>
    <t>New BS</t>
  </si>
  <si>
    <t>Last Year End</t>
  </si>
  <si>
    <t>LTD Partnership</t>
  </si>
  <si>
    <t>Interim</t>
  </si>
  <si>
    <t>Partnership</t>
  </si>
  <si>
    <t>UCC Lien Type</t>
  </si>
  <si>
    <t>Daily</t>
  </si>
  <si>
    <t>First</t>
  </si>
  <si>
    <t>C-Store</t>
  </si>
  <si>
    <t>Standard</t>
  </si>
  <si>
    <t>Monthly</t>
  </si>
  <si>
    <t>Second</t>
  </si>
  <si>
    <t>Purchase Money UCC</t>
  </si>
  <si>
    <t>Hotel</t>
  </si>
  <si>
    <t>Calendar Qtr</t>
  </si>
  <si>
    <t>Third</t>
  </si>
  <si>
    <t>Blanket UCC</t>
  </si>
  <si>
    <t>Industrial</t>
  </si>
  <si>
    <t>Book Value</t>
  </si>
  <si>
    <t>Fourth</t>
  </si>
  <si>
    <t>Security Interest</t>
  </si>
  <si>
    <t>Medical Office</t>
  </si>
  <si>
    <t>BPO</t>
  </si>
  <si>
    <t>Best Available</t>
  </si>
  <si>
    <t>Mixed-Use</t>
  </si>
  <si>
    <t>Invoice</t>
  </si>
  <si>
    <t>Mobile Home Park</t>
  </si>
  <si>
    <t>Estimated</t>
  </si>
  <si>
    <t>Multi Family</t>
  </si>
  <si>
    <t>Tax</t>
  </si>
  <si>
    <t>Entity Class</t>
  </si>
  <si>
    <t>PFS RE Type</t>
  </si>
  <si>
    <t>Office</t>
  </si>
  <si>
    <t>Wood Frame</t>
  </si>
  <si>
    <t>Office/Warehouse</t>
  </si>
  <si>
    <t>Roof Type</t>
  </si>
  <si>
    <t>Steel Frame</t>
  </si>
  <si>
    <t>Holding Company/EPC</t>
  </si>
  <si>
    <t>Single Family</t>
  </si>
  <si>
    <t>Residential</t>
  </si>
  <si>
    <t>Concrete Frame</t>
  </si>
  <si>
    <t xml:space="preserve">Multi Family </t>
  </si>
  <si>
    <t>Restaurant</t>
  </si>
  <si>
    <t>Flat - Built Up</t>
  </si>
  <si>
    <t>Concrete Tilt Up</t>
  </si>
  <si>
    <t>Affiliate</t>
  </si>
  <si>
    <t>Commercial</t>
  </si>
  <si>
    <t>Retail</t>
  </si>
  <si>
    <t>Flat - Membrane</t>
  </si>
  <si>
    <t>Concrete Wall</t>
  </si>
  <si>
    <t>Self Storage</t>
  </si>
  <si>
    <t>Flat - Other</t>
  </si>
  <si>
    <t>Hollow Clay Tile / Adobe</t>
  </si>
  <si>
    <t>Vacant Land</t>
  </si>
  <si>
    <t>Pitched - Metal</t>
  </si>
  <si>
    <t>Steel Frame w/Metal Skin</t>
  </si>
  <si>
    <t>Borrower/Guarantor</t>
  </si>
  <si>
    <t>Pitched - Shingle</t>
  </si>
  <si>
    <t>Reinforced Masonry</t>
  </si>
  <si>
    <t>Pitched - Other</t>
  </si>
  <si>
    <t>Unreinforced Masonry</t>
  </si>
  <si>
    <t>Trend</t>
  </si>
  <si>
    <t>None</t>
  </si>
  <si>
    <t>Not Known</t>
  </si>
  <si>
    <t>Increasing</t>
  </si>
  <si>
    <t>Decreasing</t>
  </si>
  <si>
    <t>Guarantor</t>
  </si>
  <si>
    <t>Stable</t>
  </si>
  <si>
    <t>Guarantee</t>
  </si>
  <si>
    <t>Un Stable</t>
  </si>
  <si>
    <t>Recourse</t>
  </si>
  <si>
    <t>Request #</t>
  </si>
  <si>
    <t>Consistent</t>
  </si>
  <si>
    <t>Inconsistent</t>
  </si>
  <si>
    <t>Full Unsecured</t>
  </si>
  <si>
    <t>Fixed</t>
  </si>
  <si>
    <t>As Is</t>
  </si>
  <si>
    <t>Full</t>
  </si>
  <si>
    <t>Full Secured</t>
  </si>
  <si>
    <t>Variable</t>
  </si>
  <si>
    <t>As Complete</t>
  </si>
  <si>
    <t>Non</t>
  </si>
  <si>
    <t>Lim. Unsecured</t>
  </si>
  <si>
    <t>As Stablized</t>
  </si>
  <si>
    <t>Partial</t>
  </si>
  <si>
    <t>Lim. Secured</t>
  </si>
  <si>
    <t>Spousal Int.</t>
  </si>
  <si>
    <t>Origination/Packaging</t>
  </si>
  <si>
    <t>SBA Initial Rate Set</t>
  </si>
  <si>
    <t>Checks</t>
  </si>
  <si>
    <t>X/O</t>
  </si>
  <si>
    <t>Day of SBA/USDA Sub</t>
  </si>
  <si>
    <t>x</t>
  </si>
  <si>
    <t>Term Loan</t>
  </si>
  <si>
    <t>5 Days before Closing</t>
  </si>
  <si>
    <t>Clear</t>
  </si>
  <si>
    <t>RLOC</t>
  </si>
  <si>
    <t>Not Clear</t>
  </si>
  <si>
    <t>GLOC</t>
  </si>
  <si>
    <t>Const</t>
  </si>
  <si>
    <t>Non Rev Adv</t>
  </si>
  <si>
    <t>Breakeven</t>
  </si>
  <si>
    <t>Letter of Credit</t>
  </si>
  <si>
    <t>Coll RE Type</t>
  </si>
  <si>
    <t>HLTV Max</t>
  </si>
  <si>
    <t>Branch</t>
  </si>
  <si>
    <t>BSA Rating</t>
  </si>
  <si>
    <t>12- SMJ</t>
  </si>
  <si>
    <t xml:space="preserve">1- Low </t>
  </si>
  <si>
    <t>Moderate</t>
  </si>
  <si>
    <t>14-AMW</t>
  </si>
  <si>
    <t xml:space="preserve">2- Low Medium </t>
  </si>
  <si>
    <t>Middle</t>
  </si>
  <si>
    <t>15-HSE</t>
  </si>
  <si>
    <t>3- Medium</t>
  </si>
  <si>
    <t>Exception Clearing</t>
  </si>
  <si>
    <t>21-SBA</t>
  </si>
  <si>
    <t xml:space="preserve">4- Moderate </t>
  </si>
  <si>
    <t>22- Wendel Loans</t>
  </si>
  <si>
    <t>5-High</t>
  </si>
  <si>
    <t>Amber- Rose McCool</t>
  </si>
  <si>
    <t>76- Integra</t>
  </si>
  <si>
    <t>Casey McDonald</t>
  </si>
  <si>
    <t>Gina Bedsole</t>
  </si>
  <si>
    <t>WSJ Prime</t>
  </si>
  <si>
    <t>KT Head</t>
  </si>
  <si>
    <t>SOFR</t>
  </si>
  <si>
    <t>Lorenzo Saavedra</t>
  </si>
  <si>
    <t>10 Yr Treas</t>
  </si>
  <si>
    <t>Nick Vu</t>
  </si>
  <si>
    <t>Rachel Preston</t>
  </si>
  <si>
    <t>Release Notes</t>
  </si>
  <si>
    <t>2016-10(1)</t>
  </si>
  <si>
    <t>Initial Roll out</t>
  </si>
  <si>
    <t>2016-10(2)</t>
  </si>
  <si>
    <t>Added Preimum/Discount for Purchased Loans</t>
  </si>
  <si>
    <t>Added Purchase Price for Purchased Loans</t>
  </si>
  <si>
    <t>Added Additional Collateral Fields</t>
  </si>
  <si>
    <t>Temporary COA Section in Narrative, pending comprehensive independent page</t>
  </si>
  <si>
    <t>2016-11(3)</t>
  </si>
  <si>
    <t>Misc Formating Changes</t>
  </si>
  <si>
    <t>Edit to CAR Formula</t>
  </si>
  <si>
    <t>Edit to SBA Eligibility section formulas on Debt Sch</t>
  </si>
  <si>
    <t>2017-01(4)</t>
  </si>
  <si>
    <t>Added Notes to collateral page for MF Underwriting</t>
  </si>
  <si>
    <t>Re-Formatted UOP Page</t>
  </si>
  <si>
    <t>2017-01(5)</t>
  </si>
  <si>
    <t>Formulatic corrections on collateral page</t>
  </si>
  <si>
    <t>General formatting corrections.</t>
  </si>
  <si>
    <t>2017-08(6)</t>
  </si>
  <si>
    <t>Formulatic corrections on Cash Flow page</t>
  </si>
  <si>
    <t>2017-10(7)</t>
  </si>
  <si>
    <t xml:space="preserve">Reformatted Narrative.  </t>
  </si>
  <si>
    <t>Corrected Formula on Seller Carry Note</t>
  </si>
  <si>
    <t>Added Business Valuation Methods</t>
  </si>
  <si>
    <t>2017-10(8)</t>
  </si>
  <si>
    <t>Added LTV and Cap at risk calcualtions for purchased loans.</t>
  </si>
  <si>
    <t>2018-01(9)</t>
  </si>
  <si>
    <t>Added additional Ratios to Ratios page.</t>
  </si>
  <si>
    <t>Added RMA ratios to Hist IS</t>
  </si>
  <si>
    <t>Added 3rd year Borr Proj to Projections page</t>
  </si>
  <si>
    <t>Modified UOP and Construction Budget Worksheet to Reconcile each other</t>
  </si>
  <si>
    <t>2018-02(10)</t>
  </si>
  <si>
    <t>Change to UOP Formulas to match Construction page better</t>
  </si>
  <si>
    <t>Minor modifications to UOP Formulas to show subtotals and remove</t>
  </si>
  <si>
    <t xml:space="preserve">      SBA Gty Fee calculation for non 7a Loans</t>
  </si>
  <si>
    <t>Corrected cell references in Affiliate tabes</t>
  </si>
  <si>
    <t>Created standard "Exhibit A" tab (baseline is hidden) for LOI and CL</t>
  </si>
  <si>
    <t>Drafted LOI and CL for SBA and Conv Loan types, to autofill from CM</t>
  </si>
  <si>
    <t xml:space="preserve">      (Baseline is hidden)</t>
  </si>
  <si>
    <t>Revised Amortization Schedule to utilize "Score" Format.</t>
  </si>
  <si>
    <t>Other Misc formulatic corrections</t>
  </si>
  <si>
    <t>2018-05(11)</t>
  </si>
  <si>
    <t>Included appraisal review checklist in workbook</t>
  </si>
  <si>
    <t>Included Environmental Review Checklist in Workbook</t>
  </si>
  <si>
    <t>Added Balance at maturity lookup</t>
  </si>
  <si>
    <t>Reformatted all Holding company and affiliate cash flow pages.</t>
  </si>
  <si>
    <t>Added Loan Type Codes for Synergy</t>
  </si>
  <si>
    <t>Added Collateral Type Code and Description for Synergy</t>
  </si>
  <si>
    <t>Added FHLB Eligibility</t>
  </si>
  <si>
    <t>2018-06(12)</t>
  </si>
  <si>
    <t>Added Amortization Basis 30/360; Actual/365; Actual/360</t>
  </si>
  <si>
    <t>Separated 912 Eligibility to its own tab</t>
  </si>
  <si>
    <t>misc formatting changes</t>
  </si>
  <si>
    <t>2019-03(13)</t>
  </si>
  <si>
    <t>Added OFAC/MLA Check to Guarantor Summary</t>
  </si>
  <si>
    <t>Updated SBA Eligibility for 2019-04 SOP Changes</t>
  </si>
  <si>
    <t>2019-10(14)</t>
  </si>
  <si>
    <t>Added tracking fields for CRA Data</t>
  </si>
  <si>
    <t>2019-10(15)</t>
  </si>
  <si>
    <t>Added Bankers Health Care Loan Type</t>
  </si>
  <si>
    <t>2019-11(16)</t>
  </si>
  <si>
    <t>Added Global Cash Flow Page</t>
  </si>
  <si>
    <t>2020-03(17)</t>
  </si>
  <si>
    <t>Added Program Code for SBA Pacheck Protection Program</t>
  </si>
  <si>
    <t>2020-06(18)</t>
  </si>
  <si>
    <t>Added Personal Resource Test (On Hold)</t>
  </si>
  <si>
    <t>2020-10(19)</t>
  </si>
  <si>
    <t>Updates resulting from SOP Changes</t>
  </si>
  <si>
    <t>2021-09(20)</t>
  </si>
  <si>
    <t>Updated SBA Fee Calculation</t>
  </si>
  <si>
    <t>Corrected GCF Calculation</t>
  </si>
  <si>
    <t>2022-12-(21)</t>
  </si>
  <si>
    <t>Reformat and re-release</t>
  </si>
  <si>
    <t>Removed references to purchased loans</t>
  </si>
  <si>
    <t>Removed Synergy Codes</t>
  </si>
  <si>
    <t>Removed FHLB Eligibility Indicator</t>
  </si>
  <si>
    <t>Removed OFAC/MLA Check, now addressed elsewhere</t>
  </si>
  <si>
    <t>Removed CRA Field, tracked elsewhere</t>
  </si>
  <si>
    <t>Reformatted Payment Calculations and Stress Testing to separate page from CF</t>
  </si>
  <si>
    <t>Added BDO tab</t>
  </si>
  <si>
    <t>2023-04(21)</t>
  </si>
  <si>
    <t>Added Various T Bank Calculations</t>
  </si>
  <si>
    <t>2023-05(22)</t>
  </si>
  <si>
    <t>Various Bug Fixes</t>
  </si>
  <si>
    <t>2023-06(23)</t>
  </si>
  <si>
    <t>Additional Bug Fixes.  Removed linkages between BDO Sheet and UW Sheets</t>
  </si>
  <si>
    <t>2023-06(24)</t>
  </si>
  <si>
    <t>Added Break Even Analysis and W/C Analysis</t>
  </si>
  <si>
    <t>2023-07(24)</t>
  </si>
  <si>
    <t>Modified Breakeven and WC Sheets</t>
  </si>
  <si>
    <t>2023-07(25)</t>
  </si>
  <si>
    <t>Corrected Breakeven Sheet</t>
  </si>
  <si>
    <t>2023-08(26)</t>
  </si>
  <si>
    <t>Corrected various UW formulas and formatting in BRKEVN, WC, PFS, and COLL, Global CF to include aff debt in all periods, added closing cost tier</t>
  </si>
  <si>
    <t>2023-09(27)</t>
  </si>
  <si>
    <t>Added SBA Gty Fee Adjustment Macro.</t>
  </si>
  <si>
    <t>2023-10(28)</t>
  </si>
  <si>
    <t>Added Close date to BDO Prequal.  Updated HLTV on Coll Tab.  Added 504 Adjustment Macro.  Modified SBA Gty Fee to match new fee structure</t>
  </si>
  <si>
    <t>2023-11(29)</t>
  </si>
  <si>
    <t>Reformatted Debt Schedule, Separated BDO Debt Schedule from UW. Corrected 504 HLTV Calculations</t>
  </si>
  <si>
    <t>23-12(30) thru 24-02(32)</t>
  </si>
  <si>
    <t>Various formating and bug fixes.</t>
  </si>
  <si>
    <t>24-02(33)</t>
  </si>
  <si>
    <t>Updated Scoring Matrix.  Corrected Formulation on PMT calcs page for number of months added to note date.</t>
  </si>
  <si>
    <t>24-03(34)</t>
  </si>
  <si>
    <t>Corrected Pers Need inflow to GDSCR on BDO Prequal.  Various updates to UW spreads with instructions and formatting.</t>
  </si>
  <si>
    <t>24-04(35)</t>
  </si>
  <si>
    <t>Various Bud Fixes, protection items, and settings for UW.</t>
  </si>
  <si>
    <t>24-04(36)</t>
  </si>
  <si>
    <t>Corrected Owner Draw formula in Global  CF on BDO Prequal</t>
  </si>
  <si>
    <t>24-07(37)</t>
  </si>
  <si>
    <t>Various Formula Improvements and spelling corrections.  Changes to Fees due to policy changes.</t>
  </si>
  <si>
    <t>24-08(38)</t>
  </si>
  <si>
    <t>Updated SBA gty fee calc.  Reformatting and prep for change in Credit memo and spread presentations.</t>
  </si>
  <si>
    <t>24-08(39)</t>
  </si>
  <si>
    <t>Corrected SBA Fee Calc</t>
  </si>
  <si>
    <t>24-09(40)</t>
  </si>
  <si>
    <t>Unprotected Owner Comp on Prequal page for flexibility.  Unlocked other expenses on prequal page.  Adjusted SBA Guarantee Fees for new fee structure</t>
  </si>
  <si>
    <t>24-11(41)</t>
  </si>
  <si>
    <t>Corrected BDO Debt Schedule Calculations.  Other Misc Formatting fixes.</t>
  </si>
  <si>
    <t>24-11(42)</t>
  </si>
  <si>
    <t>Clarification on Scoring grid</t>
  </si>
  <si>
    <t>25-02(43)</t>
  </si>
  <si>
    <t>Added Spell Check; Table of Contents</t>
  </si>
  <si>
    <t>25-03(44)</t>
  </si>
  <si>
    <t>Chg SBA Fee, Updates to Biz Val, WC Analysis, Breakeven</t>
  </si>
  <si>
    <t>Loan ID</t>
  </si>
  <si>
    <t>Financing Structure</t>
  </si>
  <si>
    <t>Seller Note</t>
  </si>
  <si>
    <t>Equity Injection</t>
  </si>
  <si>
    <t>Terms</t>
  </si>
  <si>
    <t>Financing Type</t>
  </si>
  <si>
    <t>SBA 504</t>
  </si>
  <si>
    <t>Debenture</t>
  </si>
  <si>
    <t>Source 1</t>
  </si>
  <si>
    <t>Source 2</t>
  </si>
  <si>
    <t>Source 3</t>
  </si>
  <si>
    <t>Source 4</t>
  </si>
  <si>
    <t>Source 5</t>
  </si>
  <si>
    <t>Total Rate</t>
  </si>
  <si>
    <t>Term Yrs</t>
  </si>
  <si>
    <t>Amortization (Months)</t>
  </si>
  <si>
    <t>SBA Product Type</t>
  </si>
  <si>
    <t>7a Standard</t>
  </si>
  <si>
    <t>CDC</t>
  </si>
  <si>
    <t>SBA Gty Fee</t>
  </si>
  <si>
    <t>Source 6</t>
  </si>
  <si>
    <t>Projections</t>
  </si>
  <si>
    <t>Customer</t>
  </si>
  <si>
    <t xml:space="preserve">Year </t>
  </si>
  <si>
    <t>Adanced Electric</t>
  </si>
  <si>
    <t xml:space="preserve">Income Statement Spreads - Subject Business </t>
  </si>
  <si>
    <t>Percentage of Project</t>
  </si>
  <si>
    <t>Income Statement Projections</t>
  </si>
  <si>
    <t>SBA 7a Loan</t>
  </si>
  <si>
    <t>SBA 504 Loan</t>
  </si>
  <si>
    <t>CDC Loan</t>
  </si>
  <si>
    <t>Standard Add Backs</t>
  </si>
  <si>
    <t>BDO Prequalification</t>
  </si>
  <si>
    <t>Loan Structure</t>
  </si>
  <si>
    <t>Purchase and Sale Close Date, if known, otherwise Target Closing Date</t>
  </si>
  <si>
    <t>Entity Name:</t>
  </si>
  <si>
    <t>Role</t>
  </si>
  <si>
    <t>Yrs. In Bus.</t>
  </si>
  <si>
    <t>Guarantor?</t>
  </si>
  <si>
    <t>Advanced Electric Inc.</t>
  </si>
  <si>
    <t>BDO:</t>
  </si>
  <si>
    <t>Broker Name:</t>
  </si>
  <si>
    <t>Broker Fee:</t>
  </si>
  <si>
    <t>* List entities in the following order (as applicable): Borrower, Co-Borrower, Operating Entity, Corp. Guarantor, Affiliate.</t>
  </si>
  <si>
    <t>Individual Guarantor Info:</t>
  </si>
  <si>
    <t>Ownership Exp. (yrs)</t>
  </si>
  <si>
    <t>Prior BK?</t>
  </si>
  <si>
    <t>Prior Loss to Gov't</t>
  </si>
  <si>
    <t>Debarred by SBA?</t>
  </si>
  <si>
    <t>Pending Legal Action?</t>
  </si>
  <si>
    <t>Criminal History?</t>
  </si>
  <si>
    <t>Adam Dietrich</t>
  </si>
  <si>
    <t>Business / Property Address:</t>
  </si>
  <si>
    <t xml:space="preserve">1012 Wheeler Ln. </t>
  </si>
  <si>
    <t>Augusta, GA  30907</t>
  </si>
  <si>
    <t>(Street)</t>
  </si>
  <si>
    <t>(City) (State) (ZIP)</t>
  </si>
  <si>
    <t>Loan Terms</t>
  </si>
  <si>
    <t>Quantity</t>
  </si>
  <si>
    <t>Closing Cost Calculator  ---&gt; Expand/Collapse Above ---&gt;</t>
  </si>
  <si>
    <t>Loan Packaging Fee</t>
  </si>
  <si>
    <t>$1.5M - 2.5M</t>
  </si>
  <si>
    <t>Seller</t>
  </si>
  <si>
    <t>Title Insurance</t>
  </si>
  <si>
    <t>0.5%-1% of CRE value (FL &amp; NY +)</t>
  </si>
  <si>
    <t>$150 for 1st $500M, $200 for $956M</t>
  </si>
  <si>
    <t>Loan Amount/Injection</t>
  </si>
  <si>
    <t>Est. Appraisal Costs</t>
  </si>
  <si>
    <t>Survey Charges</t>
  </si>
  <si>
    <t>$1M - $3M</t>
  </si>
  <si>
    <t>Est. Environmental Report Costs</t>
  </si>
  <si>
    <t>CRE Appraisal</t>
  </si>
  <si>
    <t>$3.5M - $6.0M</t>
  </si>
  <si>
    <t>Equipment Appraisal</t>
  </si>
  <si>
    <t>$1.5M - $3.5M</t>
  </si>
  <si>
    <t>Appraisal Review</t>
  </si>
  <si>
    <t>$250 - $900</t>
  </si>
  <si>
    <t>Site Visit</t>
  </si>
  <si>
    <t>Title / Escrow / Closing</t>
  </si>
  <si>
    <t>Environmental Investigation</t>
  </si>
  <si>
    <t>$2M</t>
  </si>
  <si>
    <t>SBA GTY Fee</t>
  </si>
  <si>
    <t>$2.5M - $3M</t>
  </si>
  <si>
    <t>Other Costs</t>
  </si>
  <si>
    <t>Residential Appr/Valuation</t>
  </si>
  <si>
    <t>$500 - $700</t>
  </si>
  <si>
    <t>Est Const Period (mths)</t>
  </si>
  <si>
    <t>Total SBA Fees &amp; Closing Costs</t>
  </si>
  <si>
    <t>Attorney Doc Prep</t>
  </si>
  <si>
    <t>$3.5M-$6.0M</t>
  </si>
  <si>
    <t>Are there funded SBA Loans in last 90 days?</t>
  </si>
  <si>
    <t>Amount?</t>
  </si>
  <si>
    <t xml:space="preserve">Guarantee %?  </t>
  </si>
  <si>
    <t>1.0% -2.0% Conv/USDA Loans</t>
  </si>
  <si>
    <t>Construction Monitoring</t>
  </si>
  <si>
    <t>See Partner ESI pricing sheet</t>
  </si>
  <si>
    <t>Rounding</t>
  </si>
  <si>
    <t>Other:  UCCs and Misc Closing</t>
  </si>
  <si>
    <t>Total Estimated Closing Costs</t>
  </si>
  <si>
    <t>Miscellaneous Closing Costs</t>
  </si>
  <si>
    <t>Business Credit Report</t>
  </si>
  <si>
    <t>Personal Credit Report</t>
  </si>
  <si>
    <t>IRS Transcript Service</t>
  </si>
  <si>
    <t>UCC Searches</t>
  </si>
  <si>
    <t>Certificate of Good Standing</t>
  </si>
  <si>
    <t>Flood Certification</t>
  </si>
  <si>
    <t>Filing &amp; Recording Fees</t>
  </si>
  <si>
    <t>avg $100</t>
  </si>
  <si>
    <t>FedEx Charges</t>
  </si>
  <si>
    <t>avg $50</t>
  </si>
  <si>
    <t>Other: rounding</t>
  </si>
  <si>
    <t>Total Misc. Closing Costs</t>
  </si>
  <si>
    <t>Const Contigency</t>
  </si>
  <si>
    <t>SBA Gty Fee (If applicable)</t>
  </si>
  <si>
    <t>Weighted Term</t>
  </si>
  <si>
    <t>Liquidity Review</t>
  </si>
  <si>
    <t>Operating Company Liquidity</t>
  </si>
  <si>
    <t>Affiliate 1</t>
  </si>
  <si>
    <t>Owner/Guarantor 1</t>
  </si>
  <si>
    <t>Affiliate 2</t>
  </si>
  <si>
    <t>Owner/Guarantor 2</t>
  </si>
  <si>
    <t>Affiliate 3</t>
  </si>
  <si>
    <t>Owner/Guarantor 3</t>
  </si>
  <si>
    <t>Affiliate 4</t>
  </si>
  <si>
    <t>Owner/Guarantor 4</t>
  </si>
  <si>
    <t>Affiliate 5</t>
  </si>
  <si>
    <t>Total Available Liquidity</t>
  </si>
  <si>
    <t>Expected Injection</t>
  </si>
  <si>
    <t>Remaining Available</t>
  </si>
  <si>
    <t>Click to expand/collapse liquidity</t>
  </si>
  <si>
    <t>Include in Global?</t>
  </si>
  <si>
    <t>(Product Line #1)</t>
  </si>
  <si>
    <t>Gross Margin</t>
  </si>
  <si>
    <t>(Product Line #2)</t>
  </si>
  <si>
    <t>(Product Line #3)</t>
  </si>
  <si>
    <t xml:space="preserve">Click to expand/collapse     </t>
  </si>
  <si>
    <t xml:space="preserve">  + Compensation of Officers</t>
  </si>
  <si>
    <t xml:space="preserve">  + Depreciation/Amortization</t>
  </si>
  <si>
    <t xml:space="preserve">  + Interest Expense</t>
  </si>
  <si>
    <t xml:space="preserve">  + Rent Add Back</t>
  </si>
  <si>
    <t>Owner's Pension Plan</t>
  </si>
  <si>
    <t>Owner's Auto</t>
  </si>
  <si>
    <t xml:space="preserve">                          Click to expand/collapse Global DCR   </t>
  </si>
  <si>
    <t>Affiliate Analysis</t>
  </si>
  <si>
    <t>Ferrell Electric Inc.</t>
  </si>
  <si>
    <t xml:space="preserve">  - Estimated Property Tax</t>
  </si>
  <si>
    <t>Existing Monthly Debt</t>
  </si>
  <si>
    <t xml:space="preserve">Click to expand/collapse (Affiliate 1)     </t>
  </si>
  <si>
    <t>{Insert business name which represents Affiliate 2}</t>
  </si>
  <si>
    <t xml:space="preserve">Click to expand/collapse (Affiliate 2)     </t>
  </si>
  <si>
    <t>{Insert business name which represents Affiliate 3}</t>
  </si>
  <si>
    <t xml:space="preserve">Click to expand/collapse (Affiliate 3)     </t>
  </si>
  <si>
    <t>{Insert business name which represents Affiliate 4}</t>
  </si>
  <si>
    <t xml:space="preserve">Click to expand/collapse (Affiliate 4)     </t>
  </si>
  <si>
    <t>{Insert business name which represents Affiliate 5}</t>
  </si>
  <si>
    <t xml:space="preserve">Click to expand/collapse (Affiliate 5)     </t>
  </si>
  <si>
    <t>Personal Financial Analysis</t>
  </si>
  <si>
    <t>Last Name, First Initial</t>
  </si>
  <si>
    <t>Dietrich, A</t>
  </si>
  <si>
    <t>Monthly Difference, included in cell D32</t>
  </si>
  <si>
    <t xml:space="preserve">Primary Real Estate </t>
  </si>
  <si>
    <t>222 Evans Rd. Jackson, GA 30233</t>
  </si>
  <si>
    <t xml:space="preserve">Secondary Real Estate </t>
  </si>
  <si>
    <t>Accounts Receivable</t>
  </si>
  <si>
    <t>FF&amp;E</t>
  </si>
  <si>
    <t>Lease Hold Improvements</t>
  </si>
  <si>
    <t>Miscellaneous</t>
  </si>
  <si>
    <t>Proposed Debt Payments</t>
  </si>
  <si>
    <t>Total Affiliate Cash Available</t>
  </si>
  <si>
    <t>Total Affiliate Debt Service</t>
  </si>
  <si>
    <t>Existing Debt Service</t>
  </si>
  <si>
    <t>Subject Business Cash Flow</t>
  </si>
  <si>
    <t>Period 1</t>
  </si>
  <si>
    <t>Period 2</t>
  </si>
  <si>
    <t>Period 3</t>
  </si>
  <si>
    <t>Period 4</t>
  </si>
  <si>
    <t>Statement Type (Tax Returns / Internal)</t>
  </si>
  <si>
    <t>Revenue Recognition (Cash / Accrual)</t>
  </si>
  <si>
    <t>GROSS INCOME</t>
  </si>
  <si>
    <t xml:space="preserve">   Total Revenue</t>
  </si>
  <si>
    <t xml:space="preserve">   Total COGS</t>
  </si>
  <si>
    <t xml:space="preserve">   Total Gross Margin</t>
  </si>
  <si>
    <t>NET INCOME</t>
  </si>
  <si>
    <t xml:space="preserve">   Total Operating Expenses</t>
  </si>
  <si>
    <t xml:space="preserve">   Ordinary Income</t>
  </si>
  <si>
    <t xml:space="preserve">   Total Other Income/Expenses</t>
  </si>
  <si>
    <t xml:space="preserve">   Net Income Before Taxes</t>
  </si>
  <si>
    <t>ADD BACKS &amp; ADJUSTMENTS</t>
  </si>
  <si>
    <t xml:space="preserve">   Standard Add Backs</t>
  </si>
  <si>
    <t xml:space="preserve">   Other Add Back 1</t>
  </si>
  <si>
    <t xml:space="preserve">   Other Add Back 2</t>
  </si>
  <si>
    <t xml:space="preserve">   Other Add Back 3</t>
  </si>
  <si>
    <t xml:space="preserve">   Other Add Back 4</t>
  </si>
  <si>
    <t xml:space="preserve">   Other Add Back 5</t>
  </si>
  <si>
    <t>DEBT COVERAGE</t>
  </si>
  <si>
    <t xml:space="preserve">   Cash Available</t>
  </si>
  <si>
    <t xml:space="preserve">   Existing Debt Service</t>
  </si>
  <si>
    <t xml:space="preserve">   Proposed 7a Debt</t>
  </si>
  <si>
    <t xml:space="preserve">   Proposed 504 Debt</t>
  </si>
  <si>
    <t xml:space="preserve">   Proposed CDC Debt</t>
  </si>
  <si>
    <t xml:space="preserve">   Proposed Seller Note</t>
  </si>
  <si>
    <t xml:space="preserve">   Proposed 3rd Party Financing</t>
  </si>
  <si>
    <t xml:space="preserve">   Total Debt Service</t>
  </si>
  <si>
    <t xml:space="preserve">   Debt Coverage Ratio</t>
  </si>
  <si>
    <t>GLOBAL DEBT COVERAGE</t>
  </si>
  <si>
    <t xml:space="preserve">   Total Affiliate Cash Available</t>
  </si>
  <si>
    <t xml:space="preserve">   Total Subject Business Cash Available</t>
  </si>
  <si>
    <t xml:space="preserve">   Total Global Cash Available</t>
  </si>
  <si>
    <t xml:space="preserve">   Total Affiliate Debt Service</t>
  </si>
  <si>
    <t xml:space="preserve">   Total Subject Business Debt Service</t>
  </si>
  <si>
    <t xml:space="preserve">   Total Global Debt Service</t>
  </si>
  <si>
    <t xml:space="preserve">   Global Debt Coverage Ratio</t>
  </si>
  <si>
    <t>Financing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</si>
</sst>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lt;=9999999]###\-####;\(###\)\ ###\-####"/>
    <numFmt numFmtId="165" formatCode="_(&quot;$&quot;* #,##0_);_(&quot;$&quot;* \(#,##0\);_(&quot;$&quot;* &quot;-&quot;??_);_(@_)"/>
    <numFmt numFmtId="166" formatCode="m/d/yy;@"/>
    <numFmt numFmtId="167" formatCode="&quot;$&quot;#,##0"/>
    <numFmt numFmtId="168" formatCode="_(* #,##0_);_(* \(#,##0\);_(* &quot;-&quot;??_);_(@_)"/>
    <numFmt numFmtId="169" formatCode="0.0%"/>
    <numFmt numFmtId="170" formatCode="&quot;$&quot;#,##0.00"/>
    <numFmt numFmtId="171" formatCode="mm/dd/yy"/>
    <numFmt numFmtId="172" formatCode="&quot;$&quot;#,##0.0_);[Red]\(&quot;$&quot;#,##0.0\)"/>
    <numFmt numFmtId="173" formatCode="&quot;$&quot;#,##0.0_);\(&quot;$&quot;#,##0.0\)"/>
    <numFmt numFmtId="174" formatCode="0.0"/>
    <numFmt numFmtId="175" formatCode="0.00?%_)"/>
    <numFmt numFmtId="176" formatCode="0_)"/>
    <numFmt numFmtId="177" formatCode="000\-00\-0000"/>
    <numFmt numFmtId="178" formatCode="mm/dd/yy;@"/>
    <numFmt numFmtId="179" formatCode="00\-0000000"/>
    <numFmt numFmtId="180" formatCode="0.000%"/>
    <numFmt numFmtId="181" formatCode="[$-409]mmm\-yy;@"/>
    <numFmt numFmtId="182" formatCode="&quot;$&quot;#,##0.0"/>
    <numFmt numFmtId="183" formatCode="00000\-0000"/>
    <numFmt numFmtId="184" formatCode="00000"/>
    <numFmt numFmtId="185" formatCode="0000.00"/>
    <numFmt numFmtId="186" formatCode="0.00&quot;x&quot;"/>
  </numFmts>
  <fonts count="114">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name val="Arial"/>
      <family val="2"/>
    </font>
    <font>
      <b/>
      <sz val="11"/>
      <color indexed="9"/>
      <name val="Calibri"/>
      <family val="2"/>
      <scheme val="minor"/>
    </font>
    <font>
      <sz val="11"/>
      <name val="Calibri"/>
      <family val="2"/>
      <scheme val="minor"/>
    </font>
    <font>
      <u/>
      <sz val="11"/>
      <color theme="10"/>
      <name val="Calibri"/>
      <family val="2"/>
      <scheme val="minor"/>
    </font>
    <font>
      <b/>
      <sz val="11"/>
      <name val="Calibri"/>
      <family val="2"/>
      <scheme val="minor"/>
    </font>
    <font>
      <sz val="11"/>
      <name val="Arial"/>
      <family val="2"/>
    </font>
    <font>
      <b/>
      <u/>
      <sz val="11"/>
      <name val="Calibri"/>
      <family val="2"/>
      <scheme val="minor"/>
    </font>
    <font>
      <sz val="9"/>
      <color indexed="81"/>
      <name val="Tahoma"/>
      <family val="2"/>
    </font>
    <font>
      <b/>
      <sz val="9"/>
      <color indexed="81"/>
      <name val="Tahoma"/>
      <family val="2"/>
    </font>
    <font>
      <i/>
      <sz val="11"/>
      <name val="Calibri"/>
      <family val="2"/>
      <scheme val="minor"/>
    </font>
    <font>
      <b/>
      <sz val="11"/>
      <color theme="0"/>
      <name val="Calibri"/>
      <family val="2"/>
      <scheme val="minor"/>
    </font>
    <font>
      <b/>
      <sz val="12"/>
      <name val="Calibri"/>
      <family val="2"/>
      <scheme val="minor"/>
    </font>
    <font>
      <sz val="12"/>
      <name val="Calibri"/>
      <family val="2"/>
      <scheme val="minor"/>
    </font>
    <font>
      <b/>
      <sz val="12"/>
      <color indexed="48"/>
      <name val="Calibri"/>
      <family val="2"/>
      <scheme val="minor"/>
    </font>
    <font>
      <b/>
      <sz val="12"/>
      <color indexed="9"/>
      <name val="Calibri"/>
      <family val="2"/>
      <scheme val="minor"/>
    </font>
    <font>
      <sz val="10"/>
      <name val="Calibri"/>
      <family val="2"/>
      <scheme val="minor"/>
    </font>
    <font>
      <b/>
      <sz val="12"/>
      <color theme="0"/>
      <name val="Calibri"/>
      <family val="2"/>
      <scheme val="minor"/>
    </font>
    <font>
      <b/>
      <i/>
      <sz val="12"/>
      <color indexed="9"/>
      <name val="Calibri"/>
      <family val="2"/>
      <scheme val="minor"/>
    </font>
    <font>
      <i/>
      <sz val="12"/>
      <name val="Calibri"/>
      <family val="2"/>
      <scheme val="minor"/>
    </font>
    <font>
      <b/>
      <i/>
      <sz val="12"/>
      <name val="Calibri"/>
      <family val="2"/>
      <scheme val="minor"/>
    </font>
    <font>
      <b/>
      <sz val="12"/>
      <color rgb="FFFF0000"/>
      <name val="Calibri"/>
      <family val="2"/>
      <scheme val="minor"/>
    </font>
    <font>
      <b/>
      <sz val="10"/>
      <color theme="1"/>
      <name val="Arial"/>
      <family val="2"/>
    </font>
    <font>
      <sz val="10"/>
      <color theme="1"/>
      <name val="Arial"/>
      <family val="2"/>
    </font>
    <font>
      <b/>
      <sz val="16"/>
      <color theme="0"/>
      <name val="Calibri"/>
      <family val="2"/>
      <scheme val="minor"/>
    </font>
    <font>
      <b/>
      <u/>
      <sz val="12"/>
      <name val="Calibri"/>
      <family val="2"/>
      <scheme val="minor"/>
    </font>
    <font>
      <sz val="10"/>
      <name val="MS Sans Serif"/>
      <family val="2"/>
    </font>
    <font>
      <b/>
      <sz val="10"/>
      <name val="Times New Roman"/>
      <family val="1"/>
    </font>
    <font>
      <sz val="12"/>
      <color theme="0"/>
      <name val="Calibri"/>
      <family val="2"/>
      <scheme val="minor"/>
    </font>
    <font>
      <b/>
      <sz val="14"/>
      <color theme="0"/>
      <name val="Calibri"/>
      <family val="2"/>
      <scheme val="minor"/>
    </font>
    <font>
      <sz val="14"/>
      <color theme="1"/>
      <name val="Calibri"/>
      <family val="2"/>
      <scheme val="minor"/>
    </font>
    <font>
      <sz val="14"/>
      <name val="Calibri"/>
      <family val="2"/>
      <scheme val="minor"/>
    </font>
    <font>
      <b/>
      <sz val="14"/>
      <color theme="1"/>
      <name val="Calibri"/>
      <family val="2"/>
      <scheme val="minor"/>
    </font>
    <font>
      <b/>
      <u/>
      <sz val="14"/>
      <name val="Calibri"/>
      <family val="2"/>
      <scheme val="minor"/>
    </font>
    <font>
      <b/>
      <sz val="14"/>
      <color indexed="9"/>
      <name val="Calibri"/>
      <family val="2"/>
      <scheme val="minor"/>
    </font>
    <font>
      <b/>
      <sz val="14"/>
      <name val="Calibri"/>
      <family val="2"/>
      <scheme val="minor"/>
    </font>
    <font>
      <sz val="14"/>
      <color rgb="FF000000"/>
      <name val="Calibri"/>
      <family val="2"/>
      <scheme val="minor"/>
    </font>
    <font>
      <b/>
      <sz val="14"/>
      <color rgb="FF000000"/>
      <name val="Calibri"/>
      <family val="2"/>
      <scheme val="minor"/>
    </font>
    <font>
      <sz val="11"/>
      <color theme="1"/>
      <name val="Calibri"/>
      <family val="2"/>
      <scheme val="minor"/>
    </font>
    <font>
      <sz val="11"/>
      <color theme="1"/>
      <name val="Calibri"/>
      <family val="2"/>
      <scheme val="minor"/>
    </font>
    <font>
      <sz val="12"/>
      <color indexed="48"/>
      <name val="Calibri"/>
      <family val="2"/>
      <scheme val="minor"/>
    </font>
    <font>
      <sz val="11"/>
      <color theme="1"/>
      <name val="Calibri"/>
      <family val="2"/>
      <scheme val="minor"/>
    </font>
    <font>
      <b/>
      <sz val="11"/>
      <color rgb="FFFF0000"/>
      <name val="Calibri"/>
      <family val="2"/>
      <scheme val="minor"/>
    </font>
    <font>
      <b/>
      <sz val="14"/>
      <color rgb="FFFF0000"/>
      <name val="Calibri"/>
      <family val="2"/>
      <scheme val="minor"/>
    </font>
    <font>
      <sz val="10"/>
      <name val="Arial"/>
      <family val="2"/>
    </font>
    <font>
      <b/>
      <sz val="18"/>
      <name val="Arial"/>
      <family val="2"/>
    </font>
    <font>
      <b/>
      <sz val="10"/>
      <name val="Arial"/>
      <family val="2"/>
    </font>
    <font>
      <sz val="9"/>
      <name val="Arial"/>
      <family val="2"/>
    </font>
    <font>
      <sz val="10"/>
      <color indexed="23"/>
      <name val="Arial"/>
      <family val="2"/>
    </font>
    <font>
      <sz val="12"/>
      <color theme="1"/>
      <name val="Calibri"/>
      <family val="2"/>
      <scheme val="minor"/>
    </font>
    <font>
      <b/>
      <sz val="12"/>
      <color theme="1"/>
      <name val="Calibri"/>
      <family val="2"/>
      <scheme val="minor"/>
    </font>
    <font>
      <vertAlign val="superscript"/>
      <sz val="12"/>
      <color theme="1"/>
      <name val="Calibri"/>
      <family val="2"/>
      <scheme val="minor"/>
    </font>
    <font>
      <sz val="10"/>
      <color rgb="FF000000"/>
      <name val="Times New Roman"/>
      <family val="1"/>
    </font>
    <font>
      <sz val="11"/>
      <color rgb="FFFF0000"/>
      <name val="Calibri"/>
      <family val="2"/>
      <scheme val="minor"/>
    </font>
    <font>
      <b/>
      <sz val="12"/>
      <color indexed="8"/>
      <name val="Calibri"/>
      <family val="2"/>
      <scheme val="minor"/>
    </font>
    <font>
      <sz val="12"/>
      <color indexed="8"/>
      <name val="Calibri"/>
      <family val="2"/>
      <scheme val="minor"/>
    </font>
    <font>
      <u/>
      <sz val="11"/>
      <color theme="1"/>
      <name val="Calibri"/>
      <family val="2"/>
      <scheme val="minor"/>
    </font>
    <font>
      <u/>
      <sz val="10"/>
      <color theme="1"/>
      <name val="Arial"/>
      <family val="2"/>
    </font>
    <font>
      <b/>
      <u/>
      <sz val="10"/>
      <color rgb="FFFF0000"/>
      <name val="Arial"/>
      <family val="2"/>
    </font>
    <font>
      <b/>
      <i/>
      <sz val="12"/>
      <color theme="1"/>
      <name val="Calibri"/>
      <family val="2"/>
      <scheme val="minor"/>
    </font>
    <font>
      <sz val="12"/>
      <color theme="1"/>
      <name val="Calibri"/>
      <family val="2"/>
    </font>
    <font>
      <b/>
      <sz val="10"/>
      <name val="Century Schoolbook"/>
      <family val="1"/>
    </font>
    <font>
      <sz val="10"/>
      <name val="Century Schoolbook"/>
      <family val="1"/>
    </font>
    <font>
      <sz val="14"/>
      <color rgb="FF0000FF"/>
      <name val="Calibri"/>
      <family val="2"/>
      <scheme val="minor"/>
    </font>
    <font>
      <b/>
      <sz val="12"/>
      <color indexed="12"/>
      <name val="Calibri"/>
      <family val="2"/>
      <scheme val="minor"/>
    </font>
    <font>
      <sz val="12"/>
      <color indexed="12"/>
      <name val="Calibri"/>
      <family val="2"/>
      <scheme val="minor"/>
    </font>
    <font>
      <b/>
      <u val="doubleAccounting"/>
      <sz val="12"/>
      <name val="Calibri"/>
      <family val="2"/>
      <scheme val="minor"/>
    </font>
    <font>
      <i/>
      <sz val="12"/>
      <color indexed="12"/>
      <name val="Calibri"/>
      <family val="2"/>
      <scheme val="minor"/>
    </font>
    <font>
      <i/>
      <sz val="11"/>
      <color theme="1"/>
      <name val="Calibri"/>
      <family val="2"/>
      <scheme val="minor"/>
    </font>
    <font>
      <b/>
      <sz val="12"/>
      <color rgb="FFFFFF00"/>
      <name val="Calibri"/>
      <family val="2"/>
      <scheme val="minor"/>
    </font>
    <font>
      <sz val="8"/>
      <name val="Calibri"/>
      <family val="2"/>
      <scheme val="minor"/>
    </font>
    <font>
      <b/>
      <u/>
      <sz val="14"/>
      <name val="Calibri"/>
      <family val="2"/>
    </font>
    <font>
      <sz val="14"/>
      <name val="Calibri"/>
      <family val="2"/>
    </font>
    <font>
      <b/>
      <sz val="14"/>
      <name val="Calibri"/>
      <family val="2"/>
    </font>
    <font>
      <i/>
      <sz val="14"/>
      <name val="Calibri"/>
      <family val="2"/>
    </font>
    <font>
      <b/>
      <i/>
      <sz val="14"/>
      <name val="Calibri"/>
      <family val="2"/>
    </font>
    <font>
      <b/>
      <sz val="11"/>
      <color indexed="8"/>
      <name val="Calibri"/>
      <family val="2"/>
      <scheme val="minor"/>
    </font>
    <font>
      <sz val="12"/>
      <color theme="2" tint="-9.9978637043366805E-2"/>
      <name val="Calibri"/>
      <family val="2"/>
      <scheme val="minor"/>
    </font>
    <font>
      <b/>
      <sz val="14"/>
      <color rgb="FFFF0000"/>
      <name val="Calibri"/>
      <family val="2"/>
    </font>
    <font>
      <sz val="11"/>
      <color rgb="FF000000"/>
      <name val="Calibri"/>
      <family val="2"/>
    </font>
    <font>
      <sz val="12"/>
      <color rgb="FF000000"/>
      <name val="Calibri"/>
      <family val="2"/>
    </font>
    <font>
      <sz val="11"/>
      <color theme="1"/>
      <name val="Calibri"/>
      <family val="2"/>
    </font>
    <font>
      <sz val="11"/>
      <color theme="1"/>
      <name val="Aptos Narrow"/>
      <family val="2"/>
    </font>
    <font>
      <sz val="11"/>
      <name val="Aptos Narrow"/>
      <family val="2"/>
    </font>
    <font>
      <b/>
      <sz val="11"/>
      <name val="Aptos Narrow"/>
      <family val="2"/>
    </font>
    <font>
      <b/>
      <sz val="11"/>
      <color theme="1"/>
      <name val="Aptos Narrow"/>
      <family val="2"/>
    </font>
    <font>
      <sz val="11"/>
      <color rgb="FF000000"/>
      <name val="Aptos Narrow"/>
      <family val="2"/>
    </font>
    <font>
      <sz val="11"/>
      <color theme="1"/>
      <name val="Aptos Narrow"/>
    </font>
    <font>
      <sz val="11"/>
      <name val="Aptos Narrow"/>
    </font>
    <font>
      <b/>
      <sz val="11"/>
      <name val="Aptos Narrow"/>
    </font>
    <font>
      <b/>
      <sz val="11"/>
      <color indexed="48"/>
      <name val="Aptos Narrow"/>
    </font>
    <font>
      <b/>
      <sz val="11"/>
      <color theme="0"/>
      <name val="Aptos Narrow"/>
      <family val="2"/>
    </font>
    <font>
      <b/>
      <sz val="12"/>
      <color theme="0"/>
      <name val="Aptos Narrow"/>
      <family val="2"/>
    </font>
    <font>
      <b/>
      <sz val="11"/>
      <color theme="1"/>
      <name val="Aptos Narrow"/>
    </font>
    <font>
      <sz val="11"/>
      <color theme="4" tint="-0.499984740745262"/>
      <name val="Aptos Narrow"/>
      <family val="2"/>
    </font>
    <font>
      <b/>
      <sz val="11"/>
      <color theme="4" tint="-0.499984740745262"/>
      <name val="Aptos Narrow"/>
      <family val="2"/>
    </font>
    <font>
      <b/>
      <sz val="11"/>
      <color theme="4" tint="-0.499984740745262"/>
      <name val="Aptos Narrow"/>
    </font>
    <font>
      <b/>
      <sz val="11"/>
      <color rgb="FF000000"/>
      <name val="Aptos Narrow"/>
      <family val="2"/>
    </font>
    <font>
      <b/>
      <sz val="12"/>
      <color rgb="FFFF0000"/>
      <name val="Calibri"/>
      <family val="2"/>
    </font>
    <font>
      <sz val="20"/>
      <color theme="1"/>
      <name val="Calibri"/>
      <family val="2"/>
      <scheme val="minor"/>
    </font>
    <font>
      <b/>
      <sz val="16"/>
      <color rgb="FFFF0000"/>
      <name val="Calibri"/>
      <family val="2"/>
      <scheme val="minor"/>
    </font>
    <font>
      <b/>
      <sz val="10"/>
      <name val="Calibri"/>
      <family val="2"/>
      <scheme val="minor"/>
    </font>
    <font>
      <i/>
      <sz val="8"/>
      <color theme="1"/>
      <name val="Calibri"/>
      <family val="2"/>
      <scheme val="minor"/>
    </font>
    <font>
      <sz val="8"/>
      <color theme="1"/>
      <name val="Calibri"/>
      <family val="2"/>
      <scheme val="minor"/>
    </font>
    <font>
      <sz val="11"/>
      <color theme="9" tint="-0.499984740745262"/>
      <name val="Calibri"/>
      <family val="2"/>
      <scheme val="minor"/>
    </font>
    <font>
      <b/>
      <u/>
      <sz val="11"/>
      <color theme="1"/>
      <name val="Aptos Narrow"/>
    </font>
    <font>
      <b/>
      <sz val="11"/>
      <color theme="0"/>
      <name val="Aptos Narrow"/>
    </font>
    <font>
      <sz val="11"/>
      <color theme="0"/>
      <name val="Aptos Narrow"/>
    </font>
    <font>
      <b/>
      <sz val="11"/>
      <color theme="1"/>
      <name val="Calibri"/>
      <family val="2"/>
    </font>
  </fonts>
  <fills count="48">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indexed="9"/>
        <bgColor indexed="64"/>
      </patternFill>
    </fill>
    <fill>
      <patternFill patternType="solid">
        <fgColor theme="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lightUp">
        <bgColor theme="2" tint="-9.9978637043366805E-2"/>
      </patternFill>
    </fill>
    <fill>
      <patternFill patternType="solid">
        <fgColor theme="0" tint="-0.14999847407452621"/>
        <bgColor indexed="64"/>
      </patternFill>
    </fill>
    <fill>
      <patternFill patternType="solid">
        <fgColor theme="2" tint="-9.9978637043366805E-2"/>
        <bgColor indexed="9"/>
      </patternFill>
    </fill>
    <fill>
      <patternFill patternType="solid">
        <fgColor theme="9" tint="0.79998168889431442"/>
        <bgColor indexed="64"/>
      </patternFill>
    </fill>
    <fill>
      <patternFill patternType="darkGrid">
        <bgColor theme="2" tint="-9.9978637043366805E-2"/>
      </patternFill>
    </fill>
    <fill>
      <patternFill patternType="solid">
        <fgColor theme="7"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E7E6E6"/>
        <bgColor rgb="FF000000"/>
      </patternFill>
    </fill>
    <fill>
      <patternFill patternType="solid">
        <fgColor rgb="FFE2EFDA"/>
        <bgColor rgb="FF000000"/>
      </patternFill>
    </fill>
    <fill>
      <patternFill patternType="solid">
        <fgColor theme="2" tint="-0.499984740745262"/>
        <bgColor indexed="64"/>
      </patternFill>
    </fill>
    <fill>
      <patternFill patternType="solid">
        <fgColor theme="4" tint="-0.249977111117893"/>
        <bgColor indexed="64"/>
      </patternFill>
    </fill>
    <fill>
      <patternFill patternType="solid">
        <fgColor theme="4" tint="0.79998168889431442"/>
        <bgColor rgb="FF000000"/>
      </patternFill>
    </fill>
    <fill>
      <patternFill patternType="solid">
        <fgColor rgb="FFDDECF8"/>
        <bgColor indexed="64"/>
      </patternFill>
    </fill>
    <fill>
      <patternFill patternType="solid">
        <fgColor rgb="FFEFF5FB"/>
        <bgColor rgb="FF000000"/>
      </patternFill>
    </fill>
    <fill>
      <patternFill patternType="solid">
        <fgColor rgb="FFD0CECE"/>
        <bgColor rgb="FF000000"/>
      </patternFill>
    </fill>
    <fill>
      <patternFill patternType="solid">
        <fgColor rgb="FFDDEBF7"/>
        <bgColor rgb="FF000000"/>
      </patternFill>
    </fill>
    <fill>
      <patternFill patternType="solid">
        <fgColor rgb="FF000000"/>
        <bgColor rgb="FF000000"/>
      </patternFill>
    </fill>
    <fill>
      <patternFill patternType="solid">
        <fgColor rgb="FFFFFFFF"/>
        <bgColor rgb="FF000000"/>
      </patternFill>
    </fill>
    <fill>
      <patternFill patternType="solid">
        <fgColor theme="1"/>
        <bgColor rgb="FF000000"/>
      </patternFill>
    </fill>
    <fill>
      <patternFill patternType="solid">
        <fgColor theme="3" tint="0.59999389629810485"/>
        <bgColor indexed="64"/>
      </patternFill>
    </fill>
    <fill>
      <patternFill patternType="solid">
        <fgColor rgb="FFD1F3D8"/>
        <bgColor auto="1"/>
      </patternFill>
    </fill>
    <fill>
      <gradientFill degree="270">
        <stop position="0">
          <color rgb="FFE7F9EB"/>
        </stop>
        <stop position="1">
          <color rgb="FF8DE39F"/>
        </stop>
      </gradientFill>
    </fill>
    <fill>
      <patternFill patternType="solid">
        <fgColor rgb="FFFFFFFF"/>
        <bgColor indexed="64"/>
      </patternFill>
    </fill>
    <fill>
      <patternFill patternType="darkTrellis">
        <bgColor theme="2" tint="-0.24994659260841701"/>
      </patternFill>
    </fill>
    <fill>
      <patternFill patternType="solid">
        <fgColor rgb="FF8DE39F"/>
        <bgColor indexed="64"/>
      </patternFill>
    </fill>
    <fill>
      <patternFill patternType="solid">
        <fgColor theme="3" tint="-0.499984740745262"/>
        <bgColor indexed="64"/>
      </patternFill>
    </fill>
    <fill>
      <patternFill patternType="darkTrellis">
        <fgColor theme="1" tint="0.499984740745262"/>
        <bgColor theme="2" tint="-9.9978637043366805E-2"/>
      </patternFill>
    </fill>
    <fill>
      <patternFill patternType="solid">
        <fgColor rgb="FF1B2A4A"/>
        <bgColor rgb="FF1B2A4A"/>
      </patternFill>
    </fill>
    <fill>
      <patternFill patternType="solid">
        <fgColor rgb="FFE8EEF4"/>
        <bgColor rgb="FFE8EEF4"/>
      </patternFill>
    </fill>
    <fill>
      <patternFill patternType="solid">
        <fgColor rgb="FFFFFFFF"/>
        <bgColor rgb="FFFFFFFF"/>
      </patternFill>
    </fill>
    <fill>
      <patternFill patternType="solid">
        <fgColor rgb="FF3B5998"/>
        <bgColor rgb="FF3B5998"/>
      </patternFill>
    </fill>
    <fill>
      <patternFill patternType="solid">
        <fgColor rgb="FFF0F4F8"/>
        <bgColor rgb="FFF0F4F8"/>
      </patternFill>
    </fill>
    <fill>
      <patternFill patternType="solid">
        <fgColor rgb="FF82CCEB"/>
        <bgColor rgb="FFE8EEF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right style="thin">
        <color indexed="64"/>
      </right>
      <top/>
      <bottom style="medium">
        <color indexed="64"/>
      </bottom>
      <diagonal/>
    </border>
    <border>
      <left/>
      <right/>
      <top style="double">
        <color indexed="64"/>
      </top>
      <bottom/>
      <diagonal/>
    </border>
    <border>
      <left/>
      <right/>
      <top style="double">
        <color indexed="64"/>
      </top>
      <bottom style="thin">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double">
        <color indexed="64"/>
      </bottom>
      <diagonal/>
    </border>
    <border>
      <left/>
      <right style="medium">
        <color indexed="64"/>
      </right>
      <top style="double">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medium">
        <color indexed="64"/>
      </bottom>
      <diagonal/>
    </border>
    <border>
      <left/>
      <right/>
      <top/>
      <bottom style="hair">
        <color indexed="16"/>
      </bottom>
      <diagonal/>
    </border>
    <border>
      <left style="hair">
        <color indexed="16"/>
      </left>
      <right/>
      <top style="hair">
        <color indexed="16"/>
      </top>
      <bottom style="hair">
        <color indexed="16"/>
      </bottom>
      <diagonal/>
    </border>
    <border>
      <left/>
      <right/>
      <top style="hair">
        <color indexed="16"/>
      </top>
      <bottom style="hair">
        <color indexed="16"/>
      </bottom>
      <diagonal/>
    </border>
    <border>
      <left/>
      <right style="hair">
        <color indexed="16"/>
      </right>
      <top style="hair">
        <color indexed="16"/>
      </top>
      <bottom style="hair">
        <color indexed="16"/>
      </bottom>
      <diagonal/>
    </border>
    <border>
      <left style="hair">
        <color indexed="16"/>
      </left>
      <right/>
      <top/>
      <bottom/>
      <diagonal/>
    </border>
    <border>
      <left style="hair">
        <color indexed="16"/>
      </left>
      <right style="hair">
        <color indexed="16"/>
      </right>
      <top/>
      <bottom style="hair">
        <color indexed="16"/>
      </bottom>
      <diagonal/>
    </border>
    <border>
      <left style="hair">
        <color indexed="16"/>
      </left>
      <right style="hair">
        <color indexed="16"/>
      </right>
      <top style="hair">
        <color indexed="16"/>
      </top>
      <bottom style="hair">
        <color indexed="16"/>
      </bottom>
      <diagonal/>
    </border>
    <border>
      <left style="hair">
        <color indexed="16"/>
      </left>
      <right/>
      <top/>
      <bottom style="hair">
        <color indexed="16"/>
      </bottom>
      <diagonal/>
    </border>
    <border>
      <left style="hair">
        <color indexed="16"/>
      </left>
      <right/>
      <top style="hair">
        <color indexed="16"/>
      </top>
      <bottom/>
      <diagonal/>
    </border>
    <border>
      <left/>
      <right style="hair">
        <color indexed="16"/>
      </right>
      <top style="hair">
        <color indexed="16"/>
      </top>
      <bottom/>
      <diagonal/>
    </border>
    <border>
      <left/>
      <right/>
      <top style="hair">
        <color indexed="16"/>
      </top>
      <bottom/>
      <diagonal/>
    </border>
    <border>
      <left style="dotted">
        <color indexed="16"/>
      </left>
      <right style="dotted">
        <color indexed="16"/>
      </right>
      <top style="hair">
        <color indexed="16"/>
      </top>
      <bottom style="dotted">
        <color indexed="16"/>
      </bottom>
      <diagonal/>
    </border>
    <border>
      <left style="dotted">
        <color indexed="16"/>
      </left>
      <right style="dotted">
        <color indexed="16"/>
      </right>
      <top style="dotted">
        <color indexed="16"/>
      </top>
      <bottom style="dotted">
        <color indexed="16"/>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thin">
        <color theme="4" tint="-0.499984740745262"/>
      </right>
      <top/>
      <bottom/>
      <diagonal/>
    </border>
    <border>
      <left/>
      <right style="medium">
        <color theme="9" tint="-0.499984740745262"/>
      </right>
      <top/>
      <bottom/>
      <diagonal/>
    </border>
    <border>
      <left style="medium">
        <color theme="9" tint="-0.499984740745262"/>
      </left>
      <right/>
      <top style="medium">
        <color theme="9" tint="-0.499984740745262"/>
      </top>
      <bottom/>
      <diagonal/>
    </border>
    <border>
      <left style="medium">
        <color theme="9" tint="-0.499984740745262"/>
      </left>
      <right/>
      <top/>
      <bottom/>
      <diagonal/>
    </border>
    <border>
      <left style="medium">
        <color indexed="64"/>
      </left>
      <right/>
      <top style="double">
        <color rgb="FFE4E4E4"/>
      </top>
      <bottom style="medium">
        <color indexed="64"/>
      </bottom>
      <diagonal/>
    </border>
    <border>
      <left/>
      <right style="medium">
        <color indexed="64"/>
      </right>
      <top style="double">
        <color theme="0" tint="-4.9989318521683403E-2"/>
      </top>
      <bottom style="medium">
        <color indexed="64"/>
      </bottom>
      <diagonal/>
    </border>
    <border>
      <left/>
      <right style="medium">
        <color theme="9" tint="-0.499984740745262"/>
      </right>
      <top style="medium">
        <color indexed="64"/>
      </top>
      <bottom/>
      <diagonal/>
    </border>
    <border>
      <left/>
      <right style="medium">
        <color theme="9" tint="-0.499984740745262"/>
      </right>
      <top/>
      <bottom style="medium">
        <color indexed="64"/>
      </bottom>
      <diagonal/>
    </border>
    <border>
      <left/>
      <right/>
      <top style="thin">
        <color theme="1"/>
      </top>
      <bottom/>
      <diagonal/>
    </border>
    <border>
      <left style="thin">
        <color theme="1"/>
      </left>
      <right style="thin">
        <color theme="1"/>
      </right>
      <top style="thin">
        <color theme="1"/>
      </top>
      <bottom style="thin">
        <color theme="1"/>
      </bottom>
      <diagonal/>
    </border>
    <border>
      <left style="thin">
        <color rgb="FFB0BEC5"/>
      </left>
      <right style="thin">
        <color rgb="FFB0BEC5"/>
      </right>
      <top style="thin">
        <color rgb="FFB0BEC5"/>
      </top>
      <bottom style="thin">
        <color rgb="FFB0BEC5"/>
      </bottom>
      <diagonal/>
    </border>
    <border>
      <left style="medium">
        <color indexed="64"/>
      </left>
      <right/>
      <top style="medium">
        <color indexed="64"/>
      </top>
      <bottom style="thin">
        <color rgb="FFB0BEC5"/>
      </bottom>
      <diagonal/>
    </border>
    <border>
      <left/>
      <right/>
      <top style="medium">
        <color indexed="64"/>
      </top>
      <bottom style="thin">
        <color rgb="FFB0BEC5"/>
      </bottom>
      <diagonal/>
    </border>
    <border>
      <left/>
      <right style="medium">
        <color indexed="64"/>
      </right>
      <top style="medium">
        <color indexed="64"/>
      </top>
      <bottom style="thin">
        <color rgb="FFB0BEC5"/>
      </bottom>
      <diagonal/>
    </border>
    <border>
      <left style="medium">
        <color indexed="64"/>
      </left>
      <right style="thin">
        <color rgb="FFB0BEC5"/>
      </right>
      <top style="thin">
        <color rgb="FFB0BEC5"/>
      </top>
      <bottom style="thin">
        <color rgb="FFB0BEC5"/>
      </bottom>
      <diagonal/>
    </border>
    <border>
      <left style="thin">
        <color rgb="FFB0BEC5"/>
      </left>
      <right style="medium">
        <color indexed="64"/>
      </right>
      <top style="thin">
        <color rgb="FFB0BEC5"/>
      </top>
      <bottom style="thin">
        <color rgb="FFB0BEC5"/>
      </bottom>
      <diagonal/>
    </border>
    <border>
      <left style="medium">
        <color indexed="64"/>
      </left>
      <right style="thin">
        <color rgb="FFB0BEC5"/>
      </right>
      <top style="thin">
        <color rgb="FFB0BEC5"/>
      </top>
      <bottom style="medium">
        <color indexed="64"/>
      </bottom>
      <diagonal/>
    </border>
    <border>
      <left style="thin">
        <color rgb="FFB0BEC5"/>
      </left>
      <right style="thin">
        <color rgb="FFB0BEC5"/>
      </right>
      <top style="thin">
        <color rgb="FFB0BEC5"/>
      </top>
      <bottom style="medium">
        <color indexed="64"/>
      </bottom>
      <diagonal/>
    </border>
    <border>
      <left style="thin">
        <color rgb="FFB0BEC5"/>
      </left>
      <right style="medium">
        <color indexed="64"/>
      </right>
      <top style="thin">
        <color rgb="FFB0BEC5"/>
      </top>
      <bottom style="medium">
        <color indexed="64"/>
      </bottom>
      <diagonal/>
    </border>
    <border>
      <left style="medium">
        <color indexed="64"/>
      </left>
      <right/>
      <top style="thin">
        <color rgb="FFB0BEC5"/>
      </top>
      <bottom style="thin">
        <color rgb="FFB0BEC5"/>
      </bottom>
      <diagonal/>
    </border>
    <border>
      <left style="medium">
        <color indexed="64"/>
      </left>
      <right/>
      <top style="thin">
        <color rgb="FFB0BEC5"/>
      </top>
      <bottom style="medium">
        <color indexed="64"/>
      </bottom>
      <diagonal/>
    </border>
  </borders>
  <cellStyleXfs count="20">
    <xf numFmtId="0" fontId="0" fillId="0" borderId="0"/>
    <xf numFmtId="44" fontId="3" fillId="0" borderId="0" applyFont="0" applyFill="0" applyBorder="0" applyAlignment="0" applyProtection="0"/>
    <xf numFmtId="9" fontId="3" fillId="0" borderId="0" applyFont="0" applyFill="0" applyBorder="0" applyAlignment="0" applyProtection="0"/>
    <xf numFmtId="0" fontId="6" fillId="0" borderId="0"/>
    <xf numFmtId="0" fontId="9" fillId="0" borderId="0" applyNumberFormat="0" applyFill="0" applyBorder="0" applyAlignment="0" applyProtection="0"/>
    <xf numFmtId="0" fontId="6" fillId="0" borderId="0"/>
    <xf numFmtId="43" fontId="3"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6" fillId="0" borderId="0"/>
    <xf numFmtId="44"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31" fillId="0" borderId="0"/>
    <xf numFmtId="0" fontId="49" fillId="0" borderId="0"/>
    <xf numFmtId="0" fontId="57" fillId="0" borderId="0"/>
    <xf numFmtId="0" fontId="6" fillId="0" borderId="0"/>
    <xf numFmtId="0" fontId="6" fillId="0" borderId="0"/>
  </cellStyleXfs>
  <cellXfs count="3314">
    <xf numFmtId="0" fontId="0" fillId="0" borderId="0" xfId="0"/>
    <xf numFmtId="0" fontId="9" fillId="0" borderId="0" xfId="4"/>
    <xf numFmtId="10" fontId="8" fillId="0" borderId="1" xfId="7" applyNumberFormat="1" applyFont="1" applyBorder="1" applyAlignment="1" applyProtection="1">
      <alignment vertical="top"/>
      <protection locked="0"/>
    </xf>
    <xf numFmtId="167" fontId="18" fillId="0" borderId="0" xfId="10" applyNumberFormat="1" applyFont="1"/>
    <xf numFmtId="167" fontId="18" fillId="0" borderId="7" xfId="10" applyNumberFormat="1" applyFont="1" applyBorder="1" applyProtection="1">
      <protection locked="0"/>
    </xf>
    <xf numFmtId="167" fontId="18" fillId="0" borderId="15" xfId="10" applyNumberFormat="1" applyFont="1" applyBorder="1" applyProtection="1">
      <protection locked="0"/>
    </xf>
    <xf numFmtId="0" fontId="0" fillId="0" borderId="0" xfId="0" applyAlignment="1">
      <alignment horizontal="left"/>
    </xf>
    <xf numFmtId="0" fontId="8" fillId="0" borderId="35" xfId="3" applyFont="1" applyBorder="1" applyAlignment="1" applyProtection="1">
      <alignment horizontal="right" vertical="top"/>
      <protection locked="0"/>
    </xf>
    <xf numFmtId="165" fontId="18" fillId="0" borderId="1" xfId="9" applyNumberFormat="1" applyFont="1" applyBorder="1" applyProtection="1">
      <protection locked="0"/>
    </xf>
    <xf numFmtId="9" fontId="18" fillId="0" borderId="1" xfId="7" applyFont="1" applyBorder="1" applyProtection="1">
      <protection locked="0"/>
    </xf>
    <xf numFmtId="165" fontId="18" fillId="5" borderId="1" xfId="9" applyNumberFormat="1" applyFont="1" applyFill="1" applyBorder="1" applyProtection="1">
      <protection locked="0"/>
    </xf>
    <xf numFmtId="165" fontId="18" fillId="5" borderId="1" xfId="9" applyNumberFormat="1" applyFont="1" applyFill="1" applyBorder="1" applyAlignment="1" applyProtection="1">
      <alignment wrapText="1"/>
      <protection locked="0"/>
    </xf>
    <xf numFmtId="0" fontId="18" fillId="7" borderId="15" xfId="10" applyFont="1" applyFill="1" applyBorder="1" applyProtection="1">
      <protection locked="0"/>
    </xf>
    <xf numFmtId="0" fontId="18" fillId="7" borderId="14" xfId="10" applyFont="1" applyFill="1" applyBorder="1" applyProtection="1">
      <protection locked="0"/>
    </xf>
    <xf numFmtId="165" fontId="18" fillId="0" borderId="7" xfId="1" applyNumberFormat="1" applyFont="1" applyBorder="1" applyProtection="1">
      <protection locked="0"/>
    </xf>
    <xf numFmtId="165" fontId="18" fillId="0" borderId="15" xfId="1" applyNumberFormat="1" applyFont="1" applyBorder="1" applyProtection="1">
      <protection locked="0"/>
    </xf>
    <xf numFmtId="168" fontId="18" fillId="0" borderId="7" xfId="14" applyNumberFormat="1" applyFont="1" applyBorder="1" applyAlignment="1" applyProtection="1">
      <alignment horizontal="center"/>
      <protection locked="0"/>
    </xf>
    <xf numFmtId="168" fontId="18" fillId="0" borderId="15" xfId="14" applyNumberFormat="1" applyFont="1" applyBorder="1" applyAlignment="1" applyProtection="1">
      <alignment horizontal="center"/>
      <protection locked="0"/>
    </xf>
    <xf numFmtId="168" fontId="18" fillId="0" borderId="14" xfId="14" applyNumberFormat="1" applyFont="1" applyBorder="1" applyAlignment="1" applyProtection="1">
      <alignment horizontal="center"/>
      <protection locked="0"/>
    </xf>
    <xf numFmtId="0" fontId="18" fillId="0" borderId="7" xfId="13" applyFont="1" applyBorder="1" applyAlignment="1" applyProtection="1">
      <alignment horizontal="center"/>
      <protection locked="0"/>
    </xf>
    <xf numFmtId="0" fontId="18" fillId="0" borderId="15" xfId="13" applyFont="1" applyBorder="1" applyAlignment="1" applyProtection="1">
      <alignment horizontal="center"/>
      <protection locked="0"/>
    </xf>
    <xf numFmtId="0" fontId="18" fillId="0" borderId="14" xfId="13" applyFont="1" applyBorder="1" applyProtection="1">
      <protection locked="0"/>
    </xf>
    <xf numFmtId="0" fontId="32" fillId="0" borderId="0" xfId="15" applyFont="1" applyAlignment="1">
      <alignment horizontal="center"/>
    </xf>
    <xf numFmtId="0" fontId="32" fillId="0" borderId="0" xfId="15" applyFont="1" applyAlignment="1">
      <alignment horizontal="left"/>
    </xf>
    <xf numFmtId="49" fontId="0" fillId="0" borderId="0" xfId="0" applyNumberFormat="1"/>
    <xf numFmtId="0" fontId="0" fillId="0" borderId="0" xfId="0" applyProtection="1">
      <protection locked="0"/>
    </xf>
    <xf numFmtId="0" fontId="8" fillId="0" borderId="0" xfId="0" applyFont="1"/>
    <xf numFmtId="0" fontId="8" fillId="0" borderId="1" xfId="3" applyFont="1" applyBorder="1" applyAlignment="1" applyProtection="1">
      <alignment vertical="top"/>
      <protection locked="0"/>
    </xf>
    <xf numFmtId="0" fontId="35" fillId="0" borderId="0" xfId="0" applyFont="1"/>
    <xf numFmtId="0" fontId="25" fillId="10" borderId="8" xfId="5" applyFont="1" applyFill="1" applyBorder="1" applyAlignment="1">
      <alignment horizontal="left" wrapText="1"/>
    </xf>
    <xf numFmtId="0" fontId="25" fillId="10" borderId="45" xfId="5" applyFont="1" applyFill="1" applyBorder="1" applyAlignment="1">
      <alignment horizontal="left" wrapText="1"/>
    </xf>
    <xf numFmtId="0" fontId="37" fillId="9" borderId="0" xfId="0" applyFont="1" applyFill="1"/>
    <xf numFmtId="0" fontId="35" fillId="9" borderId="36" xfId="0" applyFont="1" applyFill="1" applyBorder="1" applyAlignment="1">
      <alignment horizontal="center"/>
    </xf>
    <xf numFmtId="0" fontId="35" fillId="9" borderId="34" xfId="0" applyFont="1" applyFill="1" applyBorder="1" applyAlignment="1">
      <alignment horizontal="center"/>
    </xf>
    <xf numFmtId="0" fontId="35" fillId="9" borderId="0" xfId="0" applyFont="1" applyFill="1"/>
    <xf numFmtId="0" fontId="35" fillId="9" borderId="0" xfId="0" applyFont="1" applyFill="1" applyAlignment="1">
      <alignment horizontal="right"/>
    </xf>
    <xf numFmtId="0" fontId="35" fillId="9" borderId="36" xfId="0" applyFont="1" applyFill="1" applyBorder="1"/>
    <xf numFmtId="0" fontId="35" fillId="9" borderId="34" xfId="0" applyFont="1" applyFill="1" applyBorder="1"/>
    <xf numFmtId="0" fontId="35" fillId="9" borderId="42" xfId="0" applyFont="1" applyFill="1" applyBorder="1"/>
    <xf numFmtId="0" fontId="35" fillId="9" borderId="27" xfId="0" applyFont="1" applyFill="1" applyBorder="1"/>
    <xf numFmtId="0" fontId="35" fillId="9" borderId="43" xfId="0" applyFont="1" applyFill="1" applyBorder="1"/>
    <xf numFmtId="0" fontId="37" fillId="9" borderId="36" xfId="0" applyFont="1" applyFill="1" applyBorder="1"/>
    <xf numFmtId="0" fontId="37" fillId="9" borderId="34" xfId="0" applyFont="1" applyFill="1" applyBorder="1"/>
    <xf numFmtId="0" fontId="43" fillId="0" borderId="0" xfId="0" applyFont="1"/>
    <xf numFmtId="1" fontId="8" fillId="0" borderId="1" xfId="3" applyNumberFormat="1" applyFont="1" applyBorder="1" applyAlignment="1" applyProtection="1">
      <alignment vertical="top"/>
      <protection locked="0"/>
    </xf>
    <xf numFmtId="42" fontId="8" fillId="0" borderId="1" xfId="1" applyNumberFormat="1" applyFont="1" applyBorder="1" applyAlignment="1" applyProtection="1">
      <alignment vertical="top"/>
      <protection locked="0"/>
    </xf>
    <xf numFmtId="0" fontId="35" fillId="9" borderId="0" xfId="0" applyFont="1" applyFill="1" applyAlignment="1">
      <alignment horizontal="left"/>
    </xf>
    <xf numFmtId="9" fontId="8" fillId="5" borderId="5" xfId="2" applyFont="1" applyFill="1" applyBorder="1" applyAlignment="1" applyProtection="1">
      <alignment horizontal="right" vertical="top"/>
      <protection locked="0"/>
    </xf>
    <xf numFmtId="167" fontId="18" fillId="9" borderId="54" xfId="10" applyNumberFormat="1" applyFont="1" applyFill="1" applyBorder="1" applyProtection="1">
      <protection locked="0"/>
    </xf>
    <xf numFmtId="0" fontId="18" fillId="9" borderId="1" xfId="10" applyFont="1" applyFill="1" applyBorder="1" applyAlignment="1">
      <alignment horizontal="center"/>
    </xf>
    <xf numFmtId="0" fontId="35" fillId="9" borderId="0" xfId="0" applyFont="1" applyFill="1" applyAlignment="1">
      <alignment wrapText="1"/>
    </xf>
    <xf numFmtId="0" fontId="37" fillId="9" borderId="2" xfId="0" applyFont="1" applyFill="1" applyBorder="1" applyAlignment="1">
      <alignment horizontal="left"/>
    </xf>
    <xf numFmtId="0" fontId="37" fillId="9" borderId="0" xfId="0" applyFont="1" applyFill="1" applyAlignment="1">
      <alignment horizontal="left"/>
    </xf>
    <xf numFmtId="0" fontId="37" fillId="9" borderId="34" xfId="0" applyFont="1" applyFill="1" applyBorder="1" applyAlignment="1">
      <alignment horizontal="left"/>
    </xf>
    <xf numFmtId="0" fontId="34" fillId="3" borderId="36" xfId="5" applyFont="1" applyFill="1" applyBorder="1" applyAlignment="1">
      <alignment horizontal="center" wrapText="1"/>
    </xf>
    <xf numFmtId="0" fontId="34" fillId="3" borderId="34" xfId="5" applyFont="1" applyFill="1" applyBorder="1" applyAlignment="1">
      <alignment horizontal="center" wrapText="1"/>
    </xf>
    <xf numFmtId="169" fontId="18" fillId="0" borderId="7" xfId="2" applyNumberFormat="1" applyFont="1" applyBorder="1" applyProtection="1">
      <protection locked="0"/>
    </xf>
    <xf numFmtId="169" fontId="18" fillId="0" borderId="15" xfId="2" applyNumberFormat="1" applyFont="1" applyBorder="1" applyProtection="1">
      <protection locked="0"/>
    </xf>
    <xf numFmtId="169" fontId="18" fillId="0" borderId="16" xfId="2" applyNumberFormat="1" applyFont="1" applyBorder="1" applyProtection="1">
      <protection locked="0"/>
    </xf>
    <xf numFmtId="0" fontId="4" fillId="0" borderId="0" xfId="0" applyFont="1"/>
    <xf numFmtId="0" fontId="54" fillId="0" borderId="0" xfId="0" applyFont="1"/>
    <xf numFmtId="0" fontId="54" fillId="9" borderId="36" xfId="0" applyFont="1" applyFill="1" applyBorder="1" applyAlignment="1">
      <alignment vertical="center" wrapText="1"/>
    </xf>
    <xf numFmtId="0" fontId="54" fillId="9" borderId="0" xfId="0" applyFont="1" applyFill="1" applyAlignment="1">
      <alignment vertical="center" wrapText="1"/>
    </xf>
    <xf numFmtId="0" fontId="54" fillId="9" borderId="34" xfId="0" applyFont="1" applyFill="1" applyBorder="1" applyAlignment="1">
      <alignment vertical="center" wrapText="1"/>
    </xf>
    <xf numFmtId="0" fontId="54" fillId="9" borderId="36" xfId="0" applyFont="1" applyFill="1" applyBorder="1"/>
    <xf numFmtId="0" fontId="54" fillId="9" borderId="0" xfId="0" applyFont="1" applyFill="1"/>
    <xf numFmtId="0" fontId="54" fillId="9" borderId="34" xfId="0" applyFont="1" applyFill="1" applyBorder="1"/>
    <xf numFmtId="49" fontId="54" fillId="9" borderId="0" xfId="0" applyNumberFormat="1" applyFont="1" applyFill="1" applyAlignment="1">
      <alignment horizontal="center"/>
    </xf>
    <xf numFmtId="0" fontId="54" fillId="9" borderId="0" xfId="0" applyFont="1" applyFill="1" applyAlignment="1">
      <alignment horizontal="left" wrapText="1"/>
    </xf>
    <xf numFmtId="0" fontId="54" fillId="9" borderId="0" xfId="0" applyFont="1" applyFill="1" applyAlignment="1">
      <alignment wrapText="1"/>
    </xf>
    <xf numFmtId="0" fontId="54" fillId="9" borderId="42" xfId="0" applyFont="1" applyFill="1" applyBorder="1"/>
    <xf numFmtId="0" fontId="54" fillId="9" borderId="27" xfId="0" applyFont="1" applyFill="1" applyBorder="1"/>
    <xf numFmtId="0" fontId="54" fillId="9" borderId="43" xfId="0" applyFont="1" applyFill="1" applyBorder="1"/>
    <xf numFmtId="0" fontId="54" fillId="9" borderId="1" xfId="0" applyFont="1" applyFill="1" applyBorder="1" applyAlignment="1">
      <alignment horizontal="right"/>
    </xf>
    <xf numFmtId="0" fontId="54" fillId="9" borderId="1" xfId="0" applyFont="1" applyFill="1" applyBorder="1"/>
    <xf numFmtId="0" fontId="54" fillId="9" borderId="1" xfId="0" applyFont="1" applyFill="1" applyBorder="1" applyAlignment="1">
      <alignment horizontal="center"/>
    </xf>
    <xf numFmtId="9" fontId="54" fillId="0" borderId="1" xfId="2" applyFont="1" applyBorder="1"/>
    <xf numFmtId="9" fontId="54" fillId="9" borderId="0" xfId="2" applyFont="1" applyFill="1"/>
    <xf numFmtId="0" fontId="9" fillId="0" borderId="0" xfId="4" applyAlignment="1">
      <alignment horizontal="left"/>
    </xf>
    <xf numFmtId="0" fontId="0" fillId="0" borderId="0" xfId="0" applyAlignment="1">
      <alignment horizontal="center"/>
    </xf>
    <xf numFmtId="0" fontId="10" fillId="5" borderId="60" xfId="3" applyFont="1" applyFill="1" applyBorder="1" applyAlignment="1" applyProtection="1">
      <alignment horizontal="center" vertical="center"/>
      <protection locked="0"/>
    </xf>
    <xf numFmtId="167" fontId="0" fillId="0" borderId="0" xfId="0" applyNumberFormat="1" applyAlignment="1">
      <alignment horizontal="center"/>
    </xf>
    <xf numFmtId="10" fontId="0" fillId="0" borderId="0" xfId="2" applyNumberFormat="1" applyFont="1" applyAlignment="1">
      <alignment horizontal="center"/>
    </xf>
    <xf numFmtId="180" fontId="0" fillId="0" borderId="0" xfId="2" applyNumberFormat="1" applyFont="1" applyAlignment="1">
      <alignment horizontal="center"/>
    </xf>
    <xf numFmtId="181" fontId="0" fillId="0" borderId="0" xfId="0" applyNumberFormat="1" applyAlignment="1">
      <alignment horizontal="center"/>
    </xf>
    <xf numFmtId="17" fontId="0" fillId="0" borderId="0" xfId="0" applyNumberFormat="1"/>
    <xf numFmtId="8" fontId="0" fillId="0" borderId="0" xfId="0" applyNumberFormat="1" applyAlignment="1">
      <alignment horizontal="left"/>
    </xf>
    <xf numFmtId="0" fontId="9" fillId="0" borderId="0" xfId="4" applyAlignment="1"/>
    <xf numFmtId="0" fontId="59" fillId="11" borderId="29" xfId="5" applyFont="1" applyFill="1" applyBorder="1"/>
    <xf numFmtId="0" fontId="59" fillId="11" borderId="19" xfId="5" applyFont="1" applyFill="1" applyBorder="1"/>
    <xf numFmtId="0" fontId="59" fillId="11" borderId="30" xfId="5" applyFont="1" applyFill="1" applyBorder="1"/>
    <xf numFmtId="0" fontId="59" fillId="11" borderId="34" xfId="5" applyFont="1" applyFill="1" applyBorder="1" applyAlignment="1">
      <alignment wrapText="1"/>
    </xf>
    <xf numFmtId="0" fontId="17" fillId="11" borderId="36" xfId="18" applyFont="1" applyFill="1" applyBorder="1" applyAlignment="1">
      <alignment horizontal="left" vertical="top" wrapText="1"/>
    </xf>
    <xf numFmtId="0" fontId="17" fillId="11" borderId="0" xfId="18" applyFont="1" applyFill="1" applyAlignment="1">
      <alignment horizontal="left" vertical="top" wrapText="1"/>
    </xf>
    <xf numFmtId="0" fontId="17" fillId="11" borderId="0" xfId="18" applyFont="1" applyFill="1" applyAlignment="1">
      <alignment vertical="top" wrapText="1"/>
    </xf>
    <xf numFmtId="0" fontId="59" fillId="11" borderId="36" xfId="5" applyFont="1" applyFill="1" applyBorder="1"/>
    <xf numFmtId="0" fontId="59" fillId="11" borderId="0" xfId="5" applyFont="1" applyFill="1"/>
    <xf numFmtId="0" fontId="59" fillId="11" borderId="34" xfId="5" applyFont="1" applyFill="1" applyBorder="1"/>
    <xf numFmtId="0" fontId="60" fillId="11" borderId="36" xfId="5" applyFont="1" applyFill="1" applyBorder="1"/>
    <xf numFmtId="0" fontId="18" fillId="11" borderId="36" xfId="5" applyFont="1" applyFill="1" applyBorder="1"/>
    <xf numFmtId="0" fontId="18" fillId="11" borderId="0" xfId="5" applyFont="1" applyFill="1"/>
    <xf numFmtId="6" fontId="18" fillId="11" borderId="0" xfId="5" applyNumberFormat="1" applyFont="1" applyFill="1"/>
    <xf numFmtId="0" fontId="18" fillId="11" borderId="34" xfId="5" applyFont="1" applyFill="1" applyBorder="1" applyAlignment="1">
      <alignment horizontal="justify" vertical="top"/>
    </xf>
    <xf numFmtId="0" fontId="18" fillId="11" borderId="34" xfId="5" applyFont="1" applyFill="1" applyBorder="1"/>
    <xf numFmtId="0" fontId="17" fillId="11" borderId="36" xfId="5" applyFont="1" applyFill="1" applyBorder="1"/>
    <xf numFmtId="6" fontId="17" fillId="11" borderId="0" xfId="5" applyNumberFormat="1" applyFont="1" applyFill="1"/>
    <xf numFmtId="167" fontId="18" fillId="11" borderId="0" xfId="5" applyNumberFormat="1" applyFont="1" applyFill="1" applyAlignment="1">
      <alignment horizontal="right"/>
    </xf>
    <xf numFmtId="6" fontId="18" fillId="11" borderId="0" xfId="5" applyNumberFormat="1" applyFont="1" applyFill="1" applyAlignment="1">
      <alignment horizontal="right"/>
    </xf>
    <xf numFmtId="0" fontId="60" fillId="11" borderId="0" xfId="5" applyFont="1" applyFill="1"/>
    <xf numFmtId="0" fontId="18" fillId="11" borderId="0" xfId="5" applyFont="1" applyFill="1" applyAlignment="1">
      <alignment horizontal="justify" vertical="top"/>
    </xf>
    <xf numFmtId="42" fontId="18" fillId="11" borderId="0" xfId="5" applyNumberFormat="1" applyFont="1" applyFill="1" applyAlignment="1">
      <alignment horizontal="right"/>
    </xf>
    <xf numFmtId="0" fontId="60" fillId="11" borderId="34" xfId="5" applyFont="1" applyFill="1" applyBorder="1"/>
    <xf numFmtId="0" fontId="60" fillId="11" borderId="0" xfId="5" applyFont="1" applyFill="1" applyAlignment="1">
      <alignment horizontal="justify" vertical="top"/>
    </xf>
    <xf numFmtId="0" fontId="60" fillId="11" borderId="34" xfId="5" applyFont="1" applyFill="1" applyBorder="1" applyAlignment="1">
      <alignment horizontal="justify" vertical="top"/>
    </xf>
    <xf numFmtId="174" fontId="18" fillId="11" borderId="35" xfId="5" applyNumberFormat="1" applyFont="1" applyFill="1" applyBorder="1" applyAlignment="1">
      <alignment horizontal="center"/>
    </xf>
    <xf numFmtId="0" fontId="18" fillId="11" borderId="0" xfId="5" applyFont="1" applyFill="1" applyAlignment="1">
      <alignment horizontal="right"/>
    </xf>
    <xf numFmtId="174" fontId="18" fillId="11" borderId="36" xfId="5" applyNumberFormat="1" applyFont="1" applyFill="1" applyBorder="1" applyAlignment="1">
      <alignment horizontal="center"/>
    </xf>
    <xf numFmtId="0" fontId="60" fillId="11" borderId="27" xfId="5" applyFont="1" applyFill="1" applyBorder="1"/>
    <xf numFmtId="0" fontId="60" fillId="11" borderId="43" xfId="5" applyFont="1" applyFill="1" applyBorder="1"/>
    <xf numFmtId="0" fontId="0" fillId="12" borderId="19" xfId="0" applyFill="1" applyBorder="1"/>
    <xf numFmtId="0" fontId="0" fillId="12" borderId="30" xfId="0" applyFill="1" applyBorder="1"/>
    <xf numFmtId="0" fontId="0" fillId="12" borderId="36" xfId="0" applyFill="1" applyBorder="1"/>
    <xf numFmtId="0" fontId="0" fillId="12" borderId="0" xfId="0" applyFill="1"/>
    <xf numFmtId="0" fontId="0" fillId="12" borderId="42" xfId="0" applyFill="1" applyBorder="1"/>
    <xf numFmtId="0" fontId="0" fillId="12" borderId="27" xfId="0" applyFill="1" applyBorder="1"/>
    <xf numFmtId="0" fontId="8" fillId="0" borderId="0" xfId="4" applyFont="1" applyAlignment="1"/>
    <xf numFmtId="0" fontId="8" fillId="0" borderId="0" xfId="3" applyFont="1" applyAlignment="1" applyProtection="1">
      <alignment horizontal="right" vertical="top"/>
      <protection locked="0"/>
    </xf>
    <xf numFmtId="0" fontId="35" fillId="9" borderId="0" xfId="0" applyFont="1" applyFill="1" applyAlignment="1">
      <alignment horizontal="left" wrapText="1"/>
    </xf>
    <xf numFmtId="0" fontId="3" fillId="0" borderId="0" xfId="0" applyFont="1"/>
    <xf numFmtId="0" fontId="8" fillId="5" borderId="1" xfId="3" applyFont="1" applyFill="1" applyBorder="1" applyAlignment="1" applyProtection="1">
      <alignment horizontal="center" vertical="center" wrapText="1"/>
      <protection locked="0"/>
    </xf>
    <xf numFmtId="0" fontId="8" fillId="0" borderId="1" xfId="3" applyFont="1" applyBorder="1" applyAlignment="1" applyProtection="1">
      <alignment vertical="top" wrapText="1"/>
      <protection locked="0"/>
    </xf>
    <xf numFmtId="0" fontId="8" fillId="5" borderId="39" xfId="3" applyFont="1" applyFill="1" applyBorder="1" applyAlignment="1" applyProtection="1">
      <alignment horizontal="center" vertical="center" wrapText="1"/>
      <protection locked="0"/>
    </xf>
    <xf numFmtId="0" fontId="8" fillId="0" borderId="0" xfId="3" applyFont="1" applyAlignment="1" applyProtection="1">
      <alignment vertical="center" wrapText="1"/>
      <protection locked="0"/>
    </xf>
    <xf numFmtId="0" fontId="15" fillId="0" borderId="0" xfId="3" applyFont="1" applyAlignment="1" applyProtection="1">
      <alignment horizontal="right" vertical="top"/>
      <protection locked="0"/>
    </xf>
    <xf numFmtId="166" fontId="8" fillId="0" borderId="0" xfId="3" applyNumberFormat="1" applyFont="1" applyAlignment="1" applyProtection="1">
      <alignment vertical="top"/>
      <protection locked="0"/>
    </xf>
    <xf numFmtId="166" fontId="18" fillId="0" borderId="1" xfId="10" applyNumberFormat="1" applyFont="1" applyBorder="1" applyAlignment="1" applyProtection="1">
      <alignment horizontal="center"/>
      <protection locked="0"/>
    </xf>
    <xf numFmtId="1" fontId="18" fillId="0" borderId="14" xfId="10" applyNumberFormat="1" applyFont="1" applyBorder="1" applyAlignment="1" applyProtection="1">
      <alignment horizontal="center"/>
      <protection locked="0"/>
    </xf>
    <xf numFmtId="171" fontId="21" fillId="5" borderId="1" xfId="10" applyNumberFormat="1" applyFont="1" applyFill="1" applyBorder="1" applyAlignment="1" applyProtection="1">
      <alignment horizontal="center"/>
      <protection locked="0"/>
    </xf>
    <xf numFmtId="0" fontId="35" fillId="9" borderId="36" xfId="0" applyFont="1" applyFill="1" applyBorder="1" applyAlignment="1">
      <alignment wrapText="1"/>
    </xf>
    <xf numFmtId="0" fontId="35" fillId="9" borderId="34" xfId="0" applyFont="1" applyFill="1" applyBorder="1" applyAlignment="1">
      <alignment wrapText="1"/>
    </xf>
    <xf numFmtId="0" fontId="8" fillId="0" borderId="39" xfId="3" applyFont="1" applyBorder="1" applyAlignment="1" applyProtection="1">
      <alignment vertical="top" wrapText="1"/>
      <protection locked="0"/>
    </xf>
    <xf numFmtId="0" fontId="18" fillId="0" borderId="0" xfId="10" applyFont="1" applyAlignment="1" applyProtection="1">
      <alignment horizontal="center" vertical="top" wrapText="1"/>
      <protection locked="0"/>
    </xf>
    <xf numFmtId="44" fontId="8" fillId="5" borderId="14" xfId="1" applyFont="1" applyFill="1" applyBorder="1" applyAlignment="1" applyProtection="1">
      <alignment horizontal="center" vertical="center" wrapText="1"/>
      <protection locked="0"/>
    </xf>
    <xf numFmtId="0" fontId="8" fillId="12" borderId="1" xfId="3" applyFont="1" applyFill="1" applyBorder="1" applyAlignment="1">
      <alignment vertical="top"/>
    </xf>
    <xf numFmtId="0" fontId="8" fillId="12" borderId="1" xfId="3" applyFont="1" applyFill="1" applyBorder="1" applyAlignment="1">
      <alignment horizontal="right" vertical="top"/>
    </xf>
    <xf numFmtId="0" fontId="8" fillId="12" borderId="18" xfId="3" applyFont="1" applyFill="1" applyBorder="1" applyAlignment="1">
      <alignment vertical="center"/>
    </xf>
    <xf numFmtId="0" fontId="8" fillId="12" borderId="50" xfId="3" applyFont="1" applyFill="1" applyBorder="1" applyAlignment="1">
      <alignment vertical="center"/>
    </xf>
    <xf numFmtId="0" fontId="8" fillId="12" borderId="35" xfId="3" applyFont="1" applyFill="1" applyBorder="1" applyAlignment="1">
      <alignment horizontal="right" vertical="center"/>
    </xf>
    <xf numFmtId="0" fontId="8" fillId="12" borderId="35" xfId="3" applyFont="1" applyFill="1" applyBorder="1" applyAlignment="1">
      <alignment horizontal="center" vertical="top" wrapText="1"/>
    </xf>
    <xf numFmtId="0" fontId="8" fillId="12" borderId="35" xfId="3" applyFont="1" applyFill="1" applyBorder="1" applyAlignment="1" applyProtection="1">
      <alignment horizontal="right" vertical="top" wrapText="1"/>
      <protection locked="0"/>
    </xf>
    <xf numFmtId="0" fontId="8" fillId="12" borderId="36" xfId="0" applyFont="1" applyFill="1" applyBorder="1" applyAlignment="1">
      <alignment horizontal="right"/>
    </xf>
    <xf numFmtId="0" fontId="8" fillId="12" borderId="35" xfId="3" applyFont="1" applyFill="1" applyBorder="1" applyAlignment="1">
      <alignment horizontal="center" vertical="top"/>
    </xf>
    <xf numFmtId="0" fontId="8" fillId="12" borderId="1" xfId="3" applyFont="1" applyFill="1" applyBorder="1" applyAlignment="1">
      <alignment horizontal="center" vertical="top"/>
    </xf>
    <xf numFmtId="0" fontId="0" fillId="12" borderId="1" xfId="0" applyFill="1" applyBorder="1" applyAlignment="1">
      <alignment horizontal="right"/>
    </xf>
    <xf numFmtId="0" fontId="8" fillId="12" borderId="14" xfId="3" applyFont="1" applyFill="1" applyBorder="1" applyAlignment="1">
      <alignment horizontal="center" vertical="top"/>
    </xf>
    <xf numFmtId="0" fontId="8" fillId="12" borderId="4" xfId="3" applyFont="1" applyFill="1" applyBorder="1" applyAlignment="1">
      <alignment horizontal="right" vertical="center"/>
    </xf>
    <xf numFmtId="0" fontId="0" fillId="12" borderId="1" xfId="0" applyFill="1" applyBorder="1" applyAlignment="1">
      <alignment horizontal="right" vertical="top"/>
    </xf>
    <xf numFmtId="0" fontId="8" fillId="12" borderId="44" xfId="3" applyFont="1" applyFill="1" applyBorder="1" applyAlignment="1">
      <alignment horizontal="right" vertical="top"/>
    </xf>
    <xf numFmtId="0" fontId="3" fillId="12" borderId="35" xfId="0" applyFont="1" applyFill="1" applyBorder="1" applyAlignment="1">
      <alignment horizontal="right"/>
    </xf>
    <xf numFmtId="0" fontId="0" fillId="12" borderId="35" xfId="0" applyFill="1" applyBorder="1" applyAlignment="1">
      <alignment horizontal="right"/>
    </xf>
    <xf numFmtId="0" fontId="0" fillId="12" borderId="1" xfId="0" applyFill="1" applyBorder="1" applyAlignment="1">
      <alignment horizontal="left"/>
    </xf>
    <xf numFmtId="0" fontId="3" fillId="12" borderId="50" xfId="0" applyFont="1" applyFill="1" applyBorder="1" applyAlignment="1">
      <alignment horizontal="left"/>
    </xf>
    <xf numFmtId="0" fontId="0" fillId="12" borderId="5" xfId="0" applyFill="1" applyBorder="1" applyAlignment="1">
      <alignment horizontal="right"/>
    </xf>
    <xf numFmtId="177" fontId="0" fillId="12" borderId="1" xfId="0" applyNumberFormat="1" applyFill="1" applyBorder="1" applyAlignment="1">
      <alignment horizontal="right"/>
    </xf>
    <xf numFmtId="0" fontId="8" fillId="12" borderId="37" xfId="3" applyFont="1" applyFill="1" applyBorder="1" applyAlignment="1" applyProtection="1">
      <alignment vertical="top" wrapText="1"/>
      <protection locked="0"/>
    </xf>
    <xf numFmtId="0" fontId="8" fillId="12" borderId="1" xfId="3" applyFont="1" applyFill="1" applyBorder="1" applyAlignment="1" applyProtection="1">
      <alignment vertical="top" wrapText="1"/>
      <protection locked="0"/>
    </xf>
    <xf numFmtId="0" fontId="8" fillId="12" borderId="1" xfId="3" applyFont="1" applyFill="1" applyBorder="1" applyAlignment="1" applyProtection="1">
      <alignment horizontal="center" vertical="top" wrapText="1"/>
      <protection locked="0"/>
    </xf>
    <xf numFmtId="0" fontId="8" fillId="12" borderId="35" xfId="3" applyFont="1" applyFill="1" applyBorder="1" applyAlignment="1">
      <alignment horizontal="right" vertical="top"/>
    </xf>
    <xf numFmtId="0" fontId="0" fillId="12" borderId="36" xfId="0" applyFill="1" applyBorder="1" applyAlignment="1">
      <alignment horizontal="right"/>
    </xf>
    <xf numFmtId="0" fontId="0" fillId="12" borderId="0" xfId="0" applyFill="1" applyAlignment="1">
      <alignment horizontal="right"/>
    </xf>
    <xf numFmtId="167" fontId="18" fillId="9" borderId="39" xfId="10" applyNumberFormat="1" applyFont="1" applyFill="1" applyBorder="1" applyAlignment="1">
      <alignment horizontal="center"/>
    </xf>
    <xf numFmtId="0" fontId="8" fillId="12" borderId="33" xfId="3" applyFont="1" applyFill="1" applyBorder="1" applyAlignment="1" applyProtection="1">
      <alignment vertical="top" wrapText="1"/>
      <protection locked="0"/>
    </xf>
    <xf numFmtId="0" fontId="8" fillId="12" borderId="35" xfId="3" applyFont="1" applyFill="1" applyBorder="1" applyAlignment="1" applyProtection="1">
      <alignment horizontal="center" vertical="top" wrapText="1"/>
      <protection locked="0"/>
    </xf>
    <xf numFmtId="0" fontId="8" fillId="12" borderId="35" xfId="3" applyFont="1" applyFill="1" applyBorder="1" applyAlignment="1" applyProtection="1">
      <alignment vertical="top" wrapText="1"/>
      <protection locked="0"/>
    </xf>
    <xf numFmtId="0" fontId="0" fillId="12" borderId="46" xfId="0" applyFill="1" applyBorder="1" applyAlignment="1">
      <alignment horizontal="right"/>
    </xf>
    <xf numFmtId="44" fontId="8" fillId="12" borderId="35" xfId="1" applyFont="1" applyFill="1" applyBorder="1" applyAlignment="1" applyProtection="1">
      <alignment horizontal="right" vertical="top" wrapText="1"/>
      <protection locked="0"/>
    </xf>
    <xf numFmtId="0" fontId="3" fillId="12" borderId="35" xfId="0" applyFont="1" applyFill="1" applyBorder="1"/>
    <xf numFmtId="0" fontId="0" fillId="12" borderId="55" xfId="0" applyFill="1" applyBorder="1" applyAlignment="1">
      <alignment horizontal="right"/>
    </xf>
    <xf numFmtId="0" fontId="47" fillId="12" borderId="35" xfId="0" applyFont="1" applyFill="1" applyBorder="1" applyAlignment="1">
      <alignment horizontal="right"/>
    </xf>
    <xf numFmtId="0" fontId="47" fillId="12" borderId="46" xfId="0" applyFont="1" applyFill="1" applyBorder="1" applyAlignment="1">
      <alignment horizontal="right"/>
    </xf>
    <xf numFmtId="44" fontId="8" fillId="12" borderId="50" xfId="1" applyFont="1" applyFill="1" applyBorder="1" applyAlignment="1" applyProtection="1">
      <alignment horizontal="right" vertical="top" wrapText="1"/>
      <protection locked="0"/>
    </xf>
    <xf numFmtId="44" fontId="8" fillId="12" borderId="14" xfId="1" applyFont="1" applyFill="1" applyBorder="1" applyAlignment="1" applyProtection="1">
      <alignment horizontal="right" vertical="top" wrapText="1"/>
      <protection locked="0"/>
    </xf>
    <xf numFmtId="0" fontId="3" fillId="12" borderId="5" xfId="0" applyFont="1" applyFill="1" applyBorder="1" applyAlignment="1">
      <alignment horizontal="right"/>
    </xf>
    <xf numFmtId="1" fontId="0" fillId="12" borderId="1" xfId="0" applyNumberFormat="1" applyFill="1" applyBorder="1" applyAlignment="1">
      <alignment horizontal="right"/>
    </xf>
    <xf numFmtId="0" fontId="3" fillId="12" borderId="1" xfId="0" applyFont="1" applyFill="1" applyBorder="1" applyAlignment="1">
      <alignment horizontal="right"/>
    </xf>
    <xf numFmtId="0" fontId="0" fillId="12" borderId="1" xfId="0" applyFill="1" applyBorder="1"/>
    <xf numFmtId="0" fontId="3" fillId="12" borderId="1" xfId="0" applyFont="1" applyFill="1" applyBorder="1"/>
    <xf numFmtId="44" fontId="8" fillId="12" borderId="15" xfId="1" applyFont="1" applyFill="1" applyBorder="1" applyAlignment="1" applyProtection="1">
      <alignment vertical="top" wrapText="1"/>
      <protection locked="0"/>
    </xf>
    <xf numFmtId="0" fontId="8" fillId="12" borderId="1" xfId="3" applyFont="1" applyFill="1" applyBorder="1" applyAlignment="1" applyProtection="1">
      <alignment horizontal="right" vertical="top" wrapText="1"/>
      <protection locked="0"/>
    </xf>
    <xf numFmtId="42" fontId="8" fillId="12" borderId="1" xfId="1" applyNumberFormat="1" applyFont="1" applyFill="1" applyBorder="1" applyAlignment="1" applyProtection="1">
      <alignment horizontal="center" vertical="center" wrapText="1"/>
      <protection locked="0"/>
    </xf>
    <xf numFmtId="10" fontId="8" fillId="12" borderId="7" xfId="2" applyNumberFormat="1" applyFont="1" applyFill="1" applyBorder="1" applyAlignment="1" applyProtection="1">
      <alignment horizontal="center" vertical="center"/>
      <protection locked="0"/>
    </xf>
    <xf numFmtId="0" fontId="8" fillId="12" borderId="5" xfId="3" applyFont="1" applyFill="1" applyBorder="1" applyAlignment="1">
      <alignment horizontal="right" vertical="top"/>
    </xf>
    <xf numFmtId="0" fontId="3" fillId="12" borderId="39" xfId="0" applyFont="1" applyFill="1" applyBorder="1"/>
    <xf numFmtId="0" fontId="3" fillId="12" borderId="34" xfId="0" applyFont="1" applyFill="1" applyBorder="1"/>
    <xf numFmtId="0" fontId="0" fillId="12" borderId="45" xfId="0" applyFill="1" applyBorder="1"/>
    <xf numFmtId="0" fontId="0" fillId="12" borderId="34" xfId="0" applyFill="1" applyBorder="1"/>
    <xf numFmtId="0" fontId="8" fillId="12" borderId="37" xfId="3" applyFont="1" applyFill="1" applyBorder="1" applyAlignment="1">
      <alignment horizontal="right" vertical="top"/>
    </xf>
    <xf numFmtId="0" fontId="8" fillId="12" borderId="1" xfId="3" applyFont="1" applyFill="1" applyBorder="1" applyAlignment="1" applyProtection="1">
      <alignment horizontal="center" vertical="top"/>
      <protection locked="0"/>
    </xf>
    <xf numFmtId="164" fontId="8" fillId="12" borderId="1" xfId="3" applyNumberFormat="1" applyFont="1" applyFill="1" applyBorder="1" applyAlignment="1" applyProtection="1">
      <alignment vertical="top" wrapText="1"/>
      <protection locked="0"/>
    </xf>
    <xf numFmtId="0" fontId="9" fillId="0" borderId="0" xfId="4" applyFill="1" applyBorder="1"/>
    <xf numFmtId="0" fontId="18" fillId="0" borderId="0" xfId="10" applyFont="1"/>
    <xf numFmtId="0" fontId="17" fillId="0" borderId="0" xfId="10" applyFont="1"/>
    <xf numFmtId="0" fontId="8" fillId="12" borderId="7" xfId="3" applyFont="1" applyFill="1" applyBorder="1" applyAlignment="1" applyProtection="1">
      <alignment horizontal="center" vertical="top"/>
      <protection locked="0"/>
    </xf>
    <xf numFmtId="0" fontId="0" fillId="12" borderId="1" xfId="0" applyFill="1" applyBorder="1" applyAlignment="1">
      <alignment horizontal="center"/>
    </xf>
    <xf numFmtId="0" fontId="8" fillId="12" borderId="0" xfId="3" applyFont="1" applyFill="1" applyAlignment="1">
      <alignment vertical="top"/>
    </xf>
    <xf numFmtId="0" fontId="8" fillId="12" borderId="46" xfId="3" applyFont="1" applyFill="1" applyBorder="1" applyAlignment="1" applyProtection="1">
      <alignment horizontal="center" vertical="top" wrapText="1"/>
      <protection locked="0"/>
    </xf>
    <xf numFmtId="0" fontId="8" fillId="12" borderId="34" xfId="3" applyFont="1" applyFill="1" applyBorder="1" applyAlignment="1">
      <alignment vertical="top"/>
    </xf>
    <xf numFmtId="0" fontId="8" fillId="12" borderId="39" xfId="3" applyFont="1" applyFill="1" applyBorder="1" applyAlignment="1" applyProtection="1">
      <alignment vertical="top" wrapText="1"/>
      <protection locked="0"/>
    </xf>
    <xf numFmtId="0" fontId="8" fillId="12" borderId="5" xfId="3" applyFont="1" applyFill="1" applyBorder="1" applyAlignment="1">
      <alignment horizontal="center" vertical="top"/>
    </xf>
    <xf numFmtId="49" fontId="4" fillId="0" borderId="0" xfId="0" applyNumberFormat="1" applyFont="1"/>
    <xf numFmtId="0" fontId="10" fillId="12" borderId="1" xfId="3" applyFont="1" applyFill="1" applyBorder="1" applyAlignment="1">
      <alignment horizontal="center" vertical="top" wrapText="1"/>
    </xf>
    <xf numFmtId="0" fontId="10" fillId="12" borderId="1" xfId="3" applyFont="1" applyFill="1" applyBorder="1" applyAlignment="1">
      <alignment horizontal="center" vertical="top"/>
    </xf>
    <xf numFmtId="0" fontId="10" fillId="12" borderId="39" xfId="3" applyFont="1" applyFill="1" applyBorder="1" applyAlignment="1">
      <alignment horizontal="center" vertical="top"/>
    </xf>
    <xf numFmtId="0" fontId="10" fillId="12" borderId="37" xfId="5" applyFont="1" applyFill="1" applyBorder="1" applyAlignment="1">
      <alignment horizontal="right"/>
    </xf>
    <xf numFmtId="0" fontId="3" fillId="11" borderId="89" xfId="0" applyFont="1" applyFill="1" applyBorder="1" applyAlignment="1">
      <alignment horizontal="right"/>
    </xf>
    <xf numFmtId="0" fontId="3" fillId="11" borderId="90" xfId="0" applyFont="1" applyFill="1" applyBorder="1" applyAlignment="1">
      <alignment horizontal="right"/>
    </xf>
    <xf numFmtId="0" fontId="3" fillId="11" borderId="91" xfId="0" applyFont="1" applyFill="1" applyBorder="1" applyAlignment="1">
      <alignment horizontal="right"/>
    </xf>
    <xf numFmtId="0" fontId="9" fillId="0" borderId="0" xfId="4" applyBorder="1"/>
    <xf numFmtId="0" fontId="10" fillId="12" borderId="3" xfId="5" applyFont="1" applyFill="1" applyBorder="1"/>
    <xf numFmtId="0" fontId="10" fillId="12" borderId="37" xfId="5" applyFont="1" applyFill="1" applyBorder="1"/>
    <xf numFmtId="168" fontId="0" fillId="0" borderId="0" xfId="6" applyNumberFormat="1" applyFont="1"/>
    <xf numFmtId="0" fontId="0" fillId="12" borderId="29" xfId="0" applyFill="1" applyBorder="1" applyAlignment="1">
      <alignment horizontal="right"/>
    </xf>
    <xf numFmtId="168" fontId="0" fillId="0" borderId="0" xfId="6" applyNumberFormat="1" applyFont="1" applyFill="1"/>
    <xf numFmtId="168" fontId="0" fillId="0" borderId="0" xfId="6" applyNumberFormat="1" applyFont="1" applyFill="1" applyBorder="1"/>
    <xf numFmtId="0" fontId="0" fillId="12" borderId="12" xfId="0" applyFill="1" applyBorder="1"/>
    <xf numFmtId="0" fontId="10" fillId="12" borderId="37" xfId="3" applyFont="1" applyFill="1" applyBorder="1" applyAlignment="1">
      <alignment vertical="top"/>
    </xf>
    <xf numFmtId="10" fontId="8" fillId="0" borderId="1" xfId="7" applyNumberFormat="1" applyFont="1" applyFill="1" applyBorder="1" applyAlignment="1" applyProtection="1">
      <alignment vertical="top"/>
      <protection locked="0"/>
    </xf>
    <xf numFmtId="10" fontId="8" fillId="13" borderId="1" xfId="2" applyNumberFormat="1" applyFont="1" applyFill="1" applyBorder="1" applyAlignment="1" applyProtection="1">
      <alignment vertical="top"/>
      <protection locked="0"/>
    </xf>
    <xf numFmtId="165" fontId="8" fillId="13" borderId="1" xfId="1" applyNumberFormat="1" applyFont="1" applyFill="1" applyBorder="1" applyAlignment="1" applyProtection="1">
      <alignment vertical="top"/>
      <protection locked="0"/>
    </xf>
    <xf numFmtId="10" fontId="8" fillId="13" borderId="14" xfId="2" applyNumberFormat="1" applyFont="1" applyFill="1" applyBorder="1" applyAlignment="1" applyProtection="1">
      <alignment vertical="top"/>
      <protection locked="0"/>
    </xf>
    <xf numFmtId="0" fontId="10" fillId="12" borderId="8" xfId="3" applyFont="1" applyFill="1" applyBorder="1" applyAlignment="1">
      <alignment vertical="top"/>
    </xf>
    <xf numFmtId="0" fontId="10" fillId="12" borderId="45" xfId="3" applyFont="1" applyFill="1" applyBorder="1" applyAlignment="1">
      <alignment vertical="top"/>
    </xf>
    <xf numFmtId="0" fontId="18" fillId="12" borderId="0" xfId="10" applyFont="1" applyFill="1"/>
    <xf numFmtId="0" fontId="18" fillId="12" borderId="36" xfId="10" applyFont="1" applyFill="1" applyBorder="1"/>
    <xf numFmtId="0" fontId="17" fillId="12" borderId="0" xfId="10" applyFont="1" applyFill="1"/>
    <xf numFmtId="0" fontId="18" fillId="12" borderId="34" xfId="10" applyFont="1" applyFill="1" applyBorder="1"/>
    <xf numFmtId="0" fontId="17" fillId="12" borderId="36" xfId="10" applyFont="1" applyFill="1" applyBorder="1"/>
    <xf numFmtId="0" fontId="17" fillId="12" borderId="0" xfId="10" applyFont="1" applyFill="1" applyAlignment="1">
      <alignment horizontal="center"/>
    </xf>
    <xf numFmtId="0" fontId="55" fillId="0" borderId="0" xfId="0" applyFont="1"/>
    <xf numFmtId="0" fontId="18" fillId="12" borderId="0" xfId="10" applyFont="1" applyFill="1" applyAlignment="1">
      <alignment horizontal="center"/>
    </xf>
    <xf numFmtId="165" fontId="18" fillId="12" borderId="96" xfId="10" applyNumberFormat="1" applyFont="1" applyFill="1" applyBorder="1"/>
    <xf numFmtId="167" fontId="18" fillId="12" borderId="0" xfId="10" applyNumberFormat="1" applyFont="1" applyFill="1"/>
    <xf numFmtId="165" fontId="18" fillId="12" borderId="1" xfId="10" applyNumberFormat="1" applyFont="1" applyFill="1" applyBorder="1"/>
    <xf numFmtId="165" fontId="18" fillId="12" borderId="0" xfId="10" applyNumberFormat="1" applyFont="1" applyFill="1"/>
    <xf numFmtId="0" fontId="54" fillId="12" borderId="0" xfId="0" applyFont="1" applyFill="1"/>
    <xf numFmtId="0" fontId="18" fillId="12" borderId="0" xfId="10" applyFont="1" applyFill="1" applyAlignment="1">
      <alignment wrapText="1"/>
    </xf>
    <xf numFmtId="0" fontId="18" fillId="0" borderId="15" xfId="10" applyFont="1" applyBorder="1" applyProtection="1">
      <protection locked="0"/>
    </xf>
    <xf numFmtId="0" fontId="55" fillId="12" borderId="36" xfId="0" applyFont="1" applyFill="1" applyBorder="1"/>
    <xf numFmtId="0" fontId="54" fillId="12" borderId="36" xfId="0" applyFont="1" applyFill="1" applyBorder="1"/>
    <xf numFmtId="0" fontId="54" fillId="12" borderId="27" xfId="0" applyFont="1" applyFill="1" applyBorder="1"/>
    <xf numFmtId="1" fontId="18" fillId="0" borderId="1" xfId="10" applyNumberFormat="1" applyFont="1" applyBorder="1" applyAlignment="1" applyProtection="1">
      <alignment vertical="top" wrapText="1"/>
      <protection locked="0"/>
    </xf>
    <xf numFmtId="0" fontId="54" fillId="12" borderId="34" xfId="0" applyFont="1" applyFill="1" applyBorder="1"/>
    <xf numFmtId="0" fontId="54" fillId="12" borderId="42" xfId="0" applyFont="1" applyFill="1" applyBorder="1"/>
    <xf numFmtId="0" fontId="54" fillId="12" borderId="1" xfId="0" applyFont="1" applyFill="1" applyBorder="1" applyAlignment="1">
      <alignment horizontal="center"/>
    </xf>
    <xf numFmtId="14" fontId="18" fillId="0" borderId="1" xfId="13" applyNumberFormat="1" applyFont="1" applyBorder="1" applyAlignment="1" applyProtection="1">
      <alignment horizontal="left"/>
      <protection locked="0"/>
    </xf>
    <xf numFmtId="0" fontId="18" fillId="0" borderId="7" xfId="13" applyFont="1" applyBorder="1" applyAlignment="1" applyProtection="1">
      <alignment vertical="center"/>
      <protection locked="0"/>
    </xf>
    <xf numFmtId="0" fontId="18" fillId="0" borderId="14" xfId="13" applyFont="1" applyBorder="1" applyAlignment="1" applyProtection="1">
      <alignment vertical="center"/>
      <protection locked="0"/>
    </xf>
    <xf numFmtId="0" fontId="17" fillId="0" borderId="15" xfId="13" applyFont="1" applyBorder="1" applyAlignment="1" applyProtection="1">
      <alignment vertical="center"/>
      <protection locked="0"/>
    </xf>
    <xf numFmtId="0" fontId="18" fillId="0" borderId="15" xfId="13" applyFont="1" applyBorder="1" applyAlignment="1" applyProtection="1">
      <alignment vertical="center"/>
      <protection locked="0"/>
    </xf>
    <xf numFmtId="0" fontId="54" fillId="12" borderId="36" xfId="0" applyFont="1" applyFill="1" applyBorder="1" applyAlignment="1">
      <alignment horizontal="right"/>
    </xf>
    <xf numFmtId="0" fontId="6" fillId="0" borderId="0" xfId="5"/>
    <xf numFmtId="0" fontId="18" fillId="12" borderId="55" xfId="10" applyFont="1" applyFill="1" applyBorder="1" applyAlignment="1">
      <alignment horizontal="right"/>
    </xf>
    <xf numFmtId="0" fontId="18" fillId="12" borderId="18" xfId="10" applyFont="1" applyFill="1" applyBorder="1" applyAlignment="1">
      <alignment horizontal="right"/>
    </xf>
    <xf numFmtId="0" fontId="17" fillId="12" borderId="34" xfId="10" applyFont="1" applyFill="1" applyBorder="1" applyAlignment="1">
      <alignment horizontal="center"/>
    </xf>
    <xf numFmtId="0" fontId="18" fillId="12" borderId="15" xfId="10" applyFont="1" applyFill="1" applyBorder="1" applyAlignment="1">
      <alignment horizontal="right"/>
    </xf>
    <xf numFmtId="0" fontId="18" fillId="12" borderId="14" xfId="10" applyFont="1" applyFill="1" applyBorder="1" applyAlignment="1">
      <alignment horizontal="right"/>
    </xf>
    <xf numFmtId="1" fontId="18" fillId="12" borderId="1" xfId="10" applyNumberFormat="1" applyFont="1" applyFill="1" applyBorder="1" applyAlignment="1">
      <alignment horizontal="center"/>
    </xf>
    <xf numFmtId="0" fontId="17" fillId="12" borderId="1" xfId="10" applyFont="1" applyFill="1" applyBorder="1" applyAlignment="1">
      <alignment horizontal="center" wrapText="1"/>
    </xf>
    <xf numFmtId="0" fontId="17" fillId="12" borderId="54" xfId="10" applyFont="1" applyFill="1" applyBorder="1" applyAlignment="1">
      <alignment horizontal="center"/>
    </xf>
    <xf numFmtId="0" fontId="18" fillId="12" borderId="36" xfId="10" applyFont="1" applyFill="1" applyBorder="1" applyAlignment="1">
      <alignment horizontal="right"/>
    </xf>
    <xf numFmtId="0" fontId="18" fillId="12" borderId="0" xfId="10" applyFont="1" applyFill="1" applyAlignment="1">
      <alignment horizontal="right"/>
    </xf>
    <xf numFmtId="49" fontId="18" fillId="12" borderId="7" xfId="10" applyNumberFormat="1" applyFont="1" applyFill="1" applyBorder="1"/>
    <xf numFmtId="49" fontId="18" fillId="12" borderId="55" xfId="10" applyNumberFormat="1" applyFont="1" applyFill="1" applyBorder="1"/>
    <xf numFmtId="49" fontId="18" fillId="12" borderId="15" xfId="10" applyNumberFormat="1" applyFont="1" applyFill="1" applyBorder="1"/>
    <xf numFmtId="49" fontId="18" fillId="12" borderId="55" xfId="10" applyNumberFormat="1" applyFont="1" applyFill="1" applyBorder="1" applyProtection="1">
      <protection locked="0"/>
    </xf>
    <xf numFmtId="49" fontId="18" fillId="12" borderId="15" xfId="10" applyNumberFormat="1" applyFont="1" applyFill="1" applyBorder="1" applyProtection="1">
      <protection locked="0"/>
    </xf>
    <xf numFmtId="49" fontId="18" fillId="12" borderId="18" xfId="10" applyNumberFormat="1" applyFont="1" applyFill="1" applyBorder="1"/>
    <xf numFmtId="49" fontId="18" fillId="12" borderId="16" xfId="10" applyNumberFormat="1" applyFont="1" applyFill="1" applyBorder="1" applyProtection="1">
      <protection locked="0"/>
    </xf>
    <xf numFmtId="0" fontId="18" fillId="12" borderId="55" xfId="10" applyFont="1" applyFill="1" applyBorder="1"/>
    <xf numFmtId="0" fontId="18" fillId="12" borderId="6" xfId="10" applyFont="1" applyFill="1" applyBorder="1"/>
    <xf numFmtId="0" fontId="18" fillId="12" borderId="29" xfId="10" applyFont="1" applyFill="1" applyBorder="1"/>
    <xf numFmtId="167" fontId="18" fillId="12" borderId="15" xfId="10" applyNumberFormat="1" applyFont="1" applyFill="1" applyBorder="1"/>
    <xf numFmtId="167" fontId="18" fillId="12" borderId="22" xfId="10" applyNumberFormat="1" applyFont="1" applyFill="1" applyBorder="1"/>
    <xf numFmtId="167" fontId="18" fillId="12" borderId="16" xfId="10" applyNumberFormat="1" applyFont="1" applyFill="1" applyBorder="1"/>
    <xf numFmtId="167" fontId="18" fillId="12" borderId="17" xfId="10" applyNumberFormat="1" applyFont="1" applyFill="1" applyBorder="1"/>
    <xf numFmtId="167" fontId="18" fillId="12" borderId="23" xfId="10" applyNumberFormat="1" applyFont="1" applyFill="1" applyBorder="1"/>
    <xf numFmtId="167" fontId="18" fillId="12" borderId="18" xfId="10" applyNumberFormat="1" applyFont="1" applyFill="1" applyBorder="1"/>
    <xf numFmtId="2" fontId="17" fillId="12" borderId="15" xfId="10" applyNumberFormat="1" applyFont="1" applyFill="1" applyBorder="1"/>
    <xf numFmtId="167" fontId="18" fillId="12" borderId="54" xfId="10" applyNumberFormat="1" applyFont="1" applyFill="1" applyBorder="1"/>
    <xf numFmtId="2" fontId="17" fillId="12" borderId="12" xfId="10" applyNumberFormat="1" applyFont="1" applyFill="1" applyBorder="1"/>
    <xf numFmtId="2" fontId="17" fillId="12" borderId="14" xfId="10" applyNumberFormat="1" applyFont="1" applyFill="1" applyBorder="1"/>
    <xf numFmtId="2" fontId="17" fillId="12" borderId="54" xfId="10" applyNumberFormat="1" applyFont="1" applyFill="1" applyBorder="1"/>
    <xf numFmtId="4" fontId="17" fillId="12" borderId="14" xfId="10" applyNumberFormat="1" applyFont="1" applyFill="1" applyBorder="1"/>
    <xf numFmtId="4" fontId="18" fillId="12" borderId="54" xfId="10" applyNumberFormat="1" applyFont="1" applyFill="1" applyBorder="1"/>
    <xf numFmtId="4" fontId="18" fillId="12" borderId="15" xfId="10" applyNumberFormat="1" applyFont="1" applyFill="1" applyBorder="1"/>
    <xf numFmtId="4" fontId="17" fillId="12" borderId="43" xfId="10" applyNumberFormat="1" applyFont="1" applyFill="1" applyBorder="1"/>
    <xf numFmtId="166" fontId="18" fillId="12" borderId="0" xfId="10" applyNumberFormat="1" applyFont="1" applyFill="1" applyAlignment="1">
      <alignment horizontal="center"/>
    </xf>
    <xf numFmtId="0" fontId="17" fillId="12" borderId="0" xfId="10" applyFont="1" applyFill="1" applyAlignment="1">
      <alignment horizontal="center" wrapText="1"/>
    </xf>
    <xf numFmtId="1" fontId="18" fillId="12" borderId="0" xfId="10" applyNumberFormat="1" applyFont="1" applyFill="1" applyAlignment="1">
      <alignment horizontal="center"/>
    </xf>
    <xf numFmtId="49" fontId="19" fillId="12" borderId="0" xfId="10" applyNumberFormat="1" applyFont="1" applyFill="1" applyAlignment="1">
      <alignment horizontal="center"/>
    </xf>
    <xf numFmtId="14" fontId="19" fillId="12" borderId="0" xfId="10" applyNumberFormat="1" applyFont="1" applyFill="1" applyAlignment="1">
      <alignment horizontal="center"/>
    </xf>
    <xf numFmtId="167" fontId="18" fillId="12" borderId="54" xfId="10" applyNumberFormat="1" applyFont="1" applyFill="1" applyBorder="1" applyProtection="1">
      <protection locked="0"/>
    </xf>
    <xf numFmtId="167" fontId="18" fillId="12" borderId="59" xfId="10" applyNumberFormat="1" applyFont="1" applyFill="1" applyBorder="1" applyProtection="1">
      <protection locked="0"/>
    </xf>
    <xf numFmtId="167" fontId="18" fillId="12" borderId="34" xfId="10" applyNumberFormat="1" applyFont="1" applyFill="1" applyBorder="1" applyProtection="1">
      <protection locked="0"/>
    </xf>
    <xf numFmtId="167" fontId="18" fillId="12" borderId="34" xfId="10" applyNumberFormat="1" applyFont="1" applyFill="1" applyBorder="1"/>
    <xf numFmtId="167" fontId="18" fillId="12" borderId="48" xfId="10" applyNumberFormat="1" applyFont="1" applyFill="1" applyBorder="1" applyProtection="1">
      <protection locked="0"/>
    </xf>
    <xf numFmtId="2" fontId="17" fillId="12" borderId="0" xfId="10" applyNumberFormat="1" applyFont="1" applyFill="1"/>
    <xf numFmtId="4" fontId="18" fillId="12" borderId="0" xfId="10" applyNumberFormat="1" applyFont="1" applyFill="1"/>
    <xf numFmtId="167" fontId="18" fillId="0" borderId="7" xfId="13" applyNumberFormat="1" applyFont="1" applyBorder="1" applyProtection="1">
      <protection locked="0"/>
    </xf>
    <xf numFmtId="167" fontId="18" fillId="0" borderId="15" xfId="13" applyNumberFormat="1" applyFont="1" applyBorder="1" applyProtection="1">
      <protection locked="0"/>
    </xf>
    <xf numFmtId="167" fontId="18" fillId="0" borderId="14" xfId="13" applyNumberFormat="1" applyFont="1" applyBorder="1" applyProtection="1">
      <protection locked="0"/>
    </xf>
    <xf numFmtId="0" fontId="18" fillId="0" borderId="15" xfId="13" applyFont="1" applyBorder="1" applyProtection="1">
      <protection locked="0"/>
    </xf>
    <xf numFmtId="0" fontId="18" fillId="12" borderId="36" xfId="10" applyFont="1" applyFill="1" applyBorder="1" applyAlignment="1">
      <alignment horizontal="left"/>
    </xf>
    <xf numFmtId="9" fontId="18" fillId="0" borderId="15" xfId="12" applyFont="1" applyFill="1" applyBorder="1" applyProtection="1">
      <protection locked="0"/>
    </xf>
    <xf numFmtId="14" fontId="19" fillId="12" borderId="0" xfId="10" applyNumberFormat="1" applyFont="1" applyFill="1"/>
    <xf numFmtId="9" fontId="19" fillId="12" borderId="0" xfId="10" applyNumberFormat="1" applyFont="1" applyFill="1"/>
    <xf numFmtId="171" fontId="18" fillId="12" borderId="0" xfId="10" applyNumberFormat="1" applyFont="1" applyFill="1" applyAlignment="1">
      <alignment horizontal="center"/>
    </xf>
    <xf numFmtId="171" fontId="17" fillId="12" borderId="0" xfId="10" applyNumberFormat="1" applyFont="1" applyFill="1"/>
    <xf numFmtId="9" fontId="18" fillId="12" borderId="15" xfId="10" applyNumberFormat="1" applyFont="1" applyFill="1" applyBorder="1"/>
    <xf numFmtId="9" fontId="17" fillId="12" borderId="15" xfId="10" applyNumberFormat="1" applyFont="1" applyFill="1" applyBorder="1"/>
    <xf numFmtId="9" fontId="18" fillId="12" borderId="2" xfId="10" applyNumberFormat="1" applyFont="1" applyFill="1" applyBorder="1"/>
    <xf numFmtId="9" fontId="18" fillId="12" borderId="0" xfId="10" applyNumberFormat="1" applyFont="1" applyFill="1"/>
    <xf numFmtId="171" fontId="18" fillId="12" borderId="34" xfId="10" applyNumberFormat="1" applyFont="1" applyFill="1" applyBorder="1"/>
    <xf numFmtId="9" fontId="19" fillId="12" borderId="34" xfId="10" applyNumberFormat="1" applyFont="1" applyFill="1" applyBorder="1"/>
    <xf numFmtId="9" fontId="18" fillId="12" borderId="34" xfId="10" applyNumberFormat="1" applyFont="1" applyFill="1" applyBorder="1"/>
    <xf numFmtId="9" fontId="17" fillId="12" borderId="34" xfId="10" applyNumberFormat="1" applyFont="1" applyFill="1" applyBorder="1"/>
    <xf numFmtId="9" fontId="18" fillId="12" borderId="43" xfId="10" applyNumberFormat="1" applyFont="1" applyFill="1" applyBorder="1"/>
    <xf numFmtId="0" fontId="18" fillId="12" borderId="31" xfId="13" applyFont="1" applyFill="1" applyBorder="1" applyAlignment="1">
      <alignment horizontal="right"/>
    </xf>
    <xf numFmtId="0" fontId="18" fillId="12" borderId="12" xfId="13" applyFont="1" applyFill="1" applyBorder="1" applyAlignment="1">
      <alignment horizontal="right"/>
    </xf>
    <xf numFmtId="0" fontId="18" fillId="12" borderId="12" xfId="13" applyFont="1" applyFill="1" applyBorder="1"/>
    <xf numFmtId="0" fontId="18" fillId="12" borderId="0" xfId="10" applyFont="1" applyFill="1" applyAlignment="1">
      <alignment vertical="top" wrapText="1"/>
    </xf>
    <xf numFmtId="167" fontId="18" fillId="0" borderId="35" xfId="10" applyNumberFormat="1" applyFont="1" applyBorder="1" applyAlignment="1" applyProtection="1">
      <alignment vertical="top" wrapText="1"/>
      <protection locked="0"/>
    </xf>
    <xf numFmtId="167" fontId="18" fillId="0" borderId="1" xfId="10" applyNumberFormat="1" applyFont="1" applyBorder="1" applyAlignment="1" applyProtection="1">
      <alignment vertical="top" wrapText="1"/>
      <protection locked="0"/>
    </xf>
    <xf numFmtId="167" fontId="18" fillId="12" borderId="1" xfId="10" applyNumberFormat="1" applyFont="1" applyFill="1" applyBorder="1"/>
    <xf numFmtId="0" fontId="17" fillId="12" borderId="49" xfId="10" applyFont="1" applyFill="1" applyBorder="1" applyAlignment="1">
      <alignment horizontal="center"/>
    </xf>
    <xf numFmtId="0" fontId="17" fillId="12" borderId="8" xfId="10" applyFont="1" applyFill="1" applyBorder="1" applyAlignment="1">
      <alignment horizontal="center"/>
    </xf>
    <xf numFmtId="0" fontId="17" fillId="12" borderId="45" xfId="10" applyFont="1" applyFill="1" applyBorder="1" applyAlignment="1">
      <alignment horizontal="center"/>
    </xf>
    <xf numFmtId="0" fontId="3" fillId="12" borderId="1" xfId="0" applyFont="1" applyFill="1" applyBorder="1" applyAlignment="1">
      <alignment horizontal="center"/>
    </xf>
    <xf numFmtId="0" fontId="58" fillId="12" borderId="1" xfId="0" applyFont="1" applyFill="1" applyBorder="1" applyAlignment="1">
      <alignment horizontal="center"/>
    </xf>
    <xf numFmtId="42" fontId="8" fillId="0" borderId="4" xfId="1" applyNumberFormat="1" applyFont="1" applyBorder="1" applyAlignment="1" applyProtection="1">
      <alignment vertical="top"/>
      <protection locked="0"/>
    </xf>
    <xf numFmtId="0" fontId="8" fillId="0" borderId="5" xfId="3" applyFont="1" applyBorder="1" applyAlignment="1" applyProtection="1">
      <alignment vertical="top"/>
      <protection locked="0"/>
    </xf>
    <xf numFmtId="42" fontId="8" fillId="0" borderId="92" xfId="1" applyNumberFormat="1" applyFont="1" applyFill="1" applyBorder="1" applyAlignment="1" applyProtection="1">
      <alignment vertical="top"/>
      <protection locked="0"/>
    </xf>
    <xf numFmtId="42" fontId="8" fillId="0" borderId="93" xfId="1" applyNumberFormat="1" applyFont="1" applyFill="1" applyBorder="1" applyAlignment="1" applyProtection="1">
      <alignment vertical="top"/>
      <protection locked="0"/>
    </xf>
    <xf numFmtId="42" fontId="8" fillId="0" borderId="94" xfId="1" applyNumberFormat="1" applyFont="1" applyFill="1" applyBorder="1" applyAlignment="1" applyProtection="1">
      <alignment vertical="top"/>
      <protection locked="0"/>
    </xf>
    <xf numFmtId="42" fontId="8" fillId="12" borderId="7" xfId="1" applyNumberFormat="1" applyFont="1" applyFill="1" applyBorder="1" applyAlignment="1" applyProtection="1">
      <alignment vertical="top"/>
      <protection locked="0"/>
    </xf>
    <xf numFmtId="14" fontId="8" fillId="12" borderId="1" xfId="1" applyNumberFormat="1" applyFont="1" applyFill="1" applyBorder="1" applyAlignment="1" applyProtection="1">
      <alignment horizontal="center" vertical="center" wrapText="1"/>
      <protection locked="0"/>
    </xf>
    <xf numFmtId="10" fontId="3" fillId="12" borderId="1" xfId="2" applyNumberFormat="1" applyFont="1" applyFill="1" applyBorder="1" applyAlignment="1">
      <alignment horizontal="center" vertical="center"/>
    </xf>
    <xf numFmtId="10" fontId="3" fillId="12" borderId="39" xfId="2" applyNumberFormat="1" applyFont="1" applyFill="1" applyBorder="1" applyAlignment="1">
      <alignment horizontal="center" vertical="center"/>
    </xf>
    <xf numFmtId="0" fontId="3" fillId="12" borderId="1" xfId="0" applyFont="1" applyFill="1" applyBorder="1" applyAlignment="1">
      <alignment horizontal="center" vertical="center"/>
    </xf>
    <xf numFmtId="1" fontId="8" fillId="0" borderId="14" xfId="3" applyNumberFormat="1" applyFont="1" applyBorder="1" applyAlignment="1" applyProtection="1">
      <alignment vertical="top"/>
      <protection locked="0"/>
    </xf>
    <xf numFmtId="0" fontId="8" fillId="0" borderId="14" xfId="3" applyFont="1" applyBorder="1" applyAlignment="1" applyProtection="1">
      <alignment vertical="top"/>
      <protection locked="0"/>
    </xf>
    <xf numFmtId="10" fontId="8" fillId="0" borderId="14" xfId="7" applyNumberFormat="1" applyFont="1" applyBorder="1" applyAlignment="1" applyProtection="1">
      <alignment vertical="top"/>
      <protection locked="0"/>
    </xf>
    <xf numFmtId="49" fontId="18" fillId="0" borderId="55" xfId="10" applyNumberFormat="1" applyFont="1" applyBorder="1"/>
    <xf numFmtId="49" fontId="18" fillId="0" borderId="55" xfId="10" applyNumberFormat="1" applyFont="1" applyBorder="1" applyProtection="1">
      <protection locked="0"/>
    </xf>
    <xf numFmtId="49" fontId="18" fillId="0" borderId="15" xfId="10" applyNumberFormat="1" applyFont="1" applyBorder="1" applyProtection="1">
      <protection locked="0"/>
    </xf>
    <xf numFmtId="49" fontId="18" fillId="0" borderId="16" xfId="10" applyNumberFormat="1" applyFont="1" applyBorder="1" applyProtection="1">
      <protection locked="0"/>
    </xf>
    <xf numFmtId="49" fontId="18" fillId="0" borderId="6" xfId="10" applyNumberFormat="1" applyFont="1" applyBorder="1" applyProtection="1">
      <protection locked="0"/>
    </xf>
    <xf numFmtId="0" fontId="0" fillId="12" borderId="8" xfId="0" applyFill="1" applyBorder="1"/>
    <xf numFmtId="0" fontId="4" fillId="12" borderId="0" xfId="0" applyFont="1" applyFill="1"/>
    <xf numFmtId="0" fontId="8" fillId="12" borderId="0" xfId="5" applyFont="1" applyFill="1"/>
    <xf numFmtId="0" fontId="8" fillId="12" borderId="36" xfId="5" applyFont="1" applyFill="1" applyBorder="1"/>
    <xf numFmtId="0" fontId="8" fillId="12" borderId="2" xfId="5" applyFont="1" applyFill="1" applyBorder="1"/>
    <xf numFmtId="0" fontId="8" fillId="12" borderId="31" xfId="5" applyFont="1" applyFill="1" applyBorder="1"/>
    <xf numFmtId="0" fontId="8" fillId="12" borderId="12" xfId="5" applyFont="1" applyFill="1" applyBorder="1"/>
    <xf numFmtId="0" fontId="8" fillId="12" borderId="11" xfId="5" applyFont="1" applyFill="1" applyBorder="1"/>
    <xf numFmtId="0" fontId="8" fillId="12" borderId="40" xfId="5" applyFont="1" applyFill="1" applyBorder="1"/>
    <xf numFmtId="0" fontId="8" fillId="12" borderId="25" xfId="5" applyFont="1" applyFill="1" applyBorder="1"/>
    <xf numFmtId="0" fontId="8" fillId="12" borderId="24" xfId="5" applyFont="1" applyFill="1" applyBorder="1"/>
    <xf numFmtId="0" fontId="10" fillId="12" borderId="31" xfId="3" applyFont="1" applyFill="1" applyBorder="1" applyAlignment="1">
      <alignment vertical="top"/>
    </xf>
    <xf numFmtId="42" fontId="8" fillId="0" borderId="95" xfId="1" applyNumberFormat="1" applyFont="1" applyFill="1" applyBorder="1" applyAlignment="1" applyProtection="1">
      <alignment vertical="top"/>
      <protection locked="0"/>
    </xf>
    <xf numFmtId="42" fontId="8" fillId="0" borderId="95" xfId="1" applyNumberFormat="1" applyFont="1" applyBorder="1" applyAlignment="1" applyProtection="1">
      <alignment vertical="top"/>
      <protection locked="0"/>
    </xf>
    <xf numFmtId="0" fontId="10" fillId="12" borderId="3" xfId="3" applyFont="1" applyFill="1" applyBorder="1" applyAlignment="1">
      <alignment vertical="top"/>
    </xf>
    <xf numFmtId="0" fontId="10" fillId="12" borderId="38" xfId="3" applyFont="1" applyFill="1" applyBorder="1" applyAlignment="1">
      <alignment vertical="top"/>
    </xf>
    <xf numFmtId="49" fontId="18" fillId="0" borderId="46" xfId="10" applyNumberFormat="1" applyFont="1" applyBorder="1"/>
    <xf numFmtId="167" fontId="17" fillId="12" borderId="54" xfId="10" applyNumberFormat="1" applyFont="1" applyFill="1" applyBorder="1"/>
    <xf numFmtId="0" fontId="18" fillId="0" borderId="55" xfId="10" applyFont="1" applyBorder="1"/>
    <xf numFmtId="0" fontId="3" fillId="0" borderId="0" xfId="0" applyFont="1" applyAlignment="1">
      <alignment horizontal="right"/>
    </xf>
    <xf numFmtId="0" fontId="18" fillId="5" borderId="1" xfId="10" applyFont="1" applyFill="1" applyBorder="1" applyAlignment="1" applyProtection="1">
      <alignment vertical="top" wrapText="1"/>
      <protection locked="0"/>
    </xf>
    <xf numFmtId="0" fontId="54" fillId="12" borderId="43" xfId="0" applyFont="1" applyFill="1" applyBorder="1"/>
    <xf numFmtId="0" fontId="0" fillId="12" borderId="0" xfId="0" applyFill="1" applyAlignment="1">
      <alignment horizontal="left"/>
    </xf>
    <xf numFmtId="0" fontId="18" fillId="5" borderId="1" xfId="5" applyFont="1" applyFill="1" applyBorder="1" applyAlignment="1" applyProtection="1">
      <alignment horizontal="center" vertical="top" wrapText="1"/>
      <protection locked="0"/>
    </xf>
    <xf numFmtId="9" fontId="54" fillId="12" borderId="1" xfId="0" applyNumberFormat="1" applyFont="1" applyFill="1" applyBorder="1" applyAlignment="1">
      <alignment horizontal="center"/>
    </xf>
    <xf numFmtId="0" fontId="3" fillId="12" borderId="3" xfId="0" applyFont="1" applyFill="1" applyBorder="1"/>
    <xf numFmtId="0" fontId="3" fillId="12" borderId="38" xfId="0" applyFont="1" applyFill="1" applyBorder="1"/>
    <xf numFmtId="0" fontId="3" fillId="12" borderId="3" xfId="0" applyFont="1" applyFill="1" applyBorder="1" applyAlignment="1">
      <alignment horizontal="left"/>
    </xf>
    <xf numFmtId="0" fontId="18" fillId="0" borderId="1" xfId="5" applyFont="1" applyBorder="1" applyAlignment="1" applyProtection="1">
      <alignment horizontal="center" vertical="top" wrapText="1"/>
      <protection locked="0"/>
    </xf>
    <xf numFmtId="0" fontId="18" fillId="4" borderId="1" xfId="5" applyFont="1" applyFill="1" applyBorder="1" applyAlignment="1" applyProtection="1">
      <alignment horizontal="center" vertical="top" wrapText="1"/>
      <protection locked="0"/>
    </xf>
    <xf numFmtId="0" fontId="18" fillId="0" borderId="1" xfId="5" applyFont="1" applyBorder="1" applyAlignment="1">
      <alignment horizontal="center"/>
    </xf>
    <xf numFmtId="9" fontId="54" fillId="0" borderId="1" xfId="2" applyFont="1" applyBorder="1" applyAlignment="1">
      <alignment horizontal="center"/>
    </xf>
    <xf numFmtId="0" fontId="18" fillId="0" borderId="7" xfId="5" applyFont="1" applyBorder="1" applyAlignment="1" applyProtection="1">
      <alignment horizontal="center" vertical="top" wrapText="1"/>
      <protection locked="0"/>
    </xf>
    <xf numFmtId="0" fontId="18" fillId="12" borderId="1" xfId="5" applyFont="1" applyFill="1" applyBorder="1" applyAlignment="1">
      <alignment horizontal="right" wrapText="1"/>
    </xf>
    <xf numFmtId="0" fontId="18" fillId="12" borderId="1" xfId="5" applyFont="1" applyFill="1" applyBorder="1" applyAlignment="1" applyProtection="1">
      <alignment horizontal="right" wrapText="1"/>
      <protection locked="0"/>
    </xf>
    <xf numFmtId="0" fontId="18" fillId="12" borderId="1" xfId="5" applyFont="1" applyFill="1" applyBorder="1" applyAlignment="1">
      <alignment horizontal="right"/>
    </xf>
    <xf numFmtId="165" fontId="18" fillId="12" borderId="1" xfId="9" applyNumberFormat="1" applyFont="1" applyFill="1" applyBorder="1" applyAlignment="1">
      <alignment horizontal="right" wrapText="1"/>
    </xf>
    <xf numFmtId="0" fontId="54" fillId="12" borderId="1" xfId="0" applyFont="1" applyFill="1" applyBorder="1" applyAlignment="1">
      <alignment horizontal="right"/>
    </xf>
    <xf numFmtId="167" fontId="18" fillId="12" borderId="1" xfId="9" applyNumberFormat="1" applyFont="1" applyFill="1" applyBorder="1" applyAlignment="1">
      <alignment horizontal="right"/>
    </xf>
    <xf numFmtId="0" fontId="18" fillId="12" borderId="7" xfId="5" applyFont="1" applyFill="1" applyBorder="1" applyAlignment="1" applyProtection="1">
      <alignment horizontal="right" vertical="top" wrapText="1"/>
      <protection locked="0"/>
    </xf>
    <xf numFmtId="0" fontId="18" fillId="12" borderId="1" xfId="5" applyFont="1" applyFill="1" applyBorder="1"/>
    <xf numFmtId="167" fontId="18" fillId="12" borderId="7" xfId="9" applyNumberFormat="1" applyFont="1" applyFill="1" applyBorder="1" applyAlignment="1">
      <alignment horizontal="right"/>
    </xf>
    <xf numFmtId="0" fontId="54" fillId="12" borderId="11" xfId="0" applyFont="1" applyFill="1" applyBorder="1"/>
    <xf numFmtId="165" fontId="18" fillId="12" borderId="1" xfId="9" applyNumberFormat="1" applyFont="1" applyFill="1" applyBorder="1" applyAlignment="1" applyProtection="1">
      <protection locked="0"/>
    </xf>
    <xf numFmtId="0" fontId="18" fillId="12" borderId="44" xfId="5" applyFont="1" applyFill="1" applyBorder="1" applyAlignment="1" applyProtection="1">
      <alignment horizontal="right" wrapText="1"/>
      <protection locked="0"/>
    </xf>
    <xf numFmtId="0" fontId="54" fillId="12" borderId="97" xfId="0" applyFont="1" applyFill="1" applyBorder="1"/>
    <xf numFmtId="0" fontId="18" fillId="12" borderId="35" xfId="5" applyFont="1" applyFill="1" applyBorder="1" applyAlignment="1">
      <alignment horizontal="right" wrapText="1"/>
    </xf>
    <xf numFmtId="165" fontId="18" fillId="5" borderId="39" xfId="9" applyNumberFormat="1" applyFont="1" applyFill="1" applyBorder="1" applyAlignment="1" applyProtection="1">
      <alignment wrapText="1"/>
      <protection locked="0"/>
    </xf>
    <xf numFmtId="0" fontId="18" fillId="12" borderId="35" xfId="5" applyFont="1" applyFill="1" applyBorder="1" applyAlignment="1" applyProtection="1">
      <alignment horizontal="right" wrapText="1"/>
      <protection locked="0"/>
    </xf>
    <xf numFmtId="0" fontId="18" fillId="12" borderId="35" xfId="5" applyFont="1" applyFill="1" applyBorder="1" applyAlignment="1">
      <alignment horizontal="right"/>
    </xf>
    <xf numFmtId="0" fontId="54" fillId="12" borderId="32" xfId="0" applyFont="1" applyFill="1" applyBorder="1"/>
    <xf numFmtId="165" fontId="18" fillId="12" borderId="35" xfId="9" applyNumberFormat="1" applyFont="1" applyFill="1" applyBorder="1" applyAlignment="1">
      <alignment horizontal="right" wrapText="1"/>
    </xf>
    <xf numFmtId="0" fontId="54" fillId="12" borderId="35" xfId="0" applyFont="1" applyFill="1" applyBorder="1" applyAlignment="1">
      <alignment horizontal="right"/>
    </xf>
    <xf numFmtId="0" fontId="25" fillId="9" borderId="42" xfId="5" applyFont="1" applyFill="1" applyBorder="1" applyAlignment="1">
      <alignment horizontal="left" wrapText="1"/>
    </xf>
    <xf numFmtId="165" fontId="18" fillId="9" borderId="27" xfId="9" applyNumberFormat="1" applyFont="1" applyFill="1" applyBorder="1" applyAlignment="1">
      <alignment horizontal="center" wrapText="1"/>
    </xf>
    <xf numFmtId="0" fontId="25" fillId="9" borderId="27" xfId="5" applyFont="1" applyFill="1" applyBorder="1" applyAlignment="1">
      <alignment horizontal="right" wrapText="1"/>
    </xf>
    <xf numFmtId="165" fontId="18" fillId="9" borderId="27" xfId="9" applyNumberFormat="1" applyFont="1" applyFill="1" applyBorder="1" applyAlignment="1">
      <alignment wrapText="1"/>
    </xf>
    <xf numFmtId="0" fontId="18" fillId="12" borderId="4" xfId="5" applyFont="1" applyFill="1" applyBorder="1"/>
    <xf numFmtId="0" fontId="25" fillId="12" borderId="1" xfId="5" applyFont="1" applyFill="1" applyBorder="1" applyAlignment="1">
      <alignment horizontal="right" wrapText="1"/>
    </xf>
    <xf numFmtId="9" fontId="18" fillId="0" borderId="1" xfId="2" applyFont="1" applyBorder="1" applyAlignment="1">
      <alignment horizontal="center" wrapText="1"/>
    </xf>
    <xf numFmtId="0" fontId="18" fillId="12" borderId="38" xfId="5" applyFont="1" applyFill="1" applyBorder="1"/>
    <xf numFmtId="0" fontId="25" fillId="12" borderId="33" xfId="5" applyFont="1" applyFill="1" applyBorder="1" applyAlignment="1">
      <alignment horizontal="center" wrapText="1"/>
    </xf>
    <xf numFmtId="0" fontId="25" fillId="12" borderId="12" xfId="5" applyFont="1" applyFill="1" applyBorder="1" applyAlignment="1">
      <alignment horizontal="center" wrapText="1"/>
    </xf>
    <xf numFmtId="0" fontId="25" fillId="12" borderId="11" xfId="5" applyFont="1" applyFill="1" applyBorder="1" applyAlignment="1">
      <alignment horizontal="center" wrapText="1"/>
    </xf>
    <xf numFmtId="0" fontId="18" fillId="12" borderId="13" xfId="5" applyFont="1" applyFill="1" applyBorder="1" applyAlignment="1">
      <alignment horizontal="left"/>
    </xf>
    <xf numFmtId="0" fontId="18" fillId="12" borderId="14" xfId="5" applyFont="1" applyFill="1" applyBorder="1" applyAlignment="1">
      <alignment horizontal="left"/>
    </xf>
    <xf numFmtId="0" fontId="25" fillId="12" borderId="14" xfId="5" applyFont="1" applyFill="1" applyBorder="1" applyAlignment="1">
      <alignment horizontal="center" wrapText="1"/>
    </xf>
    <xf numFmtId="0" fontId="25" fillId="12" borderId="53" xfId="5" applyFont="1" applyFill="1" applyBorder="1" applyAlignment="1">
      <alignment horizontal="center" wrapText="1"/>
    </xf>
    <xf numFmtId="0" fontId="17" fillId="12" borderId="36" xfId="5" applyFont="1" applyFill="1" applyBorder="1" applyAlignment="1">
      <alignment horizontal="center" wrapText="1"/>
    </xf>
    <xf numFmtId="0" fontId="24" fillId="12" borderId="49" xfId="5" applyFont="1" applyFill="1" applyBorder="1" applyAlignment="1">
      <alignment horizontal="right" wrapText="1"/>
    </xf>
    <xf numFmtId="0" fontId="24" fillId="12" borderId="36" xfId="5" applyFont="1" applyFill="1" applyBorder="1" applyAlignment="1">
      <alignment horizontal="right" wrapText="1"/>
    </xf>
    <xf numFmtId="0" fontId="24" fillId="12" borderId="36" xfId="5" applyFont="1" applyFill="1" applyBorder="1" applyAlignment="1" applyProtection="1">
      <alignment horizontal="right" wrapText="1"/>
      <protection locked="0"/>
    </xf>
    <xf numFmtId="0" fontId="18" fillId="12" borderId="36" xfId="5" applyFont="1" applyFill="1" applyBorder="1" applyAlignment="1">
      <alignment horizontal="right"/>
    </xf>
    <xf numFmtId="0" fontId="23" fillId="12" borderId="8" xfId="5" applyFont="1" applyFill="1" applyBorder="1" applyAlignment="1">
      <alignment horizontal="center" wrapText="1"/>
    </xf>
    <xf numFmtId="0" fontId="24" fillId="12" borderId="0" xfId="5" applyFont="1" applyFill="1" applyAlignment="1">
      <alignment wrapText="1"/>
    </xf>
    <xf numFmtId="0" fontId="18" fillId="12" borderId="0" xfId="5" applyFont="1" applyFill="1"/>
    <xf numFmtId="0" fontId="25" fillId="12" borderId="36" xfId="5" applyFont="1" applyFill="1" applyBorder="1" applyAlignment="1">
      <alignment horizontal="left" wrapText="1"/>
    </xf>
    <xf numFmtId="0" fontId="18" fillId="14" borderId="1" xfId="5" applyFont="1" applyFill="1" applyBorder="1"/>
    <xf numFmtId="0" fontId="26" fillId="12" borderId="29" xfId="5" applyFont="1" applyFill="1" applyBorder="1" applyAlignment="1">
      <alignment horizontal="center"/>
    </xf>
    <xf numFmtId="0" fontId="18" fillId="12" borderId="42" xfId="5" applyFont="1" applyFill="1" applyBorder="1"/>
    <xf numFmtId="0" fontId="26" fillId="12" borderId="19" xfId="5" applyFont="1" applyFill="1" applyBorder="1" applyAlignment="1">
      <alignment horizontal="center"/>
    </xf>
    <xf numFmtId="0" fontId="26" fillId="12" borderId="30" xfId="5" applyFont="1" applyFill="1" applyBorder="1" applyAlignment="1">
      <alignment horizontal="center"/>
    </xf>
    <xf numFmtId="0" fontId="18" fillId="12" borderId="27" xfId="5" applyFont="1" applyFill="1" applyBorder="1"/>
    <xf numFmtId="0" fontId="18" fillId="12" borderId="27" xfId="5" applyFont="1" applyFill="1" applyBorder="1" applyAlignment="1">
      <alignment horizontal="left" wrapText="1"/>
    </xf>
    <xf numFmtId="0" fontId="18" fillId="12" borderId="27" xfId="5" applyFont="1" applyFill="1" applyBorder="1" applyAlignment="1" applyProtection="1">
      <alignment horizontal="left" wrapText="1"/>
      <protection locked="0"/>
    </xf>
    <xf numFmtId="0" fontId="24" fillId="12" borderId="27" xfId="5" applyFont="1" applyFill="1" applyBorder="1" applyAlignment="1">
      <alignment wrapText="1"/>
    </xf>
    <xf numFmtId="0" fontId="24" fillId="12" borderId="43" xfId="5" applyFont="1" applyFill="1" applyBorder="1" applyAlignment="1">
      <alignment wrapText="1"/>
    </xf>
    <xf numFmtId="0" fontId="18" fillId="12" borderId="36" xfId="5" applyFont="1" applyFill="1" applyBorder="1"/>
    <xf numFmtId="0" fontId="18" fillId="12" borderId="0" xfId="5" applyFont="1" applyFill="1" applyAlignment="1">
      <alignment horizontal="left" wrapText="1"/>
    </xf>
    <xf numFmtId="0" fontId="24" fillId="12" borderId="34" xfId="5" applyFont="1" applyFill="1" applyBorder="1" applyAlignment="1">
      <alignment wrapText="1"/>
    </xf>
    <xf numFmtId="0" fontId="24" fillId="12" borderId="36" xfId="5" applyFont="1" applyFill="1" applyBorder="1" applyAlignment="1">
      <alignment horizontal="left" wrapText="1"/>
    </xf>
    <xf numFmtId="0" fontId="18" fillId="12" borderId="34" xfId="5" applyFont="1" applyFill="1" applyBorder="1" applyAlignment="1">
      <alignment horizontal="left" wrapText="1"/>
    </xf>
    <xf numFmtId="9" fontId="18" fillId="0" borderId="1" xfId="2" applyFont="1" applyFill="1" applyBorder="1" applyAlignment="1" applyProtection="1">
      <alignment horizontal="center" wrapText="1"/>
      <protection locked="0"/>
    </xf>
    <xf numFmtId="9" fontId="0" fillId="0" borderId="1" xfId="0" applyNumberFormat="1" applyBorder="1"/>
    <xf numFmtId="0" fontId="25" fillId="12" borderId="49" xfId="5" applyFont="1" applyFill="1" applyBorder="1" applyAlignment="1">
      <alignment horizontal="center"/>
    </xf>
    <xf numFmtId="0" fontId="18" fillId="12" borderId="8" xfId="5" applyFont="1" applyFill="1" applyBorder="1"/>
    <xf numFmtId="0" fontId="18" fillId="12" borderId="8" xfId="5" applyFont="1" applyFill="1" applyBorder="1" applyAlignment="1">
      <alignment horizontal="left" wrapText="1"/>
    </xf>
    <xf numFmtId="0" fontId="25" fillId="12" borderId="10" xfId="5" applyFont="1" applyFill="1" applyBorder="1" applyAlignment="1">
      <alignment horizontal="right"/>
    </xf>
    <xf numFmtId="0" fontId="24" fillId="12" borderId="7" xfId="5" applyFont="1" applyFill="1" applyBorder="1" applyAlignment="1">
      <alignment horizontal="right" wrapText="1"/>
    </xf>
    <xf numFmtId="0" fontId="18" fillId="12" borderId="0" xfId="5" applyFont="1" applyFill="1" applyAlignment="1">
      <alignment horizontal="right"/>
    </xf>
    <xf numFmtId="9" fontId="18" fillId="12" borderId="0" xfId="2" applyFont="1" applyFill="1" applyBorder="1" applyAlignment="1">
      <alignment horizontal="right" wrapText="1"/>
    </xf>
    <xf numFmtId="0" fontId="18" fillId="12" borderId="0" xfId="5" applyFont="1" applyFill="1" applyAlignment="1">
      <alignment wrapText="1"/>
    </xf>
    <xf numFmtId="9" fontId="18" fillId="0" borderId="39" xfId="2" applyFont="1" applyFill="1" applyBorder="1" applyAlignment="1">
      <alignment horizontal="center" wrapText="1"/>
    </xf>
    <xf numFmtId="0" fontId="54" fillId="12" borderId="0" xfId="0" applyFont="1" applyFill="1" applyAlignment="1">
      <alignment horizontal="right"/>
    </xf>
    <xf numFmtId="0" fontId="0" fillId="12" borderId="42" xfId="0" applyFill="1" applyBorder="1" applyAlignment="1">
      <alignment horizontal="right"/>
    </xf>
    <xf numFmtId="0" fontId="0" fillId="12" borderId="34" xfId="0" applyFill="1" applyBorder="1" applyAlignment="1">
      <alignment horizontal="left"/>
    </xf>
    <xf numFmtId="0" fontId="54" fillId="12" borderId="0" xfId="0" applyFont="1" applyFill="1" applyAlignment="1">
      <alignment horizontal="left"/>
    </xf>
    <xf numFmtId="0" fontId="65" fillId="0" borderId="0" xfId="0" applyFont="1" applyAlignment="1">
      <alignment horizontal="justify" vertical="center"/>
    </xf>
    <xf numFmtId="9" fontId="54" fillId="12" borderId="1" xfId="2" applyFont="1" applyFill="1" applyBorder="1" applyAlignment="1">
      <alignment horizontal="center"/>
    </xf>
    <xf numFmtId="0" fontId="65" fillId="12" borderId="0" xfId="0" applyFont="1" applyFill="1" applyAlignment="1">
      <alignment horizontal="right" vertical="center"/>
    </xf>
    <xf numFmtId="0" fontId="0" fillId="12" borderId="29" xfId="0" applyFill="1" applyBorder="1"/>
    <xf numFmtId="3" fontId="65" fillId="12" borderId="0" xfId="0" applyNumberFormat="1" applyFont="1" applyFill="1" applyAlignment="1">
      <alignment horizontal="justify" vertical="center"/>
    </xf>
    <xf numFmtId="0" fontId="65" fillId="12" borderId="0" xfId="0" applyFont="1" applyFill="1" applyAlignment="1">
      <alignment horizontal="justify" vertical="center"/>
    </xf>
    <xf numFmtId="0" fontId="65" fillId="12" borderId="34" xfId="0" applyFont="1" applyFill="1" applyBorder="1" applyAlignment="1">
      <alignment horizontal="justify" vertical="center"/>
    </xf>
    <xf numFmtId="0" fontId="65" fillId="12" borderId="42" xfId="0" applyFont="1" applyFill="1" applyBorder="1" applyAlignment="1">
      <alignment horizontal="justify" vertical="center"/>
    </xf>
    <xf numFmtId="0" fontId="65" fillId="12" borderId="27" xfId="0" applyFont="1" applyFill="1" applyBorder="1" applyAlignment="1">
      <alignment horizontal="justify" vertical="center"/>
    </xf>
    <xf numFmtId="0" fontId="4" fillId="12" borderId="0" xfId="0" applyFont="1" applyFill="1" applyAlignment="1">
      <alignment horizontal="center"/>
    </xf>
    <xf numFmtId="0" fontId="0" fillId="12" borderId="56" xfId="0" applyFill="1" applyBorder="1" applyAlignment="1">
      <alignment horizontal="right"/>
    </xf>
    <xf numFmtId="0" fontId="0" fillId="12" borderId="64" xfId="0" applyFill="1" applyBorder="1" applyAlignment="1">
      <alignment horizontal="left"/>
    </xf>
    <xf numFmtId="0" fontId="0" fillId="12" borderId="57" xfId="0" applyFill="1" applyBorder="1" applyAlignment="1">
      <alignment horizontal="left"/>
    </xf>
    <xf numFmtId="0" fontId="28" fillId="12" borderId="64" xfId="0" applyFont="1" applyFill="1" applyBorder="1" applyAlignment="1">
      <alignment horizontal="left" vertical="center" wrapText="1"/>
    </xf>
    <xf numFmtId="0" fontId="28" fillId="12" borderId="87" xfId="0" applyFont="1" applyFill="1" applyBorder="1" applyAlignment="1">
      <alignment horizontal="left" vertical="center" wrapText="1"/>
    </xf>
    <xf numFmtId="0" fontId="3" fillId="12" borderId="58" xfId="0" applyFont="1" applyFill="1" applyBorder="1" applyAlignment="1">
      <alignment vertical="center"/>
    </xf>
    <xf numFmtId="0" fontId="8" fillId="12" borderId="56" xfId="3" applyFont="1" applyFill="1" applyBorder="1" applyAlignment="1" applyProtection="1">
      <alignment horizontal="left" vertical="top"/>
      <protection locked="0"/>
    </xf>
    <xf numFmtId="0" fontId="8" fillId="12" borderId="64" xfId="3" applyFont="1" applyFill="1" applyBorder="1" applyAlignment="1" applyProtection="1">
      <alignment horizontal="left" vertical="top"/>
      <protection locked="0"/>
    </xf>
    <xf numFmtId="9" fontId="8" fillId="12" borderId="64" xfId="3" applyNumberFormat="1" applyFont="1" applyFill="1" applyBorder="1" applyAlignment="1" applyProtection="1">
      <alignment horizontal="center" vertical="top"/>
      <protection locked="0"/>
    </xf>
    <xf numFmtId="0" fontId="8" fillId="12" borderId="64" xfId="3" applyFont="1" applyFill="1" applyBorder="1" applyAlignment="1" applyProtection="1">
      <alignment horizontal="center" vertical="top"/>
      <protection locked="0"/>
    </xf>
    <xf numFmtId="0" fontId="8" fillId="12" borderId="57" xfId="3" applyFont="1" applyFill="1" applyBorder="1" applyAlignment="1" applyProtection="1">
      <alignment horizontal="center" vertical="top"/>
      <protection locked="0"/>
    </xf>
    <xf numFmtId="42" fontId="8" fillId="0" borderId="1" xfId="1" applyNumberFormat="1" applyFont="1" applyFill="1" applyBorder="1" applyAlignment="1" applyProtection="1">
      <alignment vertical="top"/>
      <protection locked="0"/>
    </xf>
    <xf numFmtId="0" fontId="10" fillId="12" borderId="8" xfId="5" applyFont="1" applyFill="1" applyBorder="1" applyAlignment="1">
      <alignment horizontal="right"/>
    </xf>
    <xf numFmtId="0" fontId="0" fillId="12" borderId="0" xfId="0" applyFill="1" applyAlignment="1">
      <alignment horizontal="center"/>
    </xf>
    <xf numFmtId="0" fontId="4" fillId="12" borderId="36" xfId="0" applyFont="1" applyFill="1" applyBorder="1"/>
    <xf numFmtId="0" fontId="0" fillId="0" borderId="35" xfId="0" applyBorder="1" applyProtection="1">
      <protection locked="0"/>
    </xf>
    <xf numFmtId="0" fontId="4" fillId="12" borderId="0" xfId="0" applyFont="1" applyFill="1" applyAlignment="1">
      <alignment horizontal="right"/>
    </xf>
    <xf numFmtId="0" fontId="0" fillId="12" borderId="43" xfId="0" applyFill="1" applyBorder="1"/>
    <xf numFmtId="14" fontId="18" fillId="0" borderId="1" xfId="10" applyNumberFormat="1" applyFont="1" applyBorder="1" applyProtection="1">
      <protection locked="0"/>
    </xf>
    <xf numFmtId="1" fontId="18" fillId="0" borderId="1" xfId="10" applyNumberFormat="1" applyFont="1" applyBorder="1" applyAlignment="1" applyProtection="1">
      <alignment horizontal="center"/>
      <protection locked="0"/>
    </xf>
    <xf numFmtId="0" fontId="0" fillId="12" borderId="64" xfId="0" applyFill="1" applyBorder="1"/>
    <xf numFmtId="0" fontId="0" fillId="12" borderId="57" xfId="0" applyFill="1" applyBorder="1"/>
    <xf numFmtId="0" fontId="12" fillId="0" borderId="0" xfId="4" applyFont="1" applyFill="1" applyAlignment="1">
      <alignment horizontal="left"/>
    </xf>
    <xf numFmtId="0" fontId="9" fillId="0" borderId="0" xfId="4" applyFill="1" applyAlignment="1"/>
    <xf numFmtId="0" fontId="0" fillId="0" borderId="1" xfId="0" applyBorder="1" applyProtection="1">
      <protection locked="0"/>
    </xf>
    <xf numFmtId="0" fontId="8" fillId="5" borderId="1" xfId="3" applyFont="1" applyFill="1" applyBorder="1" applyAlignment="1" applyProtection="1">
      <alignment horizontal="center" vertical="top"/>
      <protection locked="0"/>
    </xf>
    <xf numFmtId="42" fontId="8" fillId="0" borderId="4" xfId="1" applyNumberFormat="1" applyFont="1" applyFill="1" applyBorder="1" applyAlignment="1" applyProtection="1">
      <alignment vertical="top"/>
      <protection locked="0"/>
    </xf>
    <xf numFmtId="2" fontId="0" fillId="12" borderId="0" xfId="0" applyNumberFormat="1" applyFill="1"/>
    <xf numFmtId="0" fontId="3" fillId="5" borderId="1" xfId="0" applyFont="1" applyFill="1" applyBorder="1" applyAlignment="1" applyProtection="1">
      <alignment horizontal="center" vertical="center"/>
      <protection locked="0"/>
    </xf>
    <xf numFmtId="42" fontId="8" fillId="12" borderId="1" xfId="1" applyNumberFormat="1" applyFont="1" applyFill="1" applyBorder="1" applyAlignment="1" applyProtection="1">
      <alignment vertical="top"/>
    </xf>
    <xf numFmtId="9" fontId="8" fillId="12" borderId="1" xfId="2" applyFont="1" applyFill="1" applyBorder="1" applyAlignment="1" applyProtection="1">
      <alignment vertical="top"/>
    </xf>
    <xf numFmtId="2" fontId="8" fillId="12" borderId="39" xfId="3" applyNumberFormat="1" applyFont="1" applyFill="1" applyBorder="1" applyAlignment="1">
      <alignment vertical="top"/>
    </xf>
    <xf numFmtId="165" fontId="17" fillId="12" borderId="7" xfId="1" applyNumberFormat="1" applyFont="1" applyFill="1" applyBorder="1" applyProtection="1"/>
    <xf numFmtId="165" fontId="17" fillId="12" borderId="15" xfId="1" applyNumberFormat="1" applyFont="1" applyFill="1" applyBorder="1" applyProtection="1"/>
    <xf numFmtId="165" fontId="17" fillId="12" borderId="14" xfId="1" applyNumberFormat="1" applyFont="1" applyFill="1" applyBorder="1" applyProtection="1"/>
    <xf numFmtId="167" fontId="18" fillId="12" borderId="14" xfId="10" applyNumberFormat="1" applyFont="1" applyFill="1" applyBorder="1"/>
    <xf numFmtId="165" fontId="17" fillId="12" borderId="1" xfId="1" applyNumberFormat="1" applyFont="1" applyFill="1" applyBorder="1" applyProtection="1"/>
    <xf numFmtId="167" fontId="17" fillId="12" borderId="15" xfId="10" applyNumberFormat="1" applyFont="1" applyFill="1" applyBorder="1"/>
    <xf numFmtId="167" fontId="17" fillId="12" borderId="1" xfId="10" applyNumberFormat="1" applyFont="1" applyFill="1" applyBorder="1"/>
    <xf numFmtId="165" fontId="18" fillId="12" borderId="14" xfId="1" applyNumberFormat="1" applyFont="1" applyFill="1" applyBorder="1" applyProtection="1"/>
    <xf numFmtId="9" fontId="18" fillId="12" borderId="1" xfId="2" applyFont="1" applyFill="1" applyBorder="1" applyProtection="1"/>
    <xf numFmtId="0" fontId="18" fillId="12" borderId="0" xfId="10" applyFont="1" applyFill="1" applyAlignment="1">
      <alignment horizontal="center" wrapText="1"/>
    </xf>
    <xf numFmtId="165" fontId="18" fillId="12" borderId="1" xfId="1" applyNumberFormat="1" applyFont="1" applyFill="1" applyBorder="1" applyProtection="1"/>
    <xf numFmtId="165" fontId="18" fillId="12" borderId="1" xfId="10" applyNumberFormat="1" applyFont="1" applyFill="1" applyBorder="1" applyAlignment="1">
      <alignment horizontal="center" wrapText="1"/>
    </xf>
    <xf numFmtId="0" fontId="18" fillId="5" borderId="14" xfId="5" applyFont="1" applyFill="1" applyBorder="1" applyProtection="1">
      <protection locked="0"/>
    </xf>
    <xf numFmtId="9" fontId="18" fillId="0" borderId="1" xfId="5" applyNumberFormat="1" applyFont="1" applyBorder="1" applyAlignment="1" applyProtection="1">
      <alignment horizontal="center"/>
      <protection locked="0"/>
    </xf>
    <xf numFmtId="42" fontId="8" fillId="12" borderId="5" xfId="1" applyNumberFormat="1" applyFont="1" applyFill="1" applyBorder="1" applyAlignment="1" applyProtection="1">
      <alignment vertical="top"/>
    </xf>
    <xf numFmtId="42" fontId="8" fillId="12" borderId="14" xfId="1" applyNumberFormat="1" applyFont="1" applyFill="1" applyBorder="1" applyAlignment="1" applyProtection="1">
      <alignment vertical="top"/>
    </xf>
    <xf numFmtId="42" fontId="8" fillId="12" borderId="7" xfId="1" applyNumberFormat="1" applyFont="1" applyFill="1" applyBorder="1" applyAlignment="1" applyProtection="1">
      <alignment vertical="top"/>
    </xf>
    <xf numFmtId="0" fontId="0" fillId="0" borderId="27" xfId="0" applyBorder="1"/>
    <xf numFmtId="0" fontId="10" fillId="12" borderId="3" xfId="5" applyFont="1" applyFill="1" applyBorder="1" applyAlignment="1">
      <alignment horizontal="right"/>
    </xf>
    <xf numFmtId="0" fontId="10" fillId="12" borderId="1" xfId="5" applyFont="1" applyFill="1" applyBorder="1" applyAlignment="1">
      <alignment horizontal="right"/>
    </xf>
    <xf numFmtId="0" fontId="10" fillId="12" borderId="8" xfId="5" applyFont="1" applyFill="1" applyBorder="1"/>
    <xf numFmtId="0" fontId="10" fillId="12" borderId="38" xfId="5" applyFont="1" applyFill="1" applyBorder="1"/>
    <xf numFmtId="42" fontId="8" fillId="12" borderId="4" xfId="1" applyNumberFormat="1" applyFont="1" applyFill="1" applyBorder="1" applyAlignment="1" applyProtection="1">
      <alignment vertical="top"/>
    </xf>
    <xf numFmtId="0" fontId="47" fillId="12" borderId="37" xfId="3" applyFont="1" applyFill="1" applyBorder="1" applyAlignment="1">
      <alignment horizontal="right" vertical="top"/>
    </xf>
    <xf numFmtId="0" fontId="47" fillId="12" borderId="3" xfId="3" applyFont="1" applyFill="1" applyBorder="1" applyAlignment="1">
      <alignment horizontal="left" vertical="top"/>
    </xf>
    <xf numFmtId="0" fontId="47" fillId="12" borderId="3" xfId="3" applyFont="1" applyFill="1" applyBorder="1" applyAlignment="1">
      <alignment vertical="top"/>
    </xf>
    <xf numFmtId="0" fontId="47" fillId="12" borderId="3" xfId="3" applyFont="1" applyFill="1" applyBorder="1" applyAlignment="1">
      <alignment horizontal="right" vertical="top"/>
    </xf>
    <xf numFmtId="5" fontId="47" fillId="12" borderId="3" xfId="6" applyNumberFormat="1" applyFont="1" applyFill="1" applyBorder="1" applyAlignment="1" applyProtection="1">
      <alignment horizontal="left" vertical="top"/>
    </xf>
    <xf numFmtId="165" fontId="10" fillId="12" borderId="1" xfId="1" applyNumberFormat="1" applyFont="1" applyFill="1" applyBorder="1" applyAlignment="1" applyProtection="1">
      <alignment vertical="top"/>
    </xf>
    <xf numFmtId="165" fontId="4" fillId="12" borderId="1" xfId="1" applyNumberFormat="1" applyFont="1" applyFill="1" applyBorder="1" applyProtection="1"/>
    <xf numFmtId="168" fontId="10" fillId="12" borderId="1" xfId="8" applyNumberFormat="1" applyFont="1" applyFill="1" applyBorder="1" applyAlignment="1" applyProtection="1">
      <alignment horizontal="center" vertical="top"/>
    </xf>
    <xf numFmtId="169" fontId="10" fillId="12" borderId="1" xfId="7" applyNumberFormat="1" applyFont="1" applyFill="1" applyBorder="1" applyAlignment="1" applyProtection="1">
      <alignment vertical="top"/>
    </xf>
    <xf numFmtId="169" fontId="10" fillId="12" borderId="1" xfId="3" applyNumberFormat="1" applyFont="1" applyFill="1" applyBorder="1" applyAlignment="1">
      <alignment vertical="top"/>
    </xf>
    <xf numFmtId="0" fontId="8" fillId="12" borderId="39" xfId="3" applyFont="1" applyFill="1" applyBorder="1" applyAlignment="1">
      <alignment vertical="top"/>
    </xf>
    <xf numFmtId="0" fontId="47" fillId="12" borderId="36" xfId="3" applyFont="1" applyFill="1" applyBorder="1" applyAlignment="1">
      <alignment horizontal="right" vertical="top"/>
    </xf>
    <xf numFmtId="0" fontId="47" fillId="12" borderId="0" xfId="3" applyFont="1" applyFill="1" applyAlignment="1">
      <alignment horizontal="left" vertical="top"/>
    </xf>
    <xf numFmtId="169" fontId="47" fillId="12" borderId="0" xfId="7" applyNumberFormat="1" applyFont="1" applyFill="1" applyAlignment="1" applyProtection="1">
      <alignment vertical="top"/>
    </xf>
    <xf numFmtId="169" fontId="10" fillId="12" borderId="0" xfId="7" applyNumberFormat="1" applyFont="1" applyFill="1" applyAlignment="1" applyProtection="1">
      <alignment vertical="top"/>
    </xf>
    <xf numFmtId="169" fontId="47" fillId="12" borderId="0" xfId="3" applyNumberFormat="1" applyFont="1" applyFill="1" applyAlignment="1">
      <alignment horizontal="right" vertical="top"/>
    </xf>
    <xf numFmtId="167" fontId="47" fillId="12" borderId="0" xfId="3" applyNumberFormat="1" applyFont="1" applyFill="1" applyAlignment="1">
      <alignment horizontal="left" vertical="top"/>
    </xf>
    <xf numFmtId="0" fontId="10" fillId="12" borderId="12" xfId="3" applyFont="1" applyFill="1" applyBorder="1" applyAlignment="1">
      <alignment vertical="top"/>
    </xf>
    <xf numFmtId="0" fontId="10" fillId="12" borderId="32" xfId="3" applyFont="1" applyFill="1" applyBorder="1" applyAlignment="1">
      <alignment vertical="top"/>
    </xf>
    <xf numFmtId="0" fontId="10" fillId="12" borderId="0" xfId="3" applyFont="1" applyFill="1" applyAlignment="1">
      <alignment vertical="top"/>
    </xf>
    <xf numFmtId="0" fontId="10" fillId="12" borderId="34" xfId="3" applyFont="1" applyFill="1" applyBorder="1" applyAlignment="1">
      <alignment vertical="top"/>
    </xf>
    <xf numFmtId="0" fontId="10" fillId="12" borderId="36" xfId="3" applyFont="1" applyFill="1" applyBorder="1" applyAlignment="1">
      <alignment horizontal="right" vertical="top"/>
    </xf>
    <xf numFmtId="0" fontId="10" fillId="12" borderId="0" xfId="3" applyFont="1" applyFill="1" applyAlignment="1">
      <alignment horizontal="right" vertical="top"/>
    </xf>
    <xf numFmtId="168" fontId="10" fillId="12" borderId="0" xfId="6" applyNumberFormat="1" applyFont="1" applyFill="1" applyBorder="1" applyAlignment="1" applyProtection="1">
      <alignment vertical="top"/>
    </xf>
    <xf numFmtId="168" fontId="4" fillId="12" borderId="0" xfId="6" applyNumberFormat="1" applyFont="1" applyFill="1" applyProtection="1"/>
    <xf numFmtId="9" fontId="10" fillId="12" borderId="0" xfId="2" applyFont="1" applyFill="1" applyBorder="1" applyAlignment="1" applyProtection="1">
      <alignment vertical="top"/>
    </xf>
    <xf numFmtId="165" fontId="10" fillId="12" borderId="1" xfId="2" applyNumberFormat="1" applyFont="1" applyFill="1" applyBorder="1" applyAlignment="1" applyProtection="1">
      <alignment vertical="top"/>
    </xf>
    <xf numFmtId="3" fontId="0" fillId="12" borderId="1" xfId="0" applyNumberFormat="1" applyFill="1" applyBorder="1"/>
    <xf numFmtId="9" fontId="10" fillId="3" borderId="1" xfId="2" applyFont="1" applyFill="1" applyBorder="1" applyAlignment="1" applyProtection="1">
      <alignment vertical="top"/>
    </xf>
    <xf numFmtId="0" fontId="10" fillId="3" borderId="1" xfId="3" applyFont="1" applyFill="1" applyBorder="1" applyAlignment="1">
      <alignment vertical="top"/>
    </xf>
    <xf numFmtId="0" fontId="8" fillId="12" borderId="31" xfId="3" applyFont="1" applyFill="1" applyBorder="1" applyAlignment="1">
      <alignment horizontal="right" vertical="top"/>
    </xf>
    <xf numFmtId="0" fontId="8" fillId="12" borderId="12" xfId="3" applyFont="1" applyFill="1" applyBorder="1" applyAlignment="1">
      <alignment horizontal="right" vertical="top"/>
    </xf>
    <xf numFmtId="10" fontId="10" fillId="12" borderId="1" xfId="2" applyNumberFormat="1" applyFont="1" applyFill="1" applyBorder="1" applyAlignment="1" applyProtection="1">
      <alignment vertical="top"/>
    </xf>
    <xf numFmtId="9" fontId="10" fillId="12" borderId="1" xfId="2" applyFont="1" applyFill="1" applyBorder="1" applyAlignment="1" applyProtection="1">
      <alignment vertical="top"/>
    </xf>
    <xf numFmtId="0" fontId="4" fillId="12" borderId="15" xfId="0" applyFont="1" applyFill="1" applyBorder="1" applyAlignment="1">
      <alignment horizontal="center"/>
    </xf>
    <xf numFmtId="0" fontId="8" fillId="12" borderId="2" xfId="3" applyFont="1" applyFill="1" applyBorder="1" applyAlignment="1">
      <alignment horizontal="right" vertical="top"/>
    </xf>
    <xf numFmtId="0" fontId="8" fillId="12" borderId="6" xfId="3" applyFont="1" applyFill="1" applyBorder="1" applyAlignment="1">
      <alignment horizontal="right" vertical="top"/>
    </xf>
    <xf numFmtId="165" fontId="8" fillId="12" borderId="14" xfId="1" applyNumberFormat="1" applyFont="1" applyFill="1" applyBorder="1" applyAlignment="1" applyProtection="1">
      <alignment vertical="top"/>
    </xf>
    <xf numFmtId="0" fontId="8" fillId="12" borderId="0" xfId="3" applyFont="1" applyFill="1" applyAlignment="1">
      <alignment horizontal="left" vertical="top"/>
    </xf>
    <xf numFmtId="0" fontId="8" fillId="12" borderId="0" xfId="3" applyFont="1" applyFill="1" applyAlignment="1">
      <alignment horizontal="right" vertical="top"/>
    </xf>
    <xf numFmtId="165" fontId="8" fillId="12" borderId="1" xfId="1" applyNumberFormat="1" applyFont="1" applyFill="1" applyBorder="1" applyAlignment="1" applyProtection="1">
      <alignment vertical="top"/>
    </xf>
    <xf numFmtId="165" fontId="8" fillId="12" borderId="0" xfId="1" applyNumberFormat="1" applyFont="1" applyFill="1" applyBorder="1" applyAlignment="1" applyProtection="1">
      <alignment vertical="top"/>
    </xf>
    <xf numFmtId="0" fontId="0" fillId="12" borderId="2" xfId="0" applyFill="1" applyBorder="1"/>
    <xf numFmtId="10" fontId="8" fillId="12" borderId="1" xfId="3" applyNumberFormat="1" applyFont="1" applyFill="1" applyBorder="1" applyAlignment="1">
      <alignment horizontal="left" vertical="top"/>
    </xf>
    <xf numFmtId="180" fontId="8" fillId="12" borderId="1" xfId="3" applyNumberFormat="1" applyFont="1" applyFill="1" applyBorder="1" applyAlignment="1">
      <alignment vertical="top"/>
    </xf>
    <xf numFmtId="0" fontId="8" fillId="12" borderId="13" xfId="3" applyFont="1" applyFill="1" applyBorder="1" applyAlignment="1">
      <alignment horizontal="right" vertical="top"/>
    </xf>
    <xf numFmtId="165" fontId="8" fillId="12" borderId="1" xfId="3" applyNumberFormat="1" applyFont="1" applyFill="1" applyBorder="1" applyAlignment="1">
      <alignment vertical="top"/>
    </xf>
    <xf numFmtId="0" fontId="0" fillId="12" borderId="11" xfId="0" applyFill="1" applyBorder="1"/>
    <xf numFmtId="8" fontId="0" fillId="12" borderId="39" xfId="0" applyNumberFormat="1" applyFill="1" applyBorder="1"/>
    <xf numFmtId="0" fontId="0" fillId="12" borderId="49" xfId="0" applyFill="1" applyBorder="1"/>
    <xf numFmtId="0" fontId="10" fillId="12" borderId="1" xfId="5" applyFont="1" applyFill="1" applyBorder="1" applyAlignment="1">
      <alignment horizontal="center" wrapText="1"/>
    </xf>
    <xf numFmtId="0" fontId="10" fillId="12" borderId="0" xfId="5" applyFont="1" applyFill="1"/>
    <xf numFmtId="165" fontId="8" fillId="12" borderId="53" xfId="1" applyNumberFormat="1" applyFont="1" applyFill="1" applyBorder="1" applyAlignment="1" applyProtection="1">
      <alignment horizontal="right"/>
    </xf>
    <xf numFmtId="165" fontId="8" fillId="12" borderId="0" xfId="1" applyNumberFormat="1" applyFont="1" applyFill="1" applyBorder="1" applyProtection="1"/>
    <xf numFmtId="165" fontId="8" fillId="12" borderId="0" xfId="1" applyNumberFormat="1" applyFont="1" applyFill="1" applyBorder="1" applyAlignment="1" applyProtection="1">
      <alignment horizontal="right"/>
    </xf>
    <xf numFmtId="167" fontId="8" fillId="12" borderId="0" xfId="5" applyNumberFormat="1" applyFont="1" applyFill="1" applyAlignment="1">
      <alignment horizontal="center"/>
    </xf>
    <xf numFmtId="167" fontId="8" fillId="12" borderId="34" xfId="5" applyNumberFormat="1" applyFont="1" applyFill="1" applyBorder="1" applyAlignment="1">
      <alignment horizontal="center"/>
    </xf>
    <xf numFmtId="165" fontId="8" fillId="12" borderId="48" xfId="1" applyNumberFormat="1" applyFont="1" applyFill="1" applyBorder="1" applyAlignment="1" applyProtection="1">
      <alignment horizontal="right"/>
    </xf>
    <xf numFmtId="0" fontId="8" fillId="12" borderId="44" xfId="5" applyFont="1" applyFill="1" applyBorder="1"/>
    <xf numFmtId="43" fontId="8" fillId="12" borderId="50" xfId="6" applyFont="1" applyFill="1" applyBorder="1" applyAlignment="1" applyProtection="1"/>
    <xf numFmtId="170" fontId="8" fillId="12" borderId="34" xfId="5" applyNumberFormat="1" applyFont="1" applyFill="1" applyBorder="1"/>
    <xf numFmtId="0" fontId="8" fillId="12" borderId="35" xfId="5" applyFont="1" applyFill="1" applyBorder="1"/>
    <xf numFmtId="170" fontId="8" fillId="12" borderId="0" xfId="5" applyNumberFormat="1" applyFont="1" applyFill="1"/>
    <xf numFmtId="165" fontId="10" fillId="12" borderId="0" xfId="1" applyNumberFormat="1" applyFont="1" applyFill="1" applyBorder="1" applyAlignment="1" applyProtection="1">
      <alignment horizontal="right"/>
    </xf>
    <xf numFmtId="0" fontId="8" fillId="12" borderId="0" xfId="5" applyFont="1" applyFill="1" applyAlignment="1">
      <alignment horizontal="right"/>
    </xf>
    <xf numFmtId="165" fontId="8" fillId="12" borderId="0" xfId="1" applyNumberFormat="1" applyFont="1" applyFill="1" applyAlignment="1" applyProtection="1">
      <alignment horizontal="right"/>
    </xf>
    <xf numFmtId="0" fontId="10" fillId="12" borderId="0" xfId="5" applyFont="1" applyFill="1" applyAlignment="1">
      <alignment horizontal="center"/>
    </xf>
    <xf numFmtId="0" fontId="10" fillId="12" borderId="34" xfId="5" applyFont="1" applyFill="1" applyBorder="1" applyAlignment="1">
      <alignment horizontal="center"/>
    </xf>
    <xf numFmtId="0" fontId="8" fillId="12" borderId="2" xfId="5" applyFont="1" applyFill="1" applyBorder="1" applyAlignment="1">
      <alignment wrapText="1"/>
    </xf>
    <xf numFmtId="0" fontId="11" fillId="12" borderId="0" xfId="5" applyFont="1" applyFill="1"/>
    <xf numFmtId="0" fontId="8" fillId="12" borderId="34" xfId="5" applyFont="1" applyFill="1" applyBorder="1"/>
    <xf numFmtId="0" fontId="8" fillId="12" borderId="0" xfId="5" applyFont="1" applyFill="1" applyAlignment="1">
      <alignment wrapText="1"/>
    </xf>
    <xf numFmtId="165" fontId="8" fillId="12" borderId="6" xfId="1" applyNumberFormat="1" applyFont="1" applyFill="1" applyBorder="1" applyProtection="1"/>
    <xf numFmtId="165" fontId="8" fillId="12" borderId="34" xfId="1" applyNumberFormat="1" applyFont="1" applyFill="1" applyBorder="1" applyProtection="1"/>
    <xf numFmtId="165" fontId="8" fillId="12" borderId="13" xfId="1" applyNumberFormat="1" applyFont="1" applyFill="1" applyBorder="1" applyAlignment="1" applyProtection="1">
      <alignment horizontal="right"/>
    </xf>
    <xf numFmtId="165" fontId="8" fillId="12" borderId="32" xfId="1" applyNumberFormat="1" applyFont="1" applyFill="1" applyBorder="1" applyAlignment="1" applyProtection="1">
      <alignment horizontal="right"/>
    </xf>
    <xf numFmtId="165" fontId="8" fillId="12" borderId="26" xfId="1" applyNumberFormat="1" applyFont="1" applyFill="1" applyBorder="1" applyProtection="1"/>
    <xf numFmtId="165" fontId="8" fillId="12" borderId="41" xfId="1" applyNumberFormat="1" applyFont="1" applyFill="1" applyBorder="1" applyProtection="1"/>
    <xf numFmtId="168" fontId="0" fillId="12" borderId="37" xfId="6" applyNumberFormat="1" applyFont="1" applyFill="1" applyBorder="1" applyAlignment="1" applyProtection="1">
      <alignment horizontal="right"/>
    </xf>
    <xf numFmtId="168" fontId="0" fillId="12" borderId="3" xfId="6" applyNumberFormat="1" applyFont="1" applyFill="1" applyBorder="1" applyAlignment="1" applyProtection="1"/>
    <xf numFmtId="43" fontId="0" fillId="12" borderId="0" xfId="6" applyFont="1" applyFill="1" applyBorder="1" applyAlignment="1" applyProtection="1">
      <alignment horizontal="center"/>
    </xf>
    <xf numFmtId="43" fontId="0" fillId="12" borderId="34" xfId="6" applyFont="1" applyFill="1" applyBorder="1" applyAlignment="1" applyProtection="1">
      <alignment horizontal="center"/>
    </xf>
    <xf numFmtId="43" fontId="0" fillId="12" borderId="27" xfId="6" applyFont="1" applyFill="1" applyBorder="1" applyAlignment="1" applyProtection="1">
      <alignment horizontal="center"/>
    </xf>
    <xf numFmtId="43" fontId="0" fillId="12" borderId="43" xfId="6" applyFont="1" applyFill="1" applyBorder="1" applyAlignment="1" applyProtection="1">
      <alignment horizontal="center"/>
    </xf>
    <xf numFmtId="0" fontId="10" fillId="12" borderId="36" xfId="3" applyFont="1" applyFill="1" applyBorder="1" applyAlignment="1">
      <alignment vertical="top"/>
    </xf>
    <xf numFmtId="0" fontId="4" fillId="12" borderId="55" xfId="0" applyFont="1" applyFill="1" applyBorder="1" applyAlignment="1">
      <alignment horizontal="center"/>
    </xf>
    <xf numFmtId="0" fontId="10" fillId="12" borderId="35" xfId="3" applyFont="1" applyFill="1" applyBorder="1" applyAlignment="1">
      <alignment horizontal="center" vertical="top"/>
    </xf>
    <xf numFmtId="165" fontId="0" fillId="12" borderId="35" xfId="1" applyNumberFormat="1" applyFont="1" applyFill="1" applyBorder="1" applyProtection="1"/>
    <xf numFmtId="165" fontId="10" fillId="12" borderId="35" xfId="1" applyNumberFormat="1" applyFont="1" applyFill="1" applyBorder="1" applyAlignment="1" applyProtection="1">
      <alignment vertical="top"/>
    </xf>
    <xf numFmtId="0" fontId="8" fillId="12" borderId="14" xfId="3" applyFont="1" applyFill="1" applyBorder="1" applyAlignment="1">
      <alignment horizontal="right" vertical="top"/>
    </xf>
    <xf numFmtId="0" fontId="8" fillId="12" borderId="14" xfId="3" applyFont="1" applyFill="1" applyBorder="1" applyAlignment="1">
      <alignment vertical="top"/>
    </xf>
    <xf numFmtId="8" fontId="0" fillId="12" borderId="53" xfId="0" applyNumberFormat="1" applyFill="1" applyBorder="1"/>
    <xf numFmtId="0" fontId="10" fillId="12" borderId="7" xfId="5" applyFont="1" applyFill="1" applyBorder="1" applyAlignment="1">
      <alignment horizontal="center" wrapText="1"/>
    </xf>
    <xf numFmtId="165" fontId="8" fillId="12" borderId="51" xfId="1" applyNumberFormat="1" applyFont="1" applyFill="1" applyBorder="1" applyAlignment="1" applyProtection="1">
      <alignment horizontal="right"/>
    </xf>
    <xf numFmtId="43" fontId="8" fillId="12" borderId="14" xfId="6" applyFont="1" applyFill="1" applyBorder="1" applyAlignment="1" applyProtection="1"/>
    <xf numFmtId="1" fontId="47" fillId="0" borderId="7" xfId="5" applyNumberFormat="1" applyFont="1" applyBorder="1" applyProtection="1">
      <protection locked="0"/>
    </xf>
    <xf numFmtId="10" fontId="47" fillId="0" borderId="7" xfId="2" applyNumberFormat="1" applyFont="1" applyBorder="1" applyProtection="1">
      <protection locked="0"/>
    </xf>
    <xf numFmtId="1" fontId="47" fillId="0" borderId="1" xfId="5" applyNumberFormat="1" applyFont="1" applyBorder="1" applyProtection="1">
      <protection locked="0"/>
    </xf>
    <xf numFmtId="10" fontId="47" fillId="0" borderId="1" xfId="2" applyNumberFormat="1" applyFont="1" applyBorder="1" applyProtection="1">
      <protection locked="0"/>
    </xf>
    <xf numFmtId="0" fontId="0" fillId="5" borderId="1" xfId="0" applyFill="1" applyBorder="1" applyAlignment="1" applyProtection="1">
      <alignment horizontal="center"/>
      <protection locked="0"/>
    </xf>
    <xf numFmtId="0" fontId="0" fillId="5" borderId="35" xfId="0" applyFill="1" applyBorder="1" applyAlignment="1" applyProtection="1">
      <alignment horizontal="center"/>
      <protection locked="0"/>
    </xf>
    <xf numFmtId="10" fontId="8" fillId="0" borderId="7" xfId="2" applyNumberFormat="1" applyFont="1" applyFill="1" applyBorder="1" applyAlignment="1" applyProtection="1">
      <alignment horizontal="center"/>
      <protection locked="0"/>
    </xf>
    <xf numFmtId="10" fontId="8" fillId="0" borderId="15" xfId="2" applyNumberFormat="1" applyFont="1" applyFill="1" applyBorder="1" applyAlignment="1" applyProtection="1">
      <alignment horizontal="center"/>
      <protection locked="0"/>
    </xf>
    <xf numFmtId="10" fontId="8" fillId="0" borderId="14" xfId="2" applyNumberFormat="1" applyFont="1" applyFill="1" applyBorder="1" applyAlignment="1" applyProtection="1">
      <alignment horizontal="center"/>
      <protection locked="0"/>
    </xf>
    <xf numFmtId="9" fontId="8" fillId="0" borderId="1" xfId="2" applyFont="1" applyFill="1" applyBorder="1" applyAlignment="1" applyProtection="1">
      <alignment horizontal="center"/>
      <protection locked="0"/>
    </xf>
    <xf numFmtId="9" fontId="18" fillId="12" borderId="15" xfId="10" applyNumberFormat="1" applyFont="1" applyFill="1" applyBorder="1" applyAlignment="1">
      <alignment horizontal="left"/>
    </xf>
    <xf numFmtId="9" fontId="17" fillId="12" borderId="15" xfId="10" applyNumberFormat="1" applyFont="1" applyFill="1" applyBorder="1" applyAlignment="1">
      <alignment horizontal="left"/>
    </xf>
    <xf numFmtId="0" fontId="17" fillId="0" borderId="0" xfId="0" applyFont="1" applyAlignment="1">
      <alignment horizontal="center"/>
    </xf>
    <xf numFmtId="9" fontId="18" fillId="12" borderId="2" xfId="10" applyNumberFormat="1" applyFont="1" applyFill="1" applyBorder="1" applyAlignment="1">
      <alignment horizontal="left"/>
    </xf>
    <xf numFmtId="9" fontId="17" fillId="12" borderId="2" xfId="10" applyNumberFormat="1" applyFont="1" applyFill="1" applyBorder="1" applyAlignment="1">
      <alignment horizontal="left"/>
    </xf>
    <xf numFmtId="0" fontId="18" fillId="5" borderId="1" xfId="10" applyFont="1" applyFill="1" applyBorder="1" applyAlignment="1" applyProtection="1">
      <alignment horizontal="center" vertical="center" wrapText="1"/>
      <protection locked="0"/>
    </xf>
    <xf numFmtId="42" fontId="18" fillId="0" borderId="7" xfId="10" applyNumberFormat="1" applyFont="1" applyBorder="1" applyProtection="1">
      <protection locked="0"/>
    </xf>
    <xf numFmtId="42" fontId="18" fillId="0" borderId="15" xfId="10" applyNumberFormat="1" applyFont="1" applyBorder="1" applyProtection="1">
      <protection locked="0"/>
    </xf>
    <xf numFmtId="42" fontId="18" fillId="12" borderId="1" xfId="10" applyNumberFormat="1" applyFont="1" applyFill="1" applyBorder="1"/>
    <xf numFmtId="42" fontId="17" fillId="12" borderId="7" xfId="1" applyNumberFormat="1" applyFont="1" applyFill="1" applyBorder="1" applyProtection="1"/>
    <xf numFmtId="42" fontId="17" fillId="12" borderId="15" xfId="1" applyNumberFormat="1" applyFont="1" applyFill="1" applyBorder="1" applyProtection="1"/>
    <xf numFmtId="42" fontId="17" fillId="12" borderId="14" xfId="1" applyNumberFormat="1" applyFont="1" applyFill="1" applyBorder="1" applyProtection="1"/>
    <xf numFmtId="42" fontId="17" fillId="17" borderId="7" xfId="1" applyNumberFormat="1" applyFont="1" applyFill="1" applyBorder="1" applyProtection="1"/>
    <xf numFmtId="42" fontId="17" fillId="12" borderId="1" xfId="1" applyNumberFormat="1" applyFont="1" applyFill="1" applyBorder="1" applyProtection="1"/>
    <xf numFmtId="42" fontId="17" fillId="17" borderId="14" xfId="1" applyNumberFormat="1" applyFont="1" applyFill="1" applyBorder="1" applyProtection="1"/>
    <xf numFmtId="9" fontId="18" fillId="12" borderId="36" xfId="12" applyFont="1" applyFill="1" applyBorder="1" applyAlignment="1" applyProtection="1">
      <alignment horizontal="right"/>
    </xf>
    <xf numFmtId="42" fontId="17" fillId="17" borderId="15" xfId="1" applyNumberFormat="1" applyFont="1" applyFill="1" applyBorder="1" applyProtection="1"/>
    <xf numFmtId="167" fontId="18" fillId="12" borderId="2" xfId="11" applyNumberFormat="1" applyFont="1" applyFill="1" applyBorder="1" applyProtection="1"/>
    <xf numFmtId="167" fontId="18" fillId="12" borderId="34" xfId="11" applyNumberFormat="1" applyFont="1" applyFill="1" applyBorder="1" applyProtection="1"/>
    <xf numFmtId="42" fontId="17" fillId="0" borderId="7" xfId="1" applyNumberFormat="1" applyFont="1" applyFill="1" applyBorder="1" applyProtection="1">
      <protection locked="0"/>
    </xf>
    <xf numFmtId="42" fontId="18" fillId="17" borderId="7" xfId="1" applyNumberFormat="1" applyFont="1" applyFill="1" applyBorder="1" applyProtection="1"/>
    <xf numFmtId="42" fontId="18" fillId="17" borderId="15" xfId="1" applyNumberFormat="1" applyFont="1" applyFill="1" applyBorder="1" applyProtection="1"/>
    <xf numFmtId="42" fontId="18" fillId="17" borderId="16" xfId="1" applyNumberFormat="1" applyFont="1" applyFill="1" applyBorder="1" applyProtection="1"/>
    <xf numFmtId="42" fontId="17" fillId="17" borderId="28" xfId="1" applyNumberFormat="1" applyFont="1" applyFill="1" applyBorder="1" applyProtection="1"/>
    <xf numFmtId="44" fontId="18" fillId="0" borderId="95" xfId="13" applyNumberFormat="1" applyFont="1" applyBorder="1" applyAlignment="1" applyProtection="1">
      <alignment vertical="center"/>
      <protection locked="0"/>
    </xf>
    <xf numFmtId="41" fontId="18" fillId="0" borderId="7" xfId="14" applyNumberFormat="1" applyFont="1" applyFill="1" applyBorder="1" applyAlignment="1" applyProtection="1">
      <alignment horizontal="center"/>
      <protection locked="0"/>
    </xf>
    <xf numFmtId="41" fontId="18" fillId="0" borderId="15" xfId="14" applyNumberFormat="1" applyFont="1" applyFill="1" applyBorder="1" applyAlignment="1" applyProtection="1">
      <alignment horizontal="center"/>
      <protection locked="0"/>
    </xf>
    <xf numFmtId="41" fontId="18" fillId="0" borderId="14" xfId="14" applyNumberFormat="1" applyFont="1" applyFill="1" applyBorder="1" applyAlignment="1" applyProtection="1">
      <alignment horizontal="center"/>
      <protection locked="0"/>
    </xf>
    <xf numFmtId="41" fontId="18" fillId="12" borderId="15" xfId="14" applyNumberFormat="1" applyFont="1" applyFill="1" applyBorder="1" applyAlignment="1" applyProtection="1">
      <alignment horizontal="center"/>
      <protection locked="0"/>
    </xf>
    <xf numFmtId="41" fontId="18" fillId="12" borderId="7" xfId="14" applyNumberFormat="1" applyFont="1" applyFill="1" applyBorder="1" applyAlignment="1" applyProtection="1">
      <alignment horizontal="center"/>
      <protection locked="0"/>
    </xf>
    <xf numFmtId="42" fontId="8" fillId="0" borderId="98" xfId="1" applyNumberFormat="1" applyFont="1" applyFill="1" applyBorder="1" applyAlignment="1" applyProtection="1">
      <alignment vertical="top"/>
      <protection locked="0"/>
    </xf>
    <xf numFmtId="0" fontId="37" fillId="9" borderId="0" xfId="0" applyFont="1" applyFill="1" applyAlignment="1">
      <alignment horizontal="left" vertical="center"/>
    </xf>
    <xf numFmtId="0" fontId="54" fillId="9" borderId="0" xfId="0" applyFont="1" applyFill="1" applyAlignment="1">
      <alignment horizontal="left" vertical="center"/>
    </xf>
    <xf numFmtId="0" fontId="54" fillId="9" borderId="0" xfId="0" applyFont="1" applyFill="1" applyAlignment="1">
      <alignment horizontal="left"/>
    </xf>
    <xf numFmtId="0" fontId="54" fillId="9" borderId="0" xfId="0" applyFont="1" applyFill="1" applyAlignment="1">
      <alignment horizontal="left" vertical="top" wrapText="1"/>
    </xf>
    <xf numFmtId="0" fontId="54" fillId="9" borderId="34" xfId="0" applyFont="1" applyFill="1" applyBorder="1" applyAlignment="1">
      <alignment horizontal="left"/>
    </xf>
    <xf numFmtId="0" fontId="17" fillId="12" borderId="36" xfId="0" applyFont="1" applyFill="1" applyBorder="1" applyAlignment="1">
      <alignment horizontal="center" vertical="top"/>
    </xf>
    <xf numFmtId="0" fontId="3" fillId="0" borderId="0" xfId="0" applyFont="1" applyAlignment="1">
      <alignment wrapText="1"/>
    </xf>
    <xf numFmtId="0" fontId="55" fillId="9" borderId="36" xfId="0" applyFont="1" applyFill="1" applyBorder="1"/>
    <xf numFmtId="0" fontId="55" fillId="9" borderId="0" xfId="0" applyFont="1" applyFill="1"/>
    <xf numFmtId="0" fontId="55" fillId="9" borderId="34" xfId="0" applyFont="1" applyFill="1" applyBorder="1"/>
    <xf numFmtId="49" fontId="55" fillId="9" borderId="0" xfId="0" applyNumberFormat="1" applyFont="1" applyFill="1" applyAlignment="1">
      <alignment horizontal="center"/>
    </xf>
    <xf numFmtId="0" fontId="54" fillId="9" borderId="36" xfId="0" applyFont="1" applyFill="1" applyBorder="1" applyAlignment="1">
      <alignment vertical="top"/>
    </xf>
    <xf numFmtId="0" fontId="54" fillId="9" borderId="0" xfId="0" applyFont="1" applyFill="1" applyAlignment="1">
      <alignment vertical="top"/>
    </xf>
    <xf numFmtId="0" fontId="54" fillId="9" borderId="34" xfId="0" applyFont="1" applyFill="1" applyBorder="1" applyAlignment="1">
      <alignment vertical="top"/>
    </xf>
    <xf numFmtId="0" fontId="54" fillId="0" borderId="0" xfId="0" applyFont="1" applyAlignment="1">
      <alignment vertical="top"/>
    </xf>
    <xf numFmtId="49" fontId="55" fillId="9" borderId="0" xfId="0" applyNumberFormat="1" applyFont="1" applyFill="1" applyAlignment="1">
      <alignment horizontal="center" vertical="top"/>
    </xf>
    <xf numFmtId="0" fontId="66" fillId="0" borderId="0" xfId="5" applyFont="1"/>
    <xf numFmtId="0" fontId="67" fillId="0" borderId="0" xfId="5" applyFont="1"/>
    <xf numFmtId="0" fontId="35" fillId="9" borderId="0" xfId="0" applyFont="1" applyFill="1" applyAlignment="1">
      <alignment horizontal="center"/>
    </xf>
    <xf numFmtId="0" fontId="41" fillId="9" borderId="0" xfId="0" applyFont="1" applyFill="1" applyAlignment="1">
      <alignment vertical="center"/>
    </xf>
    <xf numFmtId="0" fontId="42" fillId="9" borderId="0" xfId="0" applyFont="1" applyFill="1" applyAlignment="1">
      <alignment horizontal="left" vertical="center" wrapText="1"/>
    </xf>
    <xf numFmtId="0" fontId="42" fillId="9" borderId="0" xfId="0" applyFont="1" applyFill="1" applyAlignment="1">
      <alignment vertical="center"/>
    </xf>
    <xf numFmtId="0" fontId="41" fillId="9" borderId="0" xfId="0" applyFont="1" applyFill="1" applyAlignment="1">
      <alignment vertical="top" wrapText="1"/>
    </xf>
    <xf numFmtId="0" fontId="37" fillId="9" borderId="0" xfId="0" applyFont="1" applyFill="1" applyAlignment="1">
      <alignment vertical="center" wrapText="1"/>
    </xf>
    <xf numFmtId="0" fontId="35" fillId="9" borderId="0" xfId="0" applyFont="1" applyFill="1" applyAlignment="1">
      <alignment vertical="center"/>
    </xf>
    <xf numFmtId="0" fontId="30" fillId="9" borderId="29" xfId="5" applyFont="1" applyFill="1" applyBorder="1"/>
    <xf numFmtId="0" fontId="18" fillId="9" borderId="19" xfId="5" applyFont="1" applyFill="1" applyBorder="1"/>
    <xf numFmtId="0" fontId="17" fillId="9" borderId="19" xfId="5" applyFont="1" applyFill="1" applyBorder="1" applyAlignment="1">
      <alignment horizontal="right"/>
    </xf>
    <xf numFmtId="0" fontId="18" fillId="9" borderId="30" xfId="5" applyFont="1" applyFill="1" applyBorder="1"/>
    <xf numFmtId="0" fontId="18" fillId="9" borderId="36" xfId="5" applyFont="1" applyFill="1" applyBorder="1"/>
    <xf numFmtId="0" fontId="18" fillId="9" borderId="0" xfId="5" applyFont="1" applyFill="1"/>
    <xf numFmtId="0" fontId="18" fillId="9" borderId="34" xfId="5" applyFont="1" applyFill="1" applyBorder="1"/>
    <xf numFmtId="0" fontId="30" fillId="9" borderId="0" xfId="5" applyFont="1" applyFill="1" applyAlignment="1">
      <alignment horizontal="center"/>
    </xf>
    <xf numFmtId="0" fontId="30" fillId="9" borderId="0" xfId="5" applyFont="1" applyFill="1"/>
    <xf numFmtId="0" fontId="30" fillId="9" borderId="0" xfId="5" applyFont="1" applyFill="1" applyAlignment="1">
      <alignment horizontal="center" wrapText="1"/>
    </xf>
    <xf numFmtId="0" fontId="18" fillId="9" borderId="0" xfId="5" applyFont="1" applyFill="1" applyAlignment="1">
      <alignment horizontal="center"/>
    </xf>
    <xf numFmtId="0" fontId="18" fillId="9" borderId="0" xfId="5" applyFont="1" applyFill="1" applyAlignment="1">
      <alignment horizontal="right"/>
    </xf>
    <xf numFmtId="0" fontId="18" fillId="9" borderId="12" xfId="5" applyFont="1" applyFill="1" applyBorder="1"/>
    <xf numFmtId="0" fontId="18" fillId="9" borderId="12" xfId="5" applyFont="1" applyFill="1" applyBorder="1" applyAlignment="1">
      <alignment horizontal="right"/>
    </xf>
    <xf numFmtId="0" fontId="17" fillId="9" borderId="0" xfId="5" applyFont="1" applyFill="1" applyAlignment="1">
      <alignment horizontal="center"/>
    </xf>
    <xf numFmtId="182" fontId="18" fillId="9" borderId="0" xfId="5" applyNumberFormat="1" applyFont="1" applyFill="1" applyAlignment="1">
      <alignment horizontal="center"/>
    </xf>
    <xf numFmtId="182" fontId="18" fillId="9" borderId="0" xfId="5" applyNumberFormat="1" applyFont="1" applyFill="1"/>
    <xf numFmtId="170" fontId="18" fillId="9" borderId="0" xfId="5" applyNumberFormat="1" applyFont="1" applyFill="1"/>
    <xf numFmtId="0" fontId="17" fillId="9" borderId="0" xfId="5" applyFont="1" applyFill="1" applyAlignment="1">
      <alignment horizontal="right"/>
    </xf>
    <xf numFmtId="182" fontId="71" fillId="9" borderId="0" xfId="5" applyNumberFormat="1" applyFont="1" applyFill="1" applyAlignment="1">
      <alignment horizontal="center"/>
    </xf>
    <xf numFmtId="182" fontId="17" fillId="9" borderId="0" xfId="5" applyNumberFormat="1" applyFont="1" applyFill="1" applyAlignment="1">
      <alignment horizontal="right"/>
    </xf>
    <xf numFmtId="10" fontId="71" fillId="9" borderId="0" xfId="5" applyNumberFormat="1" applyFont="1" applyFill="1"/>
    <xf numFmtId="182" fontId="18" fillId="9" borderId="29" xfId="5" applyNumberFormat="1" applyFont="1" applyFill="1" applyBorder="1" applyAlignment="1">
      <alignment horizontal="left"/>
    </xf>
    <xf numFmtId="182" fontId="18" fillId="9" borderId="36" xfId="5" applyNumberFormat="1" applyFont="1" applyFill="1" applyBorder="1" applyAlignment="1">
      <alignment horizontal="left"/>
    </xf>
    <xf numFmtId="167" fontId="18" fillId="9" borderId="35" xfId="5" applyNumberFormat="1" applyFont="1" applyFill="1" applyBorder="1" applyAlignment="1">
      <alignment horizontal="center"/>
    </xf>
    <xf numFmtId="42" fontId="18" fillId="9" borderId="47" xfId="5" applyNumberFormat="1" applyFont="1" applyFill="1" applyBorder="1" applyAlignment="1">
      <alignment horizontal="left"/>
    </xf>
    <xf numFmtId="0" fontId="18" fillId="9" borderId="27" xfId="5" applyFont="1" applyFill="1" applyBorder="1"/>
    <xf numFmtId="42" fontId="18" fillId="9" borderId="48" xfId="5" applyNumberFormat="1" applyFont="1" applyFill="1" applyBorder="1"/>
    <xf numFmtId="0" fontId="24" fillId="9" borderId="36" xfId="5" applyFont="1" applyFill="1" applyBorder="1"/>
    <xf numFmtId="0" fontId="24" fillId="9" borderId="0" xfId="5" applyFont="1" applyFill="1" applyAlignment="1">
      <alignment horizontal="left"/>
    </xf>
    <xf numFmtId="0" fontId="72" fillId="9" borderId="0" xfId="5" applyFont="1" applyFill="1" applyAlignment="1">
      <alignment horizontal="center"/>
    </xf>
    <xf numFmtId="9" fontId="24" fillId="9" borderId="0" xfId="5" applyNumberFormat="1" applyFont="1" applyFill="1" applyAlignment="1">
      <alignment horizontal="center"/>
    </xf>
    <xf numFmtId="0" fontId="24" fillId="9" borderId="27" xfId="5" applyFont="1" applyFill="1" applyBorder="1" applyAlignment="1">
      <alignment horizontal="left"/>
    </xf>
    <xf numFmtId="0" fontId="24" fillId="9" borderId="27" xfId="5" applyFont="1" applyFill="1" applyBorder="1" applyAlignment="1">
      <alignment horizontal="center"/>
    </xf>
    <xf numFmtId="9" fontId="18" fillId="9" borderId="0" xfId="5" applyNumberFormat="1" applyFont="1" applyFill="1"/>
    <xf numFmtId="182" fontId="18" fillId="9" borderId="27" xfId="5" applyNumberFormat="1" applyFont="1" applyFill="1" applyBorder="1" applyAlignment="1">
      <alignment horizontal="center"/>
    </xf>
    <xf numFmtId="0" fontId="17" fillId="9" borderId="0" xfId="5" applyFont="1" applyFill="1"/>
    <xf numFmtId="9" fontId="18" fillId="9" borderId="0" xfId="5" applyNumberFormat="1" applyFont="1" applyFill="1" applyAlignment="1">
      <alignment horizontal="center"/>
    </xf>
    <xf numFmtId="0" fontId="71" fillId="9" borderId="0" xfId="5" applyFont="1" applyFill="1"/>
    <xf numFmtId="0" fontId="18" fillId="9" borderId="42" xfId="5" applyFont="1" applyFill="1" applyBorder="1"/>
    <xf numFmtId="0" fontId="18" fillId="9" borderId="43" xfId="5" applyFont="1" applyFill="1" applyBorder="1"/>
    <xf numFmtId="0" fontId="67" fillId="9" borderId="0" xfId="5" applyFont="1" applyFill="1"/>
    <xf numFmtId="0" fontId="22" fillId="0" borderId="0" xfId="5" applyFont="1"/>
    <xf numFmtId="42" fontId="10" fillId="0" borderId="1" xfId="6" applyNumberFormat="1" applyFont="1" applyFill="1" applyBorder="1" applyAlignment="1" applyProtection="1">
      <alignment vertical="top"/>
      <protection locked="0"/>
    </xf>
    <xf numFmtId="0" fontId="0" fillId="12" borderId="34" xfId="0" applyFill="1" applyBorder="1" applyAlignment="1">
      <alignment horizontal="center"/>
    </xf>
    <xf numFmtId="0" fontId="0" fillId="12" borderId="89" xfId="0" applyFill="1" applyBorder="1"/>
    <xf numFmtId="0" fontId="0" fillId="12" borderId="90" xfId="0" applyFill="1" applyBorder="1"/>
    <xf numFmtId="5" fontId="0" fillId="12" borderId="1" xfId="0" applyNumberFormat="1" applyFill="1" applyBorder="1"/>
    <xf numFmtId="5" fontId="0" fillId="12" borderId="38" xfId="0" applyNumberFormat="1" applyFill="1" applyBorder="1"/>
    <xf numFmtId="8" fontId="0" fillId="12" borderId="19" xfId="0" applyNumberFormat="1" applyFill="1" applyBorder="1"/>
    <xf numFmtId="8" fontId="0" fillId="12" borderId="30" xfId="0" applyNumberFormat="1" applyFill="1" applyBorder="1"/>
    <xf numFmtId="8" fontId="0" fillId="12" borderId="27" xfId="0" applyNumberFormat="1" applyFill="1" applyBorder="1"/>
    <xf numFmtId="8" fontId="0" fillId="12" borderId="43" xfId="0" applyNumberFormat="1" applyFill="1" applyBorder="1"/>
    <xf numFmtId="0" fontId="73" fillId="12" borderId="0" xfId="0" applyFont="1" applyFill="1"/>
    <xf numFmtId="0" fontId="61" fillId="12" borderId="0" xfId="0" applyFont="1" applyFill="1" applyAlignment="1">
      <alignment horizontal="center"/>
    </xf>
    <xf numFmtId="0" fontId="61" fillId="12" borderId="34" xfId="0" applyFont="1" applyFill="1" applyBorder="1" applyAlignment="1">
      <alignment horizontal="center"/>
    </xf>
    <xf numFmtId="0" fontId="0" fillId="12" borderId="31" xfId="0" applyFill="1" applyBorder="1"/>
    <xf numFmtId="1" fontId="0" fillId="12" borderId="39" xfId="0" applyNumberFormat="1" applyFill="1" applyBorder="1"/>
    <xf numFmtId="173" fontId="0" fillId="12" borderId="0" xfId="0" applyNumberFormat="1" applyFill="1"/>
    <xf numFmtId="1" fontId="0" fillId="12" borderId="52" xfId="0" applyNumberFormat="1" applyFill="1" applyBorder="1"/>
    <xf numFmtId="0" fontId="0" fillId="12" borderId="95" xfId="0" applyFill="1" applyBorder="1"/>
    <xf numFmtId="44" fontId="0" fillId="12" borderId="1" xfId="1" applyFont="1" applyFill="1" applyBorder="1"/>
    <xf numFmtId="172" fontId="0" fillId="12" borderId="7" xfId="0" applyNumberFormat="1" applyFill="1" applyBorder="1"/>
    <xf numFmtId="172" fontId="0" fillId="12" borderId="1" xfId="0" applyNumberFormat="1" applyFill="1" applyBorder="1"/>
    <xf numFmtId="174" fontId="0" fillId="12" borderId="1" xfId="0" applyNumberFormat="1" applyFill="1" applyBorder="1"/>
    <xf numFmtId="0" fontId="4" fillId="12" borderId="34" xfId="0" applyFont="1" applyFill="1" applyBorder="1" applyAlignment="1">
      <alignment horizontal="center"/>
    </xf>
    <xf numFmtId="0" fontId="73" fillId="12" borderId="36" xfId="0" applyFont="1" applyFill="1" applyBorder="1"/>
    <xf numFmtId="2" fontId="0" fillId="12" borderId="34" xfId="0" applyNumberFormat="1" applyFill="1" applyBorder="1"/>
    <xf numFmtId="173" fontId="0" fillId="12" borderId="1" xfId="0" applyNumberFormat="1" applyFill="1" applyBorder="1"/>
    <xf numFmtId="174" fontId="0" fillId="12" borderId="0" xfId="0" applyNumberFormat="1" applyFill="1"/>
    <xf numFmtId="8" fontId="0" fillId="0" borderId="0" xfId="0" applyNumberFormat="1"/>
    <xf numFmtId="0" fontId="54" fillId="12" borderId="27" xfId="0" applyFont="1" applyFill="1" applyBorder="1" applyAlignment="1">
      <alignment horizontal="left"/>
    </xf>
    <xf numFmtId="10" fontId="8" fillId="8" borderId="1" xfId="2" applyNumberFormat="1" applyFont="1" applyFill="1" applyBorder="1" applyAlignment="1" applyProtection="1">
      <alignment horizontal="center"/>
    </xf>
    <xf numFmtId="0" fontId="8" fillId="0" borderId="0" xfId="3" applyFont="1" applyAlignment="1" applyProtection="1">
      <alignment vertical="top"/>
      <protection locked="0"/>
    </xf>
    <xf numFmtId="9" fontId="0" fillId="0" borderId="0" xfId="2" applyFont="1" applyFill="1" applyBorder="1" applyAlignment="1"/>
    <xf numFmtId="0" fontId="38" fillId="0" borderId="0" xfId="4" applyFont="1" applyFill="1" applyAlignment="1">
      <alignment horizontal="left"/>
    </xf>
    <xf numFmtId="0" fontId="34" fillId="3" borderId="0" xfId="5" applyFont="1" applyFill="1" applyAlignment="1">
      <alignment horizontal="center" wrapText="1"/>
    </xf>
    <xf numFmtId="0" fontId="24" fillId="12" borderId="0" xfId="5" applyFont="1" applyFill="1" applyAlignment="1">
      <alignment horizontal="right" wrapText="1"/>
    </xf>
    <xf numFmtId="9" fontId="18" fillId="12" borderId="0" xfId="7" applyFont="1" applyFill="1" applyBorder="1" applyProtection="1">
      <protection locked="0"/>
    </xf>
    <xf numFmtId="165" fontId="18" fillId="12" borderId="0" xfId="9" applyNumberFormat="1" applyFont="1" applyFill="1" applyBorder="1" applyAlignment="1">
      <alignment horizontal="center" wrapText="1"/>
    </xf>
    <xf numFmtId="0" fontId="25" fillId="12" borderId="0" xfId="5" applyFont="1" applyFill="1" applyAlignment="1">
      <alignment horizontal="right" wrapText="1"/>
    </xf>
    <xf numFmtId="165" fontId="18" fillId="12" borderId="0" xfId="9" applyNumberFormat="1" applyFont="1" applyFill="1" applyBorder="1" applyAlignment="1">
      <alignment wrapText="1"/>
    </xf>
    <xf numFmtId="0" fontId="25" fillId="10" borderId="49" xfId="5" applyFont="1" applyFill="1" applyBorder="1" applyAlignment="1">
      <alignment horizontal="left" wrapText="1"/>
    </xf>
    <xf numFmtId="0" fontId="18" fillId="12" borderId="0" xfId="5" applyFont="1" applyFill="1" applyAlignment="1" applyProtection="1">
      <alignment horizontal="left" wrapText="1"/>
      <protection locked="0"/>
    </xf>
    <xf numFmtId="0" fontId="24" fillId="12" borderId="0" xfId="5" applyFont="1" applyFill="1" applyAlignment="1">
      <alignment horizontal="left" wrapText="1"/>
    </xf>
    <xf numFmtId="0" fontId="54" fillId="12" borderId="0" xfId="0" applyFont="1" applyFill="1" applyAlignment="1">
      <alignment horizontal="center"/>
    </xf>
    <xf numFmtId="0" fontId="0" fillId="12" borderId="56" xfId="0" applyFill="1" applyBorder="1"/>
    <xf numFmtId="0" fontId="54" fillId="12" borderId="64" xfId="0" applyFont="1" applyFill="1" applyBorder="1"/>
    <xf numFmtId="0" fontId="54" fillId="12" borderId="57" xfId="0" applyFont="1" applyFill="1" applyBorder="1"/>
    <xf numFmtId="9" fontId="0" fillId="0" borderId="1" xfId="2" applyFont="1" applyBorder="1"/>
    <xf numFmtId="8" fontId="0" fillId="0" borderId="1" xfId="0" applyNumberFormat="1" applyBorder="1"/>
    <xf numFmtId="0" fontId="17" fillId="12" borderId="3" xfId="13" applyFont="1" applyFill="1" applyBorder="1"/>
    <xf numFmtId="39" fontId="0" fillId="0" borderId="0" xfId="6" applyNumberFormat="1" applyFont="1" applyFill="1" applyBorder="1" applyAlignment="1">
      <alignment horizontal="right"/>
    </xf>
    <xf numFmtId="0" fontId="17" fillId="12" borderId="13" xfId="13" applyFont="1" applyFill="1" applyBorder="1" applyAlignment="1">
      <alignment horizontal="center"/>
    </xf>
    <xf numFmtId="9" fontId="0" fillId="0" borderId="7" xfId="2" applyFont="1" applyBorder="1"/>
    <xf numFmtId="0" fontId="18" fillId="0" borderId="0" xfId="13" applyFont="1"/>
    <xf numFmtId="44" fontId="18" fillId="0" borderId="0" xfId="1" applyFont="1" applyFill="1" applyBorder="1"/>
    <xf numFmtId="0" fontId="18" fillId="0" borderId="0" xfId="13" applyFont="1" applyAlignment="1">
      <alignment horizontal="center"/>
    </xf>
    <xf numFmtId="9" fontId="0" fillId="0" borderId="0" xfId="2" applyFont="1" applyBorder="1"/>
    <xf numFmtId="39" fontId="0" fillId="0" borderId="4" xfId="6" applyNumberFormat="1" applyFont="1" applyFill="1" applyBorder="1" applyAlignment="1">
      <alignment horizontal="right"/>
    </xf>
    <xf numFmtId="0" fontId="17" fillId="12" borderId="14" xfId="13" applyFont="1" applyFill="1" applyBorder="1" applyAlignment="1">
      <alignment horizontal="left"/>
    </xf>
    <xf numFmtId="0" fontId="10" fillId="12" borderId="14" xfId="0" applyFont="1" applyFill="1" applyBorder="1" applyAlignment="1">
      <alignment horizontal="left"/>
    </xf>
    <xf numFmtId="0" fontId="10" fillId="12" borderId="11" xfId="0" applyFont="1" applyFill="1" applyBorder="1" applyAlignment="1">
      <alignment horizontal="left"/>
    </xf>
    <xf numFmtId="0" fontId="22" fillId="0" borderId="0" xfId="13" applyFont="1"/>
    <xf numFmtId="0" fontId="17" fillId="0" borderId="0" xfId="13" applyFont="1"/>
    <xf numFmtId="0" fontId="9" fillId="0" borderId="0" xfId="4" applyFill="1" applyBorder="1" applyAlignment="1">
      <alignment horizontal="left"/>
    </xf>
    <xf numFmtId="39" fontId="0" fillId="0" borderId="9" xfId="6" applyNumberFormat="1" applyFont="1" applyFill="1" applyBorder="1" applyAlignment="1">
      <alignment horizontal="right"/>
    </xf>
    <xf numFmtId="0" fontId="18" fillId="12" borderId="70" xfId="0" applyFont="1" applyFill="1" applyBorder="1"/>
    <xf numFmtId="0" fontId="18" fillId="12" borderId="22" xfId="0" applyFont="1" applyFill="1" applyBorder="1"/>
    <xf numFmtId="44" fontId="18" fillId="12" borderId="22" xfId="0" applyNumberFormat="1" applyFont="1" applyFill="1" applyBorder="1"/>
    <xf numFmtId="44" fontId="18" fillId="12" borderId="22" xfId="0" applyNumberFormat="1" applyFont="1" applyFill="1" applyBorder="1" applyAlignment="1">
      <alignment horizontal="center"/>
    </xf>
    <xf numFmtId="0" fontId="18" fillId="12" borderId="22" xfId="0" applyFont="1" applyFill="1" applyBorder="1" applyAlignment="1">
      <alignment horizontal="center"/>
    </xf>
    <xf numFmtId="0" fontId="18" fillId="12" borderId="22" xfId="0" applyFont="1" applyFill="1" applyBorder="1" applyAlignment="1">
      <alignment horizontal="left"/>
    </xf>
    <xf numFmtId="0" fontId="8" fillId="12" borderId="22" xfId="0" applyFont="1" applyFill="1" applyBorder="1"/>
    <xf numFmtId="0" fontId="0" fillId="12" borderId="22" xfId="0" applyFill="1" applyBorder="1"/>
    <xf numFmtId="9" fontId="0" fillId="12" borderId="22" xfId="0" applyNumberFormat="1" applyFill="1" applyBorder="1"/>
    <xf numFmtId="39" fontId="0" fillId="12" borderId="58" xfId="0" applyNumberFormat="1" applyFill="1" applyBorder="1" applyAlignment="1">
      <alignment horizontal="right"/>
    </xf>
    <xf numFmtId="0" fontId="37" fillId="12" borderId="70" xfId="0" applyFont="1" applyFill="1" applyBorder="1" applyAlignment="1">
      <alignment horizontal="right"/>
    </xf>
    <xf numFmtId="0" fontId="35" fillId="12" borderId="22" xfId="0" applyFont="1" applyFill="1" applyBorder="1" applyAlignment="1">
      <alignment horizontal="center"/>
    </xf>
    <xf numFmtId="0" fontId="18" fillId="12" borderId="64" xfId="13" applyFont="1" applyFill="1" applyBorder="1"/>
    <xf numFmtId="44" fontId="18" fillId="0" borderId="0" xfId="11" applyFont="1" applyFill="1" applyBorder="1"/>
    <xf numFmtId="10" fontId="18" fillId="0" borderId="0" xfId="2" applyNumberFormat="1" applyFont="1" applyFill="1" applyBorder="1"/>
    <xf numFmtId="44" fontId="18" fillId="0" borderId="0" xfId="1" applyFont="1" applyFill="1" applyBorder="1" applyAlignment="1">
      <alignment horizontal="center"/>
    </xf>
    <xf numFmtId="14" fontId="18" fillId="0" borderId="0" xfId="13" applyNumberFormat="1" applyFont="1" applyAlignment="1">
      <alignment horizontal="left"/>
    </xf>
    <xf numFmtId="9" fontId="0" fillId="0" borderId="0" xfId="2" applyFont="1" applyFill="1" applyBorder="1"/>
    <xf numFmtId="44" fontId="10" fillId="0" borderId="0" xfId="1" applyFont="1" applyFill="1" applyBorder="1" applyAlignment="1">
      <alignment horizontal="center"/>
    </xf>
    <xf numFmtId="0" fontId="10" fillId="0" borderId="0" xfId="0" applyFont="1" applyAlignment="1">
      <alignment horizontal="center"/>
    </xf>
    <xf numFmtId="10" fontId="10" fillId="0" borderId="0" xfId="0" applyNumberFormat="1" applyFont="1" applyAlignment="1">
      <alignment horizontal="center"/>
    </xf>
    <xf numFmtId="44" fontId="10" fillId="0" borderId="0" xfId="0" applyNumberFormat="1" applyFont="1" applyAlignment="1">
      <alignment horizontal="center"/>
    </xf>
    <xf numFmtId="0" fontId="10" fillId="0" borderId="0" xfId="0" applyFont="1" applyAlignment="1">
      <alignment horizontal="left"/>
    </xf>
    <xf numFmtId="10" fontId="8" fillId="0" borderId="0" xfId="2" applyNumberFormat="1" applyFont="1" applyFill="1" applyBorder="1"/>
    <xf numFmtId="0" fontId="0" fillId="12" borderId="32" xfId="0" applyFill="1" applyBorder="1"/>
    <xf numFmtId="44" fontId="10" fillId="12" borderId="28" xfId="1" applyFont="1" applyFill="1" applyBorder="1" applyAlignment="1">
      <alignment horizontal="center"/>
    </xf>
    <xf numFmtId="0" fontId="10" fillId="12" borderId="28" xfId="0" applyFont="1" applyFill="1" applyBorder="1" applyAlignment="1">
      <alignment horizontal="center"/>
    </xf>
    <xf numFmtId="10" fontId="10" fillId="12" borderId="28" xfId="0" applyNumberFormat="1" applyFont="1" applyFill="1" applyBorder="1" applyAlignment="1">
      <alignment horizontal="center"/>
    </xf>
    <xf numFmtId="44" fontId="10" fillId="12" borderId="28" xfId="0" applyNumberFormat="1" applyFont="1" applyFill="1" applyBorder="1" applyAlignment="1">
      <alignment horizontal="center"/>
    </xf>
    <xf numFmtId="10" fontId="8" fillId="12" borderId="24" xfId="2" applyNumberFormat="1" applyFont="1" applyFill="1" applyBorder="1"/>
    <xf numFmtId="0" fontId="0" fillId="12" borderId="26" xfId="0" applyFill="1" applyBorder="1"/>
    <xf numFmtId="0" fontId="0" fillId="0" borderId="36" xfId="0" applyBorder="1"/>
    <xf numFmtId="0" fontId="0" fillId="0" borderId="34" xfId="0" applyBorder="1"/>
    <xf numFmtId="4" fontId="40" fillId="12" borderId="95" xfId="13" applyNumberFormat="1" applyFont="1" applyFill="1" applyBorder="1" applyAlignment="1">
      <alignment horizontal="center"/>
    </xf>
    <xf numFmtId="0" fontId="40" fillId="12" borderId="95" xfId="13" applyFont="1" applyFill="1" applyBorder="1" applyAlignment="1">
      <alignment horizontal="center"/>
    </xf>
    <xf numFmtId="9" fontId="36" fillId="12" borderId="95" xfId="2" applyFont="1" applyFill="1" applyBorder="1" applyAlignment="1">
      <alignment horizontal="center"/>
    </xf>
    <xf numFmtId="0" fontId="6" fillId="0" borderId="0" xfId="16" applyFont="1" applyAlignment="1">
      <alignment horizontal="left"/>
    </xf>
    <xf numFmtId="0" fontId="6" fillId="0" borderId="0" xfId="16" applyFont="1" applyAlignment="1">
      <alignment horizontal="center"/>
    </xf>
    <xf numFmtId="0" fontId="6" fillId="0" borderId="0" xfId="16" applyFont="1"/>
    <xf numFmtId="0" fontId="6" fillId="7" borderId="0" xfId="16" applyFont="1" applyFill="1" applyAlignment="1">
      <alignment horizontal="left"/>
    </xf>
    <xf numFmtId="0" fontId="6" fillId="7" borderId="74" xfId="16" applyFont="1" applyFill="1" applyBorder="1" applyAlignment="1">
      <alignment horizontal="left"/>
    </xf>
    <xf numFmtId="0" fontId="6" fillId="7" borderId="74" xfId="16" applyFont="1" applyFill="1" applyBorder="1"/>
    <xf numFmtId="0" fontId="6" fillId="7" borderId="0" xfId="16" applyFont="1" applyFill="1"/>
    <xf numFmtId="0" fontId="51" fillId="7" borderId="0" xfId="16" applyFont="1" applyFill="1" applyAlignment="1">
      <alignment horizontal="center"/>
    </xf>
    <xf numFmtId="0" fontId="52" fillId="7" borderId="78" xfId="16" applyFont="1" applyFill="1" applyBorder="1" applyAlignment="1">
      <alignment horizontal="left"/>
    </xf>
    <xf numFmtId="0" fontId="52" fillId="7" borderId="0" xfId="16" applyFont="1" applyFill="1" applyAlignment="1">
      <alignment horizontal="right"/>
    </xf>
    <xf numFmtId="44" fontId="6" fillId="8" borderId="79" xfId="9" applyFill="1" applyBorder="1" applyAlignment="1" applyProtection="1">
      <alignment horizontal="right"/>
    </xf>
    <xf numFmtId="44" fontId="6" fillId="7" borderId="0" xfId="9" applyFill="1" applyAlignment="1" applyProtection="1">
      <alignment horizontal="right"/>
    </xf>
    <xf numFmtId="176" fontId="6" fillId="8" borderId="80" xfId="16" applyNumberFormat="1" applyFont="1" applyFill="1" applyBorder="1" applyAlignment="1">
      <alignment horizontal="right"/>
    </xf>
    <xf numFmtId="176" fontId="6" fillId="7" borderId="0" xfId="16" applyNumberFormat="1" applyFont="1" applyFill="1" applyAlignment="1">
      <alignment horizontal="right"/>
    </xf>
    <xf numFmtId="0" fontId="52" fillId="7" borderId="81" xfId="16" applyFont="1" applyFill="1" applyBorder="1" applyAlignment="1">
      <alignment horizontal="left"/>
    </xf>
    <xf numFmtId="0" fontId="52" fillId="7" borderId="74" xfId="16" applyFont="1" applyFill="1" applyBorder="1" applyAlignment="1">
      <alignment horizontal="right"/>
    </xf>
    <xf numFmtId="0" fontId="51" fillId="7" borderId="0" xfId="16" applyFont="1" applyFill="1" applyAlignment="1">
      <alignment horizontal="right"/>
    </xf>
    <xf numFmtId="0" fontId="51" fillId="7" borderId="0" xfId="16" applyFont="1" applyFill="1" applyAlignment="1">
      <alignment horizontal="center" wrapText="1"/>
    </xf>
    <xf numFmtId="0" fontId="6" fillId="0" borderId="0" xfId="16" applyFont="1" applyAlignment="1">
      <alignment wrapText="1"/>
    </xf>
    <xf numFmtId="0" fontId="6" fillId="7" borderId="76" xfId="16" applyFont="1" applyFill="1" applyBorder="1" applyAlignment="1">
      <alignment horizontal="left"/>
    </xf>
    <xf numFmtId="0" fontId="51" fillId="7" borderId="76" xfId="16" applyFont="1" applyFill="1" applyBorder="1" applyAlignment="1">
      <alignment horizontal="left" wrapText="1" indent="2"/>
    </xf>
    <xf numFmtId="0" fontId="51" fillId="7" borderId="76" xfId="16" applyFont="1" applyFill="1" applyBorder="1" applyAlignment="1">
      <alignment horizontal="left" wrapText="1" indent="3"/>
    </xf>
    <xf numFmtId="0" fontId="53" fillId="7" borderId="85" xfId="16" applyFont="1" applyFill="1" applyBorder="1" applyAlignment="1">
      <alignment horizontal="left"/>
    </xf>
    <xf numFmtId="14" fontId="53" fillId="7" borderId="85" xfId="16" applyNumberFormat="1" applyFont="1" applyFill="1" applyBorder="1" applyAlignment="1">
      <alignment horizontal="right"/>
    </xf>
    <xf numFmtId="44" fontId="53" fillId="7" borderId="85" xfId="9" applyFont="1" applyFill="1" applyBorder="1" applyAlignment="1" applyProtection="1">
      <alignment horizontal="right"/>
    </xf>
    <xf numFmtId="44" fontId="6" fillId="0" borderId="0" xfId="16" applyNumberFormat="1" applyFont="1" applyAlignment="1">
      <alignment wrapText="1"/>
    </xf>
    <xf numFmtId="0" fontId="53" fillId="7" borderId="86" xfId="16" applyFont="1" applyFill="1" applyBorder="1" applyAlignment="1">
      <alignment horizontal="left"/>
    </xf>
    <xf numFmtId="14" fontId="53" fillId="7" borderId="86" xfId="16" applyNumberFormat="1" applyFont="1" applyFill="1" applyBorder="1" applyAlignment="1">
      <alignment horizontal="right"/>
    </xf>
    <xf numFmtId="39" fontId="53" fillId="7" borderId="86" xfId="9" applyNumberFormat="1" applyFont="1" applyFill="1" applyBorder="1" applyAlignment="1" applyProtection="1">
      <alignment horizontal="right"/>
    </xf>
    <xf numFmtId="43" fontId="53" fillId="7" borderId="86" xfId="9" applyNumberFormat="1" applyFont="1" applyFill="1" applyBorder="1" applyAlignment="1" applyProtection="1">
      <alignment horizontal="right"/>
    </xf>
    <xf numFmtId="0" fontId="53" fillId="7" borderId="0" xfId="16" applyFont="1" applyFill="1" applyAlignment="1">
      <alignment horizontal="left"/>
    </xf>
    <xf numFmtId="14" fontId="53" fillId="7" borderId="0" xfId="16" applyNumberFormat="1" applyFont="1" applyFill="1" applyAlignment="1">
      <alignment horizontal="right"/>
    </xf>
    <xf numFmtId="39" fontId="53" fillId="7" borderId="0" xfId="9" applyNumberFormat="1" applyFont="1" applyFill="1" applyAlignment="1" applyProtection="1">
      <alignment horizontal="right"/>
    </xf>
    <xf numFmtId="43" fontId="53" fillId="7" borderId="0" xfId="9" applyNumberFormat="1" applyFont="1" applyFill="1" applyAlignment="1" applyProtection="1">
      <alignment horizontal="right"/>
    </xf>
    <xf numFmtId="175" fontId="6" fillId="8" borderId="80" xfId="16" applyNumberFormat="1" applyFont="1" applyFill="1" applyBorder="1" applyAlignment="1">
      <alignment horizontal="right"/>
    </xf>
    <xf numFmtId="14" fontId="6" fillId="8" borderId="80" xfId="16" applyNumberFormat="1" applyFont="1" applyFill="1" applyBorder="1" applyAlignment="1">
      <alignment horizontal="right"/>
    </xf>
    <xf numFmtId="44" fontId="6" fillId="8" borderId="80" xfId="9" applyFill="1" applyBorder="1" applyAlignment="1" applyProtection="1">
      <alignment horizontal="right"/>
    </xf>
    <xf numFmtId="0" fontId="6" fillId="7" borderId="84" xfId="16" applyFont="1" applyFill="1" applyBorder="1" applyAlignment="1">
      <alignment horizontal="left"/>
    </xf>
    <xf numFmtId="10" fontId="0" fillId="13" borderId="7" xfId="0" applyNumberFormat="1" applyFill="1" applyBorder="1" applyProtection="1">
      <protection locked="0"/>
    </xf>
    <xf numFmtId="10" fontId="0" fillId="13" borderId="16" xfId="0" applyNumberFormat="1" applyFill="1" applyBorder="1" applyProtection="1">
      <protection locked="0"/>
    </xf>
    <xf numFmtId="0" fontId="12" fillId="0" borderId="0" xfId="4" applyFont="1" applyAlignment="1" applyProtection="1">
      <alignment horizontal="left"/>
    </xf>
    <xf numFmtId="0" fontId="9" fillId="0" borderId="0" xfId="4" applyProtection="1"/>
    <xf numFmtId="42" fontId="8" fillId="0" borderId="1" xfId="1" applyNumberFormat="1" applyFont="1" applyFill="1" applyBorder="1" applyAlignment="1" applyProtection="1">
      <alignment vertical="top"/>
    </xf>
    <xf numFmtId="42" fontId="8" fillId="0" borderId="39" xfId="1" applyNumberFormat="1" applyFont="1" applyFill="1" applyBorder="1" applyAlignment="1" applyProtection="1">
      <alignment vertical="top"/>
    </xf>
    <xf numFmtId="169" fontId="10" fillId="12" borderId="28" xfId="7" applyNumberFormat="1" applyFont="1" applyFill="1" applyBorder="1" applyAlignment="1" applyProtection="1">
      <alignment vertical="top"/>
    </xf>
    <xf numFmtId="169" fontId="10" fillId="12" borderId="48" xfId="3" applyNumberFormat="1" applyFont="1" applyFill="1" applyBorder="1" applyAlignment="1">
      <alignment vertical="top"/>
    </xf>
    <xf numFmtId="14" fontId="18" fillId="0" borderId="14" xfId="13" applyNumberFormat="1" applyFont="1" applyBorder="1" applyProtection="1">
      <protection locked="0"/>
    </xf>
    <xf numFmtId="0" fontId="17" fillId="5" borderId="47" xfId="0" applyFont="1" applyFill="1" applyBorder="1" applyAlignment="1" applyProtection="1">
      <alignment horizontal="center"/>
      <protection locked="0"/>
    </xf>
    <xf numFmtId="0" fontId="18" fillId="0" borderId="5" xfId="13" applyFont="1" applyBorder="1" applyProtection="1">
      <protection locked="0"/>
    </xf>
    <xf numFmtId="0" fontId="18" fillId="0" borderId="1" xfId="13" applyFont="1" applyBorder="1" applyProtection="1">
      <protection locked="0"/>
    </xf>
    <xf numFmtId="44" fontId="18" fillId="0" borderId="1" xfId="1" applyFont="1" applyBorder="1" applyProtection="1">
      <protection locked="0"/>
    </xf>
    <xf numFmtId="44" fontId="18" fillId="0" borderId="1" xfId="11" applyFont="1" applyBorder="1" applyProtection="1">
      <protection locked="0"/>
    </xf>
    <xf numFmtId="10" fontId="18" fillId="0" borderId="1" xfId="2" applyNumberFormat="1" applyFont="1" applyBorder="1" applyProtection="1">
      <protection locked="0"/>
    </xf>
    <xf numFmtId="14" fontId="18" fillId="0" borderId="1" xfId="11" applyNumberFormat="1" applyFont="1" applyBorder="1" applyProtection="1">
      <protection locked="0"/>
    </xf>
    <xf numFmtId="44" fontId="18" fillId="0" borderId="1" xfId="1" applyFont="1" applyBorder="1" applyAlignment="1" applyProtection="1">
      <alignment horizontal="center"/>
      <protection locked="0"/>
    </xf>
    <xf numFmtId="0" fontId="18" fillId="0" borderId="1" xfId="13" applyFont="1" applyBorder="1" applyAlignment="1" applyProtection="1">
      <alignment horizontal="center"/>
      <protection locked="0"/>
    </xf>
    <xf numFmtId="0" fontId="8" fillId="5" borderId="1" xfId="0" applyFont="1" applyFill="1" applyBorder="1" applyProtection="1">
      <protection locked="0"/>
    </xf>
    <xf numFmtId="0" fontId="18" fillId="0" borderId="10" xfId="13" applyFont="1" applyBorder="1" applyProtection="1">
      <protection locked="0"/>
    </xf>
    <xf numFmtId="0" fontId="18" fillId="0" borderId="7" xfId="13" applyFont="1" applyBorder="1" applyProtection="1">
      <protection locked="0"/>
    </xf>
    <xf numFmtId="44" fontId="18" fillId="0" borderId="7" xfId="1" applyFont="1" applyBorder="1" applyProtection="1">
      <protection locked="0"/>
    </xf>
    <xf numFmtId="44" fontId="18" fillId="0" borderId="7" xfId="11" applyFont="1" applyBorder="1" applyProtection="1">
      <protection locked="0"/>
    </xf>
    <xf numFmtId="10" fontId="18" fillId="0" borderId="7" xfId="2" applyNumberFormat="1" applyFont="1" applyBorder="1" applyProtection="1">
      <protection locked="0"/>
    </xf>
    <xf numFmtId="44" fontId="18" fillId="0" borderId="7" xfId="1" applyFont="1" applyBorder="1" applyAlignment="1" applyProtection="1">
      <alignment horizontal="center"/>
      <protection locked="0"/>
    </xf>
    <xf numFmtId="14" fontId="18" fillId="0" borderId="7" xfId="13" applyNumberFormat="1" applyFont="1" applyBorder="1" applyAlignment="1" applyProtection="1">
      <alignment horizontal="left"/>
      <protection locked="0"/>
    </xf>
    <xf numFmtId="0" fontId="8" fillId="5" borderId="7" xfId="0" applyFont="1" applyFill="1" applyBorder="1" applyProtection="1">
      <protection locked="0"/>
    </xf>
    <xf numFmtId="44" fontId="0" fillId="12" borderId="22" xfId="0" applyNumberFormat="1" applyFill="1" applyBorder="1"/>
    <xf numFmtId="0" fontId="17" fillId="12" borderId="38" xfId="13" applyFont="1" applyFill="1" applyBorder="1"/>
    <xf numFmtId="0" fontId="22" fillId="3" borderId="56" xfId="10" applyFont="1" applyFill="1" applyBorder="1" applyAlignment="1">
      <alignment horizontal="center"/>
    </xf>
    <xf numFmtId="0" fontId="22" fillId="3" borderId="64" xfId="10" applyFont="1" applyFill="1" applyBorder="1" applyAlignment="1">
      <alignment horizontal="center"/>
    </xf>
    <xf numFmtId="0" fontId="44" fillId="0" borderId="0" xfId="0" applyFont="1"/>
    <xf numFmtId="0" fontId="18" fillId="12" borderId="14" xfId="10" applyFont="1" applyFill="1" applyBorder="1" applyAlignment="1">
      <alignment vertical="top" wrapText="1"/>
    </xf>
    <xf numFmtId="14" fontId="18" fillId="12" borderId="14" xfId="10" applyNumberFormat="1" applyFont="1" applyFill="1" applyBorder="1" applyAlignment="1">
      <alignment horizontal="center" vertical="center" wrapText="1"/>
    </xf>
    <xf numFmtId="14" fontId="18" fillId="12" borderId="15" xfId="10" applyNumberFormat="1" applyFont="1" applyFill="1" applyBorder="1" applyAlignment="1">
      <alignment vertical="top" wrapText="1"/>
    </xf>
    <xf numFmtId="0" fontId="18" fillId="12" borderId="0" xfId="10" applyFont="1" applyFill="1" applyAlignment="1">
      <alignment vertical="top"/>
    </xf>
    <xf numFmtId="0" fontId="18" fillId="12" borderId="34" xfId="10" applyFont="1" applyFill="1" applyBorder="1" applyAlignment="1">
      <alignment vertical="top"/>
    </xf>
    <xf numFmtId="0" fontId="18" fillId="12" borderId="35" xfId="10" applyFont="1" applyFill="1" applyBorder="1" applyAlignment="1">
      <alignment vertical="top" wrapText="1"/>
    </xf>
    <xf numFmtId="0" fontId="18" fillId="12" borderId="1" xfId="10" applyFont="1" applyFill="1" applyBorder="1" applyAlignment="1">
      <alignment vertical="top" wrapText="1"/>
    </xf>
    <xf numFmtId="1" fontId="18" fillId="12" borderId="1" xfId="10" applyNumberFormat="1" applyFont="1" applyFill="1" applyBorder="1" applyAlignment="1">
      <alignment vertical="top" wrapText="1"/>
    </xf>
    <xf numFmtId="1" fontId="18" fillId="12" borderId="15" xfId="10" applyNumberFormat="1" applyFont="1" applyFill="1" applyBorder="1" applyAlignment="1">
      <alignment vertical="top" wrapText="1"/>
    </xf>
    <xf numFmtId="42" fontId="18" fillId="12" borderId="1" xfId="10" applyNumberFormat="1" applyFont="1" applyFill="1" applyBorder="1" applyAlignment="1">
      <alignment vertical="top" wrapText="1"/>
    </xf>
    <xf numFmtId="6" fontId="18" fillId="12" borderId="15" xfId="10" applyNumberFormat="1" applyFont="1" applyFill="1" applyBorder="1" applyAlignment="1">
      <alignment vertical="top" wrapText="1"/>
    </xf>
    <xf numFmtId="167" fontId="18" fillId="12" borderId="1" xfId="10" applyNumberFormat="1" applyFont="1" applyFill="1" applyBorder="1" applyAlignment="1">
      <alignment vertical="top" wrapText="1"/>
    </xf>
    <xf numFmtId="167" fontId="18" fillId="12" borderId="15" xfId="10" applyNumberFormat="1" applyFont="1" applyFill="1" applyBorder="1" applyAlignment="1">
      <alignment vertical="top" wrapText="1"/>
    </xf>
    <xf numFmtId="6" fontId="18" fillId="12" borderId="34" xfId="10" applyNumberFormat="1" applyFont="1" applyFill="1" applyBorder="1" applyAlignment="1">
      <alignment vertical="top" wrapText="1"/>
    </xf>
    <xf numFmtId="9" fontId="18" fillId="12" borderId="1" xfId="12" applyFont="1" applyFill="1" applyBorder="1" applyAlignment="1" applyProtection="1">
      <alignment vertical="top" wrapText="1"/>
    </xf>
    <xf numFmtId="9" fontId="18" fillId="12" borderId="15" xfId="12" applyFont="1" applyFill="1" applyBorder="1" applyAlignment="1" applyProtection="1">
      <alignment vertical="top" wrapText="1"/>
    </xf>
    <xf numFmtId="10" fontId="18" fillId="12" borderId="1" xfId="12" applyNumberFormat="1" applyFont="1" applyFill="1" applyBorder="1" applyAlignment="1" applyProtection="1">
      <alignment vertical="top" wrapText="1"/>
    </xf>
    <xf numFmtId="10" fontId="18" fillId="12" borderId="1" xfId="10" applyNumberFormat="1" applyFont="1" applyFill="1" applyBorder="1" applyAlignment="1">
      <alignment vertical="top" wrapText="1"/>
    </xf>
    <xf numFmtId="9" fontId="18" fillId="12" borderId="15" xfId="10" applyNumberFormat="1" applyFont="1" applyFill="1" applyBorder="1" applyAlignment="1">
      <alignment vertical="top" wrapText="1"/>
    </xf>
    <xf numFmtId="10" fontId="18" fillId="12" borderId="1" xfId="2" applyNumberFormat="1" applyFont="1" applyFill="1" applyBorder="1" applyAlignment="1" applyProtection="1">
      <alignment vertical="top" wrapText="1"/>
    </xf>
    <xf numFmtId="169" fontId="18" fillId="12" borderId="1" xfId="10" applyNumberFormat="1" applyFont="1" applyFill="1" applyBorder="1" applyAlignment="1">
      <alignment horizontal="center" vertical="top" wrapText="1"/>
    </xf>
    <xf numFmtId="0" fontId="18" fillId="12" borderId="34" xfId="10" applyFont="1" applyFill="1" applyBorder="1" applyAlignment="1">
      <alignment vertical="top" wrapText="1"/>
    </xf>
    <xf numFmtId="9" fontId="18" fillId="12" borderId="34" xfId="10" applyNumberFormat="1" applyFont="1" applyFill="1" applyBorder="1" applyAlignment="1">
      <alignment horizontal="center" vertical="top" wrapText="1"/>
    </xf>
    <xf numFmtId="165" fontId="18" fillId="12" borderId="1" xfId="1" applyNumberFormat="1" applyFont="1" applyFill="1" applyBorder="1" applyAlignment="1" applyProtection="1">
      <alignment vertical="top" wrapText="1"/>
    </xf>
    <xf numFmtId="2" fontId="18" fillId="12" borderId="1" xfId="10" applyNumberFormat="1" applyFont="1" applyFill="1" applyBorder="1" applyAlignment="1">
      <alignment vertical="top" wrapText="1"/>
    </xf>
    <xf numFmtId="2" fontId="18" fillId="12" borderId="15" xfId="10" applyNumberFormat="1" applyFont="1" applyFill="1" applyBorder="1" applyAlignment="1">
      <alignment vertical="top" wrapText="1"/>
    </xf>
    <xf numFmtId="10" fontId="18" fillId="12" borderId="34" xfId="10" applyNumberFormat="1" applyFont="1" applyFill="1" applyBorder="1" applyAlignment="1">
      <alignment horizontal="center" vertical="top" wrapText="1"/>
    </xf>
    <xf numFmtId="2" fontId="18" fillId="12" borderId="34" xfId="10" applyNumberFormat="1" applyFont="1" applyFill="1" applyBorder="1" applyAlignment="1">
      <alignment vertical="top" wrapText="1"/>
    </xf>
    <xf numFmtId="0" fontId="17" fillId="12" borderId="36" xfId="10" applyFont="1" applyFill="1" applyBorder="1" applyAlignment="1">
      <alignment vertical="top"/>
    </xf>
    <xf numFmtId="0" fontId="17" fillId="12" borderId="0" xfId="10" applyFont="1" applyFill="1" applyAlignment="1">
      <alignment vertical="top"/>
    </xf>
    <xf numFmtId="0" fontId="3" fillId="12" borderId="36" xfId="0" applyFont="1" applyFill="1" applyBorder="1"/>
    <xf numFmtId="0" fontId="3" fillId="12" borderId="0" xfId="0" applyFont="1" applyFill="1"/>
    <xf numFmtId="0" fontId="3" fillId="12" borderId="0" xfId="0" applyFont="1" applyFill="1" applyAlignment="1">
      <alignment horizontal="center"/>
    </xf>
    <xf numFmtId="0" fontId="18" fillId="12" borderId="36" xfId="10" applyFont="1" applyFill="1" applyBorder="1" applyAlignment="1">
      <alignment vertical="top"/>
    </xf>
    <xf numFmtId="0" fontId="18" fillId="12" borderId="36" xfId="10" applyFont="1" applyFill="1" applyBorder="1" applyAlignment="1">
      <alignment vertical="top" wrapText="1"/>
    </xf>
    <xf numFmtId="0" fontId="18" fillId="12" borderId="33" xfId="10" applyFont="1" applyFill="1" applyBorder="1" applyAlignment="1">
      <alignment vertical="top"/>
    </xf>
    <xf numFmtId="0" fontId="18" fillId="12" borderId="15" xfId="10" applyFont="1" applyFill="1" applyBorder="1" applyAlignment="1">
      <alignment vertical="top"/>
    </xf>
    <xf numFmtId="166" fontId="18" fillId="12" borderId="14" xfId="10" applyNumberFormat="1" applyFont="1" applyFill="1" applyBorder="1" applyAlignment="1">
      <alignment vertical="center"/>
    </xf>
    <xf numFmtId="166" fontId="18" fillId="12" borderId="0" xfId="10" applyNumberFormat="1" applyFont="1" applyFill="1" applyAlignment="1">
      <alignment vertical="center"/>
    </xf>
    <xf numFmtId="0" fontId="18" fillId="12" borderId="14" xfId="10" applyFont="1" applyFill="1" applyBorder="1" applyAlignment="1">
      <alignment vertical="center"/>
    </xf>
    <xf numFmtId="0" fontId="18" fillId="12" borderId="0" xfId="10" applyFont="1" applyFill="1" applyAlignment="1">
      <alignment horizontal="right" vertical="top"/>
    </xf>
    <xf numFmtId="0" fontId="18" fillId="12" borderId="35" xfId="10" applyFont="1" applyFill="1" applyBorder="1" applyAlignment="1">
      <alignment vertical="top"/>
    </xf>
    <xf numFmtId="1" fontId="18" fillId="12" borderId="1" xfId="10" applyNumberFormat="1" applyFont="1" applyFill="1" applyBorder="1" applyAlignment="1">
      <alignment vertical="center"/>
    </xf>
    <xf numFmtId="1" fontId="18" fillId="12" borderId="0" xfId="10" applyNumberFormat="1" applyFont="1" applyFill="1" applyAlignment="1">
      <alignment vertical="center"/>
    </xf>
    <xf numFmtId="0" fontId="18" fillId="12" borderId="1" xfId="10" applyFont="1" applyFill="1" applyBorder="1" applyAlignment="1">
      <alignment vertical="center"/>
    </xf>
    <xf numFmtId="0" fontId="17" fillId="12" borderId="0" xfId="10" applyFont="1" applyFill="1" applyAlignment="1">
      <alignment vertical="top" wrapText="1"/>
    </xf>
    <xf numFmtId="0" fontId="17" fillId="12" borderId="34" xfId="10" applyFont="1" applyFill="1" applyBorder="1" applyAlignment="1">
      <alignment vertical="top" wrapText="1"/>
    </xf>
    <xf numFmtId="14" fontId="19" fillId="12" borderId="0" xfId="10" applyNumberFormat="1" applyFont="1" applyFill="1" applyAlignment="1">
      <alignment vertical="top"/>
    </xf>
    <xf numFmtId="0" fontId="17" fillId="12" borderId="34" xfId="10" applyFont="1" applyFill="1" applyBorder="1" applyAlignment="1">
      <alignment vertical="top"/>
    </xf>
    <xf numFmtId="2" fontId="18" fillId="12" borderId="1" xfId="10" applyNumberFormat="1" applyFont="1" applyFill="1" applyBorder="1" applyAlignment="1">
      <alignment horizontal="center" vertical="top"/>
    </xf>
    <xf numFmtId="2" fontId="18" fillId="12" borderId="15" xfId="10" applyNumberFormat="1" applyFont="1" applyFill="1" applyBorder="1" applyAlignment="1">
      <alignment vertical="top"/>
    </xf>
    <xf numFmtId="2" fontId="18" fillId="12" borderId="2" xfId="10" applyNumberFormat="1" applyFont="1" applyFill="1" applyBorder="1" applyAlignment="1">
      <alignment vertical="top"/>
    </xf>
    <xf numFmtId="2" fontId="18" fillId="12" borderId="0" xfId="10" applyNumberFormat="1" applyFont="1" applyFill="1" applyAlignment="1">
      <alignment vertical="top"/>
    </xf>
    <xf numFmtId="1" fontId="18" fillId="12" borderId="1" xfId="10" applyNumberFormat="1" applyFont="1" applyFill="1" applyBorder="1" applyAlignment="1">
      <alignment horizontal="center" vertical="top"/>
    </xf>
    <xf numFmtId="1" fontId="18" fillId="12" borderId="15" xfId="10" applyNumberFormat="1" applyFont="1" applyFill="1" applyBorder="1" applyAlignment="1">
      <alignment vertical="top"/>
    </xf>
    <xf numFmtId="1" fontId="18" fillId="12" borderId="2" xfId="10" applyNumberFormat="1" applyFont="1" applyFill="1" applyBorder="1" applyAlignment="1">
      <alignment vertical="top"/>
    </xf>
    <xf numFmtId="1" fontId="18" fillId="12" borderId="0" xfId="10" applyNumberFormat="1" applyFont="1" applyFill="1" applyAlignment="1">
      <alignment vertical="top"/>
    </xf>
    <xf numFmtId="41" fontId="18" fillId="12" borderId="1" xfId="6" applyNumberFormat="1" applyFont="1" applyFill="1" applyBorder="1" applyAlignment="1" applyProtection="1">
      <alignment horizontal="center" vertical="top"/>
    </xf>
    <xf numFmtId="0" fontId="18" fillId="12" borderId="34" xfId="10" applyFont="1" applyFill="1" applyBorder="1" applyAlignment="1">
      <alignment horizontal="center" vertical="top"/>
    </xf>
    <xf numFmtId="2" fontId="18" fillId="12" borderId="1" xfId="10" applyNumberFormat="1" applyFont="1" applyFill="1" applyBorder="1" applyAlignment="1">
      <alignment vertical="top"/>
    </xf>
    <xf numFmtId="2" fontId="45" fillId="12" borderId="0" xfId="10" applyNumberFormat="1" applyFont="1" applyFill="1" applyAlignment="1">
      <alignment vertical="top"/>
    </xf>
    <xf numFmtId="2" fontId="18" fillId="12" borderId="36" xfId="10" applyNumberFormat="1" applyFont="1" applyFill="1" applyBorder="1" applyAlignment="1">
      <alignment horizontal="left" vertical="top"/>
    </xf>
    <xf numFmtId="2" fontId="18" fillId="12" borderId="0" xfId="10" applyNumberFormat="1" applyFont="1" applyFill="1" applyAlignment="1">
      <alignment horizontal="left" vertical="top"/>
    </xf>
    <xf numFmtId="0" fontId="18" fillId="12" borderId="36" xfId="10" applyFont="1" applyFill="1" applyBorder="1" applyAlignment="1">
      <alignment horizontal="right" vertical="top"/>
    </xf>
    <xf numFmtId="0" fontId="18" fillId="12" borderId="9" xfId="10" applyFont="1" applyFill="1" applyBorder="1" applyAlignment="1">
      <alignment vertical="top"/>
    </xf>
    <xf numFmtId="0" fontId="18" fillId="12" borderId="3" xfId="10" applyFont="1" applyFill="1" applyBorder="1" applyAlignment="1">
      <alignment vertical="top"/>
    </xf>
    <xf numFmtId="0" fontId="18" fillId="12" borderId="15" xfId="10" applyFont="1" applyFill="1" applyBorder="1" applyAlignment="1">
      <alignment vertical="top" wrapText="1"/>
    </xf>
    <xf numFmtId="167" fontId="18" fillId="12" borderId="0" xfId="10" applyNumberFormat="1" applyFont="1" applyFill="1" applyAlignment="1">
      <alignment vertical="top" wrapText="1"/>
    </xf>
    <xf numFmtId="9" fontId="18" fillId="12" borderId="37" xfId="12" applyFont="1" applyFill="1" applyBorder="1" applyAlignment="1" applyProtection="1">
      <alignment vertical="top" wrapText="1"/>
    </xf>
    <xf numFmtId="9" fontId="18" fillId="12" borderId="0" xfId="12" applyFont="1" applyFill="1" applyBorder="1" applyAlignment="1" applyProtection="1">
      <alignment vertical="top" wrapText="1"/>
    </xf>
    <xf numFmtId="0" fontId="18" fillId="12" borderId="8" xfId="10" applyFont="1" applyFill="1" applyBorder="1" applyAlignment="1">
      <alignment vertical="top" wrapText="1"/>
    </xf>
    <xf numFmtId="0" fontId="18" fillId="12" borderId="2" xfId="10" applyFont="1" applyFill="1" applyBorder="1" applyAlignment="1">
      <alignment vertical="top"/>
    </xf>
    <xf numFmtId="0" fontId="18" fillId="12" borderId="12" xfId="10" applyFont="1" applyFill="1" applyBorder="1" applyAlignment="1">
      <alignment vertical="top"/>
    </xf>
    <xf numFmtId="9" fontId="18" fillId="12" borderId="2" xfId="12" applyFont="1" applyFill="1" applyBorder="1" applyAlignment="1" applyProtection="1">
      <alignment vertical="top" wrapText="1"/>
    </xf>
    <xf numFmtId="0" fontId="18" fillId="5" borderId="1" xfId="10" applyFont="1" applyFill="1" applyBorder="1" applyAlignment="1" applyProtection="1">
      <alignment vertical="top"/>
      <protection locked="0"/>
    </xf>
    <xf numFmtId="2" fontId="18" fillId="0" borderId="1" xfId="10" applyNumberFormat="1" applyFont="1" applyBorder="1" applyAlignment="1" applyProtection="1">
      <alignment horizontal="center" vertical="top"/>
      <protection locked="0"/>
    </xf>
    <xf numFmtId="1" fontId="18" fillId="0" borderId="1" xfId="10" applyNumberFormat="1" applyFont="1" applyBorder="1" applyAlignment="1" applyProtection="1">
      <alignment horizontal="center" vertical="top"/>
      <protection locked="0"/>
    </xf>
    <xf numFmtId="0" fontId="18" fillId="0" borderId="1" xfId="10" applyFont="1" applyBorder="1" applyAlignment="1" applyProtection="1">
      <alignment horizontal="center" vertical="top"/>
      <protection locked="0"/>
    </xf>
    <xf numFmtId="2" fontId="45" fillId="5" borderId="1" xfId="10" applyNumberFormat="1" applyFont="1" applyFill="1" applyBorder="1" applyAlignment="1" applyProtection="1">
      <alignment vertical="top"/>
      <protection locked="0"/>
    </xf>
    <xf numFmtId="0" fontId="0" fillId="5" borderId="29" xfId="0" applyFill="1" applyBorder="1"/>
    <xf numFmtId="0" fontId="0" fillId="5" borderId="19" xfId="0" applyFill="1" applyBorder="1"/>
    <xf numFmtId="0" fontId="0" fillId="5" borderId="30" xfId="0" applyFill="1" applyBorder="1"/>
    <xf numFmtId="0" fontId="0" fillId="5" borderId="36" xfId="0" applyFill="1" applyBorder="1"/>
    <xf numFmtId="0" fontId="0" fillId="5" borderId="0" xfId="0" applyFill="1"/>
    <xf numFmtId="0" fontId="0" fillId="5" borderId="34" xfId="0" applyFill="1" applyBorder="1"/>
    <xf numFmtId="166" fontId="18" fillId="12" borderId="1" xfId="10" applyNumberFormat="1" applyFont="1" applyFill="1" applyBorder="1" applyAlignment="1">
      <alignment horizontal="center" vertical="center" wrapText="1"/>
    </xf>
    <xf numFmtId="0" fontId="18" fillId="12" borderId="1" xfId="10" applyFont="1" applyFill="1" applyBorder="1" applyAlignment="1">
      <alignment horizontal="center" wrapText="1"/>
    </xf>
    <xf numFmtId="0" fontId="18" fillId="12" borderId="1" xfId="10" applyFont="1" applyFill="1" applyBorder="1" applyAlignment="1">
      <alignment horizontal="center" vertical="center" wrapText="1"/>
    </xf>
    <xf numFmtId="0" fontId="0" fillId="5" borderId="42" xfId="0" applyFill="1" applyBorder="1"/>
    <xf numFmtId="0" fontId="0" fillId="5" borderId="27" xfId="0" applyFill="1" applyBorder="1"/>
    <xf numFmtId="0" fontId="0" fillId="5" borderId="43" xfId="0" applyFill="1" applyBorder="1"/>
    <xf numFmtId="1" fontId="18" fillId="12" borderId="1" xfId="10" applyNumberFormat="1" applyFont="1" applyFill="1" applyBorder="1" applyAlignment="1">
      <alignment horizontal="center" vertical="center" wrapText="1"/>
    </xf>
    <xf numFmtId="1" fontId="18" fillId="12" borderId="0" xfId="10" applyNumberFormat="1" applyFont="1" applyFill="1" applyAlignment="1">
      <alignment horizontal="center" vertical="center" wrapText="1"/>
    </xf>
    <xf numFmtId="42" fontId="18" fillId="17" borderId="7" xfId="10" applyNumberFormat="1" applyFont="1" applyFill="1" applyBorder="1"/>
    <xf numFmtId="42" fontId="18" fillId="18" borderId="7" xfId="10" applyNumberFormat="1" applyFont="1" applyFill="1" applyBorder="1"/>
    <xf numFmtId="42" fontId="18" fillId="17" borderId="15" xfId="10" applyNumberFormat="1" applyFont="1" applyFill="1" applyBorder="1"/>
    <xf numFmtId="42" fontId="18" fillId="17" borderId="14" xfId="10" applyNumberFormat="1" applyFont="1" applyFill="1" applyBorder="1"/>
    <xf numFmtId="42" fontId="18" fillId="18" borderId="15" xfId="10" applyNumberFormat="1" applyFont="1" applyFill="1" applyBorder="1"/>
    <xf numFmtId="42" fontId="54" fillId="17" borderId="50" xfId="0" applyNumberFormat="1" applyFont="1" applyFill="1" applyBorder="1"/>
    <xf numFmtId="0" fontId="54" fillId="12" borderId="19" xfId="0" applyFont="1" applyFill="1" applyBorder="1"/>
    <xf numFmtId="0" fontId="54" fillId="12" borderId="30" xfId="0" applyFont="1" applyFill="1" applyBorder="1"/>
    <xf numFmtId="42" fontId="54" fillId="17" borderId="1" xfId="0" applyNumberFormat="1" applyFont="1" applyFill="1" applyBorder="1"/>
    <xf numFmtId="42" fontId="54" fillId="17" borderId="7" xfId="0" applyNumberFormat="1" applyFont="1" applyFill="1" applyBorder="1"/>
    <xf numFmtId="42" fontId="18" fillId="18" borderId="16" xfId="10" applyNumberFormat="1" applyFont="1" applyFill="1" applyBorder="1"/>
    <xf numFmtId="169" fontId="54" fillId="17" borderId="1" xfId="2" applyNumberFormat="1" applyFont="1" applyFill="1" applyBorder="1" applyProtection="1"/>
    <xf numFmtId="9" fontId="18" fillId="12" borderId="0" xfId="10" applyNumberFormat="1" applyFont="1" applyFill="1" applyAlignment="1">
      <alignment horizontal="left"/>
    </xf>
    <xf numFmtId="42" fontId="18" fillId="17" borderId="95" xfId="10" applyNumberFormat="1" applyFont="1" applyFill="1" applyBorder="1"/>
    <xf numFmtId="42" fontId="18" fillId="12" borderId="14" xfId="10" applyNumberFormat="1" applyFont="1" applyFill="1" applyBorder="1"/>
    <xf numFmtId="0" fontId="54" fillId="0" borderId="0" xfId="0" applyFont="1" applyAlignment="1">
      <alignment wrapText="1"/>
    </xf>
    <xf numFmtId="0" fontId="54" fillId="12" borderId="29" xfId="0" applyFont="1" applyFill="1" applyBorder="1"/>
    <xf numFmtId="173" fontId="54" fillId="12" borderId="0" xfId="0" applyNumberFormat="1" applyFont="1" applyFill="1"/>
    <xf numFmtId="0" fontId="54" fillId="12" borderId="31" xfId="0" applyFont="1" applyFill="1" applyBorder="1"/>
    <xf numFmtId="173" fontId="54" fillId="12" borderId="12" xfId="0" applyNumberFormat="1" applyFont="1" applyFill="1" applyBorder="1"/>
    <xf numFmtId="9" fontId="55" fillId="12" borderId="36" xfId="0" applyNumberFormat="1" applyFont="1" applyFill="1" applyBorder="1"/>
    <xf numFmtId="173" fontId="55" fillId="12" borderId="0" xfId="0" applyNumberFormat="1" applyFont="1" applyFill="1"/>
    <xf numFmtId="42" fontId="17" fillId="12" borderId="15" xfId="10" applyNumberFormat="1" applyFont="1" applyFill="1" applyBorder="1"/>
    <xf numFmtId="42" fontId="17" fillId="12" borderId="1" xfId="10" applyNumberFormat="1" applyFont="1" applyFill="1" applyBorder="1"/>
    <xf numFmtId="42" fontId="18" fillId="12" borderId="15" xfId="10" applyNumberFormat="1" applyFont="1" applyFill="1" applyBorder="1"/>
    <xf numFmtId="49" fontId="18" fillId="17" borderId="60" xfId="10" applyNumberFormat="1" applyFont="1" applyFill="1" applyBorder="1"/>
    <xf numFmtId="42" fontId="18" fillId="12" borderId="8" xfId="10" applyNumberFormat="1" applyFont="1" applyFill="1" applyBorder="1"/>
    <xf numFmtId="49" fontId="18" fillId="12" borderId="9" xfId="10" applyNumberFormat="1" applyFont="1" applyFill="1" applyBorder="1"/>
    <xf numFmtId="49" fontId="18" fillId="12" borderId="30" xfId="10" applyNumberFormat="1" applyFont="1" applyFill="1" applyBorder="1"/>
    <xf numFmtId="49" fontId="18" fillId="17" borderId="55" xfId="10" applyNumberFormat="1" applyFont="1" applyFill="1" applyBorder="1"/>
    <xf numFmtId="49" fontId="18" fillId="12" borderId="2" xfId="10" applyNumberFormat="1" applyFont="1" applyFill="1" applyBorder="1"/>
    <xf numFmtId="49" fontId="18" fillId="12" borderId="0" xfId="10" applyNumberFormat="1" applyFont="1" applyFill="1"/>
    <xf numFmtId="49" fontId="18" fillId="12" borderId="34" xfId="10" applyNumberFormat="1" applyFont="1" applyFill="1" applyBorder="1"/>
    <xf numFmtId="49" fontId="18" fillId="17" borderId="73" xfId="10" applyNumberFormat="1" applyFont="1" applyFill="1" applyBorder="1"/>
    <xf numFmtId="42" fontId="18" fillId="12" borderId="64" xfId="10" applyNumberFormat="1" applyFont="1" applyFill="1" applyBorder="1"/>
    <xf numFmtId="167" fontId="18" fillId="12" borderId="57" xfId="10" applyNumberFormat="1" applyFont="1" applyFill="1" applyBorder="1"/>
    <xf numFmtId="42" fontId="18" fillId="17" borderId="0" xfId="6" applyNumberFormat="1" applyFont="1" applyFill="1" applyProtection="1"/>
    <xf numFmtId="49" fontId="18" fillId="12" borderId="88" xfId="10" applyNumberFormat="1" applyFont="1" applyFill="1" applyBorder="1"/>
    <xf numFmtId="49" fontId="18" fillId="12" borderId="16" xfId="10" applyNumberFormat="1" applyFont="1" applyFill="1" applyBorder="1"/>
    <xf numFmtId="49" fontId="18" fillId="12" borderId="23" xfId="10" applyNumberFormat="1" applyFont="1" applyFill="1" applyBorder="1"/>
    <xf numFmtId="49" fontId="18" fillId="12" borderId="43" xfId="10" applyNumberFormat="1" applyFont="1" applyFill="1" applyBorder="1"/>
    <xf numFmtId="167" fontId="18" fillId="12" borderId="43" xfId="10" applyNumberFormat="1" applyFont="1" applyFill="1" applyBorder="1"/>
    <xf numFmtId="42" fontId="18" fillId="12" borderId="7" xfId="10" applyNumberFormat="1" applyFont="1" applyFill="1" applyBorder="1"/>
    <xf numFmtId="42" fontId="18" fillId="0" borderId="0" xfId="10" applyNumberFormat="1" applyFont="1"/>
    <xf numFmtId="49" fontId="18" fillId="12" borderId="6" xfId="10" applyNumberFormat="1" applyFont="1" applyFill="1" applyBorder="1"/>
    <xf numFmtId="42" fontId="18" fillId="17" borderId="28" xfId="10" applyNumberFormat="1" applyFont="1" applyFill="1" applyBorder="1"/>
    <xf numFmtId="42" fontId="18" fillId="12" borderId="27" xfId="10" applyNumberFormat="1" applyFont="1" applyFill="1" applyBorder="1"/>
    <xf numFmtId="42" fontId="18" fillId="12" borderId="19" xfId="10" applyNumberFormat="1" applyFont="1" applyFill="1" applyBorder="1"/>
    <xf numFmtId="167" fontId="18" fillId="12" borderId="88" xfId="10" applyNumberFormat="1" applyFont="1" applyFill="1" applyBorder="1"/>
    <xf numFmtId="2" fontId="17" fillId="12" borderId="34" xfId="10" applyNumberFormat="1" applyFont="1" applyFill="1" applyBorder="1"/>
    <xf numFmtId="2" fontId="17" fillId="12" borderId="11" xfId="10" applyNumberFormat="1" applyFont="1" applyFill="1" applyBorder="1"/>
    <xf numFmtId="2" fontId="17" fillId="12" borderId="32" xfId="10" applyNumberFormat="1" applyFont="1" applyFill="1" applyBorder="1"/>
    <xf numFmtId="2" fontId="17" fillId="12" borderId="2" xfId="10" applyNumberFormat="1" applyFont="1" applyFill="1" applyBorder="1"/>
    <xf numFmtId="42" fontId="18" fillId="12" borderId="0" xfId="10" applyNumberFormat="1" applyFont="1" applyFill="1"/>
    <xf numFmtId="167" fontId="18" fillId="12" borderId="2" xfId="10" applyNumberFormat="1" applyFont="1" applyFill="1" applyBorder="1"/>
    <xf numFmtId="4" fontId="17" fillId="12" borderId="11" xfId="10" applyNumberFormat="1" applyFont="1" applyFill="1" applyBorder="1"/>
    <xf numFmtId="0" fontId="18" fillId="0" borderId="7" xfId="10" applyFont="1" applyBorder="1" applyProtection="1">
      <protection locked="0"/>
    </xf>
    <xf numFmtId="0" fontId="17" fillId="0" borderId="15" xfId="10" applyFont="1" applyBorder="1" applyProtection="1">
      <protection locked="0"/>
    </xf>
    <xf numFmtId="9" fontId="18" fillId="0" borderId="15" xfId="12" applyFont="1" applyFill="1" applyBorder="1" applyAlignment="1" applyProtection="1">
      <alignment horizontal="right"/>
      <protection locked="0"/>
    </xf>
    <xf numFmtId="49" fontId="18" fillId="0" borderId="7" xfId="10" applyNumberFormat="1" applyFont="1" applyBorder="1" applyProtection="1">
      <protection locked="0"/>
    </xf>
    <xf numFmtId="49" fontId="18" fillId="0" borderId="18" xfId="10" applyNumberFormat="1" applyFont="1" applyBorder="1" applyProtection="1">
      <protection locked="0"/>
    </xf>
    <xf numFmtId="0" fontId="18" fillId="0" borderId="6" xfId="10" applyFont="1" applyBorder="1" applyProtection="1">
      <protection locked="0"/>
    </xf>
    <xf numFmtId="0" fontId="18" fillId="0" borderId="18" xfId="10" applyFont="1" applyBorder="1" applyProtection="1">
      <protection locked="0"/>
    </xf>
    <xf numFmtId="42" fontId="0" fillId="0" borderId="10" xfId="0" applyNumberFormat="1" applyBorder="1" applyProtection="1">
      <protection locked="0"/>
    </xf>
    <xf numFmtId="42" fontId="0" fillId="0" borderId="45" xfId="0" applyNumberFormat="1" applyBorder="1" applyProtection="1">
      <protection locked="0"/>
    </xf>
    <xf numFmtId="42" fontId="0" fillId="0" borderId="6" xfId="0" applyNumberFormat="1" applyBorder="1" applyProtection="1">
      <protection locked="0"/>
    </xf>
    <xf numFmtId="42" fontId="0" fillId="0" borderId="34" xfId="0" applyNumberFormat="1" applyBorder="1" applyProtection="1">
      <protection locked="0"/>
    </xf>
    <xf numFmtId="5" fontId="0" fillId="17" borderId="7" xfId="0" applyNumberFormat="1" applyFill="1" applyBorder="1" applyProtection="1">
      <protection locked="0"/>
    </xf>
    <xf numFmtId="5" fontId="0" fillId="17" borderId="14" xfId="0" applyNumberFormat="1" applyFill="1" applyBorder="1" applyProtection="1">
      <protection locked="0"/>
    </xf>
    <xf numFmtId="0" fontId="0" fillId="0" borderId="1" xfId="0" applyBorder="1" applyAlignment="1" applyProtection="1">
      <alignment horizontal="center" vertical="center"/>
      <protection locked="0"/>
    </xf>
    <xf numFmtId="172" fontId="0" fillId="0" borderId="7" xfId="0" applyNumberFormat="1" applyBorder="1" applyProtection="1">
      <protection locked="0"/>
    </xf>
    <xf numFmtId="172" fontId="0" fillId="0" borderId="14" xfId="0" applyNumberFormat="1" applyBorder="1" applyProtection="1">
      <protection locked="0"/>
    </xf>
    <xf numFmtId="172" fontId="0" fillId="0" borderId="15" xfId="0" applyNumberFormat="1" applyBorder="1" applyProtection="1">
      <protection locked="0"/>
    </xf>
    <xf numFmtId="173" fontId="0" fillId="0" borderId="7" xfId="0" applyNumberFormat="1" applyBorder="1" applyProtection="1">
      <protection locked="0"/>
    </xf>
    <xf numFmtId="173" fontId="0" fillId="17" borderId="14" xfId="0" applyNumberFormat="1" applyFill="1" applyBorder="1" applyProtection="1">
      <protection locked="0"/>
    </xf>
    <xf numFmtId="172" fontId="0" fillId="0" borderId="1" xfId="0" applyNumberFormat="1" applyBorder="1" applyProtection="1">
      <protection locked="0"/>
    </xf>
    <xf numFmtId="173" fontId="0" fillId="17" borderId="7" xfId="0" applyNumberFormat="1" applyFill="1" applyBorder="1" applyProtection="1">
      <protection locked="0"/>
    </xf>
    <xf numFmtId="173" fontId="0" fillId="0" borderId="14" xfId="0" applyNumberFormat="1" applyBorder="1" applyProtection="1">
      <protection locked="0"/>
    </xf>
    <xf numFmtId="0" fontId="18" fillId="0" borderId="36" xfId="10" applyFont="1" applyBorder="1"/>
    <xf numFmtId="0" fontId="0" fillId="0" borderId="92" xfId="0" applyBorder="1" applyAlignment="1" applyProtection="1">
      <alignment horizontal="center"/>
      <protection locked="0"/>
    </xf>
    <xf numFmtId="0" fontId="0" fillId="0" borderId="93" xfId="0" applyBorder="1" applyAlignment="1" applyProtection="1">
      <alignment horizontal="center"/>
      <protection locked="0"/>
    </xf>
    <xf numFmtId="0" fontId="0" fillId="0" borderId="94" xfId="0" applyBorder="1" applyAlignment="1" applyProtection="1">
      <alignment horizontal="center"/>
      <protection locked="0"/>
    </xf>
    <xf numFmtId="0" fontId="18" fillId="12" borderId="18" xfId="10" applyFont="1" applyFill="1" applyBorder="1"/>
    <xf numFmtId="0" fontId="17" fillId="12" borderId="15" xfId="10" applyFont="1" applyFill="1" applyBorder="1"/>
    <xf numFmtId="0" fontId="18" fillId="12" borderId="15" xfId="10" applyFont="1" applyFill="1" applyBorder="1"/>
    <xf numFmtId="4" fontId="18" fillId="12" borderId="14" xfId="10" applyNumberFormat="1" applyFont="1" applyFill="1" applyBorder="1"/>
    <xf numFmtId="167" fontId="18" fillId="12" borderId="54" xfId="11" applyNumberFormat="1" applyFont="1" applyFill="1" applyBorder="1" applyProtection="1"/>
    <xf numFmtId="0" fontId="18" fillId="12" borderId="14" xfId="10" applyFont="1" applyFill="1" applyBorder="1"/>
    <xf numFmtId="4" fontId="18" fillId="9" borderId="58" xfId="10" applyNumberFormat="1" applyFont="1" applyFill="1" applyBorder="1"/>
    <xf numFmtId="0" fontId="0" fillId="0" borderId="0" xfId="0" applyAlignment="1">
      <alignment horizontal="left" vertical="top" wrapText="1"/>
    </xf>
    <xf numFmtId="166" fontId="18" fillId="12" borderId="18" xfId="10" applyNumberFormat="1" applyFont="1" applyFill="1" applyBorder="1" applyAlignment="1">
      <alignment horizontal="center" vertical="center"/>
    </xf>
    <xf numFmtId="0" fontId="17" fillId="12" borderId="69" xfId="10" applyFont="1" applyFill="1" applyBorder="1" applyAlignment="1">
      <alignment horizontal="center"/>
    </xf>
    <xf numFmtId="0" fontId="18" fillId="12" borderId="56" xfId="10" applyFont="1" applyFill="1" applyBorder="1" applyAlignment="1">
      <alignment horizontal="center"/>
    </xf>
    <xf numFmtId="0" fontId="18" fillId="12" borderId="57" xfId="10" applyFont="1" applyFill="1" applyBorder="1" applyAlignment="1">
      <alignment horizontal="center"/>
    </xf>
    <xf numFmtId="0" fontId="54" fillId="12" borderId="36" xfId="0" applyFont="1" applyFill="1" applyBorder="1" applyAlignment="1">
      <alignment horizontal="left"/>
    </xf>
    <xf numFmtId="0" fontId="35" fillId="9" borderId="0" xfId="0" applyFont="1" applyFill="1" applyAlignment="1">
      <alignment horizontal="left" vertical="center" wrapText="1"/>
    </xf>
    <xf numFmtId="0" fontId="35" fillId="9" borderId="0" xfId="0" applyFont="1" applyFill="1" applyAlignment="1">
      <alignment horizontal="center" wrapText="1"/>
    </xf>
    <xf numFmtId="166" fontId="18" fillId="0" borderId="0" xfId="10" applyNumberFormat="1" applyFont="1" applyAlignment="1">
      <alignment horizontal="center" wrapText="1"/>
    </xf>
    <xf numFmtId="0" fontId="18" fillId="0" borderId="15" xfId="10" applyFont="1" applyBorder="1"/>
    <xf numFmtId="0" fontId="17" fillId="0" borderId="15" xfId="10" applyFont="1" applyBorder="1"/>
    <xf numFmtId="9" fontId="17" fillId="12" borderId="2" xfId="10" applyNumberFormat="1" applyFont="1" applyFill="1" applyBorder="1"/>
    <xf numFmtId="0" fontId="18" fillId="12" borderId="42" xfId="10" applyFont="1" applyFill="1" applyBorder="1"/>
    <xf numFmtId="9" fontId="18" fillId="12" borderId="16" xfId="10" applyNumberFormat="1" applyFont="1" applyFill="1" applyBorder="1"/>
    <xf numFmtId="9" fontId="18" fillId="12" borderId="23" xfId="10" applyNumberFormat="1" applyFont="1" applyFill="1" applyBorder="1"/>
    <xf numFmtId="14" fontId="19" fillId="12" borderId="27" xfId="10" applyNumberFormat="1" applyFont="1" applyFill="1" applyBorder="1"/>
    <xf numFmtId="0" fontId="18" fillId="0" borderId="14" xfId="10" applyFont="1" applyBorder="1" applyProtection="1">
      <protection locked="0"/>
    </xf>
    <xf numFmtId="49" fontId="35" fillId="9" borderId="0" xfId="0" applyNumberFormat="1" applyFont="1" applyFill="1" applyAlignment="1">
      <alignment horizontal="center"/>
    </xf>
    <xf numFmtId="0" fontId="37" fillId="9" borderId="0" xfId="0" applyFont="1" applyFill="1" applyAlignment="1">
      <alignment vertical="center"/>
    </xf>
    <xf numFmtId="0" fontId="48" fillId="9" borderId="0" xfId="0" applyFont="1" applyFill="1" applyAlignment="1">
      <alignment vertical="center"/>
    </xf>
    <xf numFmtId="0" fontId="35" fillId="9" borderId="0" xfId="0" applyFont="1" applyFill="1" applyAlignment="1">
      <alignment horizontal="left" vertical="center" indent="7"/>
    </xf>
    <xf numFmtId="0" fontId="35" fillId="9" borderId="0" xfId="0" applyFont="1" applyFill="1" applyAlignment="1">
      <alignment vertical="top"/>
    </xf>
    <xf numFmtId="49" fontId="35" fillId="9" borderId="0" xfId="0" applyNumberFormat="1" applyFont="1" applyFill="1"/>
    <xf numFmtId="0" fontId="35" fillId="9" borderId="27" xfId="0" applyFont="1" applyFill="1" applyBorder="1" applyAlignment="1">
      <alignment horizontal="left" vertical="center" wrapText="1"/>
    </xf>
    <xf numFmtId="0" fontId="35" fillId="9" borderId="29" xfId="0" applyFont="1" applyFill="1" applyBorder="1"/>
    <xf numFmtId="49" fontId="35" fillId="9" borderId="19" xfId="0" applyNumberFormat="1" applyFont="1" applyFill="1" applyBorder="1"/>
    <xf numFmtId="0" fontId="35" fillId="9" borderId="19" xfId="0" applyFont="1" applyFill="1" applyBorder="1"/>
    <xf numFmtId="0" fontId="35" fillId="9" borderId="30" xfId="0" applyFont="1" applyFill="1" applyBorder="1"/>
    <xf numFmtId="165" fontId="35" fillId="0" borderId="1" xfId="0" applyNumberFormat="1" applyFont="1" applyBorder="1"/>
    <xf numFmtId="43" fontId="35" fillId="0" borderId="1" xfId="6" applyFont="1" applyBorder="1" applyProtection="1"/>
    <xf numFmtId="165" fontId="35" fillId="9" borderId="52" xfId="1" applyNumberFormat="1" applyFont="1" applyFill="1" applyBorder="1" applyProtection="1"/>
    <xf numFmtId="0" fontId="36" fillId="9" borderId="0" xfId="5" quotePrefix="1" applyFont="1" applyFill="1"/>
    <xf numFmtId="0" fontId="36" fillId="9" borderId="0" xfId="5" applyFont="1" applyFill="1"/>
    <xf numFmtId="49" fontId="36" fillId="9" borderId="0" xfId="5" quotePrefix="1" applyNumberFormat="1" applyFont="1" applyFill="1" applyAlignment="1">
      <alignment horizontal="right"/>
    </xf>
    <xf numFmtId="0" fontId="36" fillId="9" borderId="0" xfId="5" applyFont="1" applyFill="1" applyAlignment="1">
      <alignment horizontal="right"/>
    </xf>
    <xf numFmtId="0" fontId="36" fillId="9" borderId="1" xfId="5" applyFont="1" applyFill="1" applyBorder="1" applyAlignment="1">
      <alignment vertical="top" wrapText="1"/>
    </xf>
    <xf numFmtId="49" fontId="36" fillId="9" borderId="0" xfId="5" quotePrefix="1" applyNumberFormat="1" applyFont="1" applyFill="1"/>
    <xf numFmtId="0" fontId="36" fillId="9" borderId="3" xfId="5" applyFont="1" applyFill="1" applyBorder="1" applyAlignment="1">
      <alignment vertical="top" wrapText="1"/>
    </xf>
    <xf numFmtId="44" fontId="36" fillId="9" borderId="3" xfId="9" applyFont="1" applyFill="1" applyBorder="1" applyAlignment="1" applyProtection="1">
      <alignment vertical="top" wrapText="1"/>
    </xf>
    <xf numFmtId="0" fontId="36" fillId="9" borderId="3" xfId="5" applyFont="1" applyFill="1" applyBorder="1" applyAlignment="1">
      <alignment horizontal="center" vertical="top" wrapText="1"/>
    </xf>
    <xf numFmtId="0" fontId="36" fillId="9" borderId="3" xfId="5" applyFont="1" applyFill="1" applyBorder="1" applyAlignment="1">
      <alignment horizontal="center" wrapText="1"/>
    </xf>
    <xf numFmtId="0" fontId="36" fillId="9" borderId="0" xfId="5" applyFont="1" applyFill="1" applyAlignment="1">
      <alignment horizontal="center" wrapText="1"/>
    </xf>
    <xf numFmtId="0" fontId="40" fillId="9" borderId="0" xfId="5" applyFont="1" applyFill="1" applyAlignment="1">
      <alignment horizontal="left"/>
    </xf>
    <xf numFmtId="0" fontId="36" fillId="9" borderId="0" xfId="5" applyFont="1" applyFill="1" applyAlignment="1">
      <alignment horizontal="left" vertical="top" wrapText="1"/>
    </xf>
    <xf numFmtId="0" fontId="35" fillId="9" borderId="6" xfId="0" applyFont="1" applyFill="1" applyBorder="1"/>
    <xf numFmtId="0" fontId="3" fillId="9" borderId="0" xfId="0" applyFont="1" applyFill="1"/>
    <xf numFmtId="0" fontId="41" fillId="9" borderId="27" xfId="0" applyFont="1" applyFill="1" applyBorder="1" applyAlignment="1">
      <alignment vertical="center"/>
    </xf>
    <xf numFmtId="0" fontId="35" fillId="0" borderId="1" xfId="0" applyFont="1" applyBorder="1" applyAlignment="1" applyProtection="1">
      <alignment horizontal="center" vertical="center"/>
      <protection locked="0"/>
    </xf>
    <xf numFmtId="0" fontId="35" fillId="5" borderId="1" xfId="0" applyFont="1" applyFill="1" applyBorder="1" applyProtection="1">
      <protection locked="0"/>
    </xf>
    <xf numFmtId="165" fontId="35" fillId="0" borderId="1" xfId="0" applyNumberFormat="1" applyFont="1" applyBorder="1" applyProtection="1">
      <protection locked="0"/>
    </xf>
    <xf numFmtId="165" fontId="35" fillId="9" borderId="1" xfId="1" applyNumberFormat="1" applyFont="1" applyFill="1" applyBorder="1" applyProtection="1">
      <protection locked="0"/>
    </xf>
    <xf numFmtId="0" fontId="35" fillId="0" borderId="1" xfId="0" applyFont="1" applyBorder="1" applyProtection="1">
      <protection locked="0"/>
    </xf>
    <xf numFmtId="0" fontId="54" fillId="0" borderId="1" xfId="0" applyFont="1" applyBorder="1" applyAlignment="1" applyProtection="1">
      <alignment horizontal="center" vertical="center"/>
      <protection locked="0"/>
    </xf>
    <xf numFmtId="165" fontId="70" fillId="0" borderId="89" xfId="1" applyNumberFormat="1" applyFont="1" applyFill="1" applyBorder="1" applyAlignment="1" applyProtection="1">
      <alignment horizontal="center"/>
      <protection locked="0"/>
    </xf>
    <xf numFmtId="165" fontId="70" fillId="0" borderId="90" xfId="1" applyNumberFormat="1" applyFont="1" applyFill="1" applyBorder="1" applyAlignment="1" applyProtection="1">
      <alignment horizontal="center"/>
      <protection locked="0"/>
    </xf>
    <xf numFmtId="165" fontId="70" fillId="0" borderId="91" xfId="1" applyNumberFormat="1" applyFont="1" applyFill="1" applyBorder="1" applyAlignment="1" applyProtection="1">
      <alignment horizontal="center"/>
      <protection locked="0"/>
    </xf>
    <xf numFmtId="165" fontId="70" fillId="0" borderId="89" xfId="1" applyNumberFormat="1" applyFont="1" applyFill="1" applyBorder="1" applyProtection="1">
      <protection locked="0"/>
    </xf>
    <xf numFmtId="165" fontId="70" fillId="0" borderId="90" xfId="1" applyNumberFormat="1" applyFont="1" applyFill="1" applyBorder="1" applyProtection="1">
      <protection locked="0"/>
    </xf>
    <xf numFmtId="165" fontId="70" fillId="0" borderId="91" xfId="1" applyNumberFormat="1" applyFont="1" applyFill="1" applyBorder="1" applyProtection="1">
      <protection locked="0"/>
    </xf>
    <xf numFmtId="9" fontId="69" fillId="0" borderId="35" xfId="7" applyFont="1" applyFill="1" applyBorder="1" applyAlignment="1" applyProtection="1">
      <alignment horizontal="center"/>
      <protection locked="0"/>
    </xf>
    <xf numFmtId="42" fontId="70" fillId="0" borderId="28" xfId="5" applyNumberFormat="1" applyFont="1" applyBorder="1" applyProtection="1">
      <protection locked="0"/>
    </xf>
    <xf numFmtId="9" fontId="72" fillId="0" borderId="95" xfId="5" applyNumberFormat="1" applyFont="1" applyBorder="1" applyAlignment="1" applyProtection="1">
      <alignment horizontal="center"/>
      <protection locked="0"/>
    </xf>
    <xf numFmtId="0" fontId="17" fillId="12" borderId="36" xfId="13" applyFont="1" applyFill="1" applyBorder="1" applyAlignment="1">
      <alignment horizontal="right"/>
    </xf>
    <xf numFmtId="0" fontId="17" fillId="12" borderId="0" xfId="13" applyFont="1" applyFill="1" applyAlignment="1">
      <alignment horizontal="center"/>
    </xf>
    <xf numFmtId="0" fontId="17" fillId="12" borderId="34" xfId="13" applyFont="1" applyFill="1" applyBorder="1" applyAlignment="1">
      <alignment horizontal="center"/>
    </xf>
    <xf numFmtId="0" fontId="18" fillId="12" borderId="0" xfId="13" applyFont="1" applyFill="1" applyAlignment="1">
      <alignment horizontal="left"/>
    </xf>
    <xf numFmtId="0" fontId="18" fillId="12" borderId="0" xfId="13" applyFont="1" applyFill="1" applyAlignment="1">
      <alignment horizontal="center"/>
    </xf>
    <xf numFmtId="166" fontId="18" fillId="12" borderId="0" xfId="13" applyNumberFormat="1" applyFont="1" applyFill="1" applyAlignment="1">
      <alignment vertical="center"/>
    </xf>
    <xf numFmtId="166" fontId="18" fillId="12" borderId="0" xfId="13" applyNumberFormat="1" applyFont="1" applyFill="1" applyAlignment="1">
      <alignment horizontal="center"/>
    </xf>
    <xf numFmtId="0" fontId="18" fillId="12" borderId="34" xfId="13" applyFont="1" applyFill="1" applyBorder="1"/>
    <xf numFmtId="0" fontId="18" fillId="12" borderId="36" xfId="13" applyFont="1" applyFill="1" applyBorder="1" applyAlignment="1">
      <alignment horizontal="left"/>
    </xf>
    <xf numFmtId="166" fontId="18" fillId="12" borderId="1" xfId="13" applyNumberFormat="1" applyFont="1" applyFill="1" applyBorder="1" applyAlignment="1">
      <alignment horizontal="center"/>
    </xf>
    <xf numFmtId="171" fontId="18" fillId="12" borderId="15" xfId="13" applyNumberFormat="1" applyFont="1" applyFill="1" applyBorder="1" applyAlignment="1">
      <alignment horizontal="center"/>
    </xf>
    <xf numFmtId="166" fontId="18" fillId="12" borderId="1" xfId="13" applyNumberFormat="1" applyFont="1" applyFill="1" applyBorder="1" applyAlignment="1">
      <alignment horizontal="center" vertical="center"/>
    </xf>
    <xf numFmtId="0" fontId="17" fillId="12" borderId="15" xfId="13" applyFont="1" applyFill="1" applyBorder="1" applyAlignment="1">
      <alignment horizontal="center"/>
    </xf>
    <xf numFmtId="171" fontId="18" fillId="12" borderId="34" xfId="13" applyNumberFormat="1" applyFont="1" applyFill="1" applyBorder="1"/>
    <xf numFmtId="0" fontId="17" fillId="12" borderId="36" xfId="13" applyFont="1" applyFill="1" applyBorder="1"/>
    <xf numFmtId="0" fontId="17" fillId="12" borderId="0" xfId="13" applyFont="1" applyFill="1"/>
    <xf numFmtId="0" fontId="18" fillId="12" borderId="0" xfId="13" applyFont="1" applyFill="1"/>
    <xf numFmtId="9" fontId="18" fillId="12" borderId="0" xfId="13" applyNumberFormat="1" applyFont="1" applyFill="1"/>
    <xf numFmtId="10" fontId="18" fillId="12" borderId="0" xfId="13" applyNumberFormat="1" applyFont="1" applyFill="1"/>
    <xf numFmtId="9" fontId="18" fillId="12" borderId="34" xfId="13" applyNumberFormat="1" applyFont="1" applyFill="1" applyBorder="1"/>
    <xf numFmtId="0" fontId="18" fillId="12" borderId="36" xfId="13" applyFont="1" applyFill="1" applyBorder="1"/>
    <xf numFmtId="167" fontId="18" fillId="12" borderId="7" xfId="13" applyNumberFormat="1" applyFont="1" applyFill="1" applyBorder="1"/>
    <xf numFmtId="9" fontId="18" fillId="12" borderId="15" xfId="2" applyFont="1" applyFill="1" applyBorder="1" applyProtection="1"/>
    <xf numFmtId="9" fontId="18" fillId="12" borderId="54" xfId="2" applyFont="1" applyFill="1" applyBorder="1" applyProtection="1"/>
    <xf numFmtId="167" fontId="18" fillId="12" borderId="15" xfId="13" applyNumberFormat="1" applyFont="1" applyFill="1" applyBorder="1"/>
    <xf numFmtId="167" fontId="18" fillId="12" borderId="14" xfId="13" applyNumberFormat="1" applyFont="1" applyFill="1" applyBorder="1"/>
    <xf numFmtId="2" fontId="0" fillId="0" borderId="0" xfId="0" applyNumberFormat="1"/>
    <xf numFmtId="9" fontId="18" fillId="12" borderId="15" xfId="2" applyFont="1" applyFill="1" applyBorder="1" applyAlignment="1" applyProtection="1">
      <alignment horizontal="center"/>
    </xf>
    <xf numFmtId="42" fontId="17" fillId="12" borderId="21" xfId="1" applyNumberFormat="1" applyFont="1" applyFill="1" applyBorder="1" applyProtection="1"/>
    <xf numFmtId="0" fontId="17" fillId="12" borderId="15" xfId="13" applyFont="1" applyFill="1" applyBorder="1"/>
    <xf numFmtId="0" fontId="17" fillId="12" borderId="54" xfId="13" applyFont="1" applyFill="1" applyBorder="1"/>
    <xf numFmtId="0" fontId="17" fillId="0" borderId="15" xfId="13" applyFont="1" applyBorder="1" applyProtection="1">
      <protection locked="0"/>
    </xf>
    <xf numFmtId="0" fontId="12" fillId="0" borderId="0" xfId="4" applyFont="1" applyFill="1" applyAlignment="1" applyProtection="1"/>
    <xf numFmtId="0" fontId="46" fillId="0" borderId="0" xfId="0" applyFont="1"/>
    <xf numFmtId="0" fontId="17" fillId="12" borderId="36" xfId="10" applyFont="1" applyFill="1" applyBorder="1" applyAlignment="1">
      <alignment horizontal="center"/>
    </xf>
    <xf numFmtId="0" fontId="9" fillId="0" borderId="0" xfId="4" applyAlignment="1" applyProtection="1"/>
    <xf numFmtId="171" fontId="18" fillId="12" borderId="0" xfId="10" applyNumberFormat="1" applyFont="1" applyFill="1"/>
    <xf numFmtId="42" fontId="17" fillId="12" borderId="6" xfId="1" applyNumberFormat="1" applyFont="1" applyFill="1" applyBorder="1" applyProtection="1"/>
    <xf numFmtId="9" fontId="17" fillId="12" borderId="0" xfId="10" applyNumberFormat="1" applyFont="1" applyFill="1"/>
    <xf numFmtId="9" fontId="18" fillId="12" borderId="27" xfId="10" applyNumberFormat="1" applyFont="1" applyFill="1" applyBorder="1"/>
    <xf numFmtId="166" fontId="21" fillId="5" borderId="1" xfId="10" applyNumberFormat="1" applyFont="1" applyFill="1" applyBorder="1" applyAlignment="1" applyProtection="1">
      <alignment horizontal="center"/>
      <protection locked="0"/>
    </xf>
    <xf numFmtId="0" fontId="18" fillId="0" borderId="36" xfId="10" applyFont="1" applyBorder="1" applyProtection="1">
      <protection locked="0"/>
    </xf>
    <xf numFmtId="0" fontId="9" fillId="0" borderId="0" xfId="4" applyFill="1" applyAlignment="1" applyProtection="1"/>
    <xf numFmtId="166" fontId="18" fillId="12" borderId="14" xfId="13" applyNumberFormat="1" applyFont="1" applyFill="1" applyBorder="1" applyAlignment="1">
      <alignment horizontal="center"/>
    </xf>
    <xf numFmtId="0" fontId="18" fillId="12" borderId="14" xfId="13" applyFont="1" applyFill="1" applyBorder="1" applyAlignment="1">
      <alignment horizontal="center"/>
    </xf>
    <xf numFmtId="0" fontId="21" fillId="12" borderId="1" xfId="13" applyFont="1" applyFill="1" applyBorder="1" applyAlignment="1">
      <alignment horizontal="center"/>
    </xf>
    <xf numFmtId="165" fontId="18" fillId="12" borderId="6" xfId="13" applyNumberFormat="1" applyFont="1" applyFill="1" applyBorder="1"/>
    <xf numFmtId="165" fontId="18" fillId="12" borderId="15" xfId="13" applyNumberFormat="1" applyFont="1" applyFill="1" applyBorder="1"/>
    <xf numFmtId="0" fontId="18" fillId="12" borderId="2" xfId="13" applyFont="1" applyFill="1" applyBorder="1"/>
    <xf numFmtId="167" fontId="18" fillId="12" borderId="1" xfId="13" applyNumberFormat="1" applyFont="1" applyFill="1" applyBorder="1"/>
    <xf numFmtId="165" fontId="18" fillId="12" borderId="0" xfId="13" applyNumberFormat="1" applyFont="1" applyFill="1"/>
    <xf numFmtId="0" fontId="18" fillId="12" borderId="42" xfId="13" applyFont="1" applyFill="1" applyBorder="1"/>
    <xf numFmtId="167" fontId="0" fillId="12" borderId="28" xfId="0" applyNumberFormat="1" applyFill="1" applyBorder="1"/>
    <xf numFmtId="0" fontId="18" fillId="12" borderId="43" xfId="13" applyFont="1" applyFill="1" applyBorder="1"/>
    <xf numFmtId="1" fontId="18" fillId="12" borderId="14" xfId="13" applyNumberFormat="1" applyFont="1" applyFill="1" applyBorder="1" applyAlignment="1">
      <alignment horizontal="center"/>
    </xf>
    <xf numFmtId="167" fontId="0" fillId="12" borderId="7" xfId="0" applyNumberFormat="1" applyFill="1" applyBorder="1"/>
    <xf numFmtId="0" fontId="18" fillId="12" borderId="1" xfId="13" applyFont="1" applyFill="1" applyBorder="1" applyAlignment="1">
      <alignment horizontal="center"/>
    </xf>
    <xf numFmtId="0" fontId="0" fillId="0" borderId="14" xfId="0" applyBorder="1" applyProtection="1">
      <protection locked="0"/>
    </xf>
    <xf numFmtId="0" fontId="0" fillId="0" borderId="15" xfId="0" applyBorder="1" applyProtection="1">
      <protection locked="0"/>
    </xf>
    <xf numFmtId="167" fontId="18" fillId="9" borderId="54" xfId="10" applyNumberFormat="1" applyFont="1" applyFill="1" applyBorder="1"/>
    <xf numFmtId="2" fontId="17" fillId="9" borderId="54" xfId="10" applyNumberFormat="1" applyFont="1" applyFill="1" applyBorder="1"/>
    <xf numFmtId="167" fontId="18" fillId="9" borderId="54" xfId="11" applyNumberFormat="1" applyFont="1" applyFill="1" applyBorder="1" applyProtection="1"/>
    <xf numFmtId="4" fontId="18" fillId="9" borderId="54" xfId="10" applyNumberFormat="1" applyFont="1" applyFill="1" applyBorder="1"/>
    <xf numFmtId="4" fontId="18" fillId="12" borderId="7" xfId="10" applyNumberFormat="1" applyFont="1" applyFill="1" applyBorder="1"/>
    <xf numFmtId="4" fontId="18" fillId="9" borderId="34" xfId="10" applyNumberFormat="1" applyFont="1" applyFill="1" applyBorder="1"/>
    <xf numFmtId="4" fontId="17" fillId="9" borderId="43" xfId="10" applyNumberFormat="1" applyFont="1" applyFill="1" applyBorder="1"/>
    <xf numFmtId="4" fontId="18" fillId="12" borderId="34" xfId="10" applyNumberFormat="1" applyFont="1" applyFill="1" applyBorder="1"/>
    <xf numFmtId="0" fontId="12" fillId="0" borderId="0" xfId="4" applyFont="1" applyFill="1" applyProtection="1"/>
    <xf numFmtId="167" fontId="18" fillId="12" borderId="52" xfId="10" applyNumberFormat="1" applyFont="1" applyFill="1" applyBorder="1"/>
    <xf numFmtId="167" fontId="18" fillId="12" borderId="58" xfId="10" applyNumberFormat="1" applyFont="1" applyFill="1" applyBorder="1"/>
    <xf numFmtId="167" fontId="18" fillId="12" borderId="59" xfId="10" applyNumberFormat="1" applyFont="1" applyFill="1" applyBorder="1"/>
    <xf numFmtId="49" fontId="18" fillId="0" borderId="46" xfId="10" applyNumberFormat="1" applyFont="1" applyBorder="1" applyProtection="1">
      <protection locked="0"/>
    </xf>
    <xf numFmtId="0" fontId="17" fillId="0" borderId="18" xfId="10" applyFont="1" applyBorder="1" applyAlignment="1" applyProtection="1">
      <alignment horizontal="center" vertical="center" wrapText="1"/>
      <protection locked="0"/>
    </xf>
    <xf numFmtId="0" fontId="17" fillId="0" borderId="14" xfId="10" applyFont="1" applyBorder="1" applyAlignment="1" applyProtection="1">
      <alignment horizontal="center" vertical="center" wrapText="1"/>
      <protection locked="0"/>
    </xf>
    <xf numFmtId="0" fontId="30" fillId="0" borderId="0" xfId="4" applyFont="1" applyFill="1" applyAlignment="1" applyProtection="1"/>
    <xf numFmtId="0" fontId="18" fillId="12" borderId="30" xfId="10" applyFont="1" applyFill="1" applyBorder="1"/>
    <xf numFmtId="0" fontId="18" fillId="12" borderId="54" xfId="10" applyFont="1" applyFill="1" applyBorder="1" applyAlignment="1">
      <alignment wrapText="1"/>
    </xf>
    <xf numFmtId="1" fontId="18" fillId="12" borderId="8" xfId="10" applyNumberFormat="1" applyFont="1" applyFill="1" applyBorder="1"/>
    <xf numFmtId="1" fontId="18" fillId="12" borderId="34" xfId="10" applyNumberFormat="1" applyFont="1" applyFill="1" applyBorder="1"/>
    <xf numFmtId="1" fontId="17" fillId="12" borderId="0" xfId="10" applyNumberFormat="1" applyFont="1" applyFill="1"/>
    <xf numFmtId="0" fontId="54" fillId="12" borderId="36" xfId="0" applyFont="1" applyFill="1" applyBorder="1" applyAlignment="1">
      <alignment horizontal="left" indent="1"/>
    </xf>
    <xf numFmtId="165" fontId="18" fillId="12" borderId="0" xfId="1" applyNumberFormat="1" applyFont="1" applyFill="1" applyBorder="1" applyProtection="1"/>
    <xf numFmtId="0" fontId="18" fillId="12" borderId="95" xfId="10" applyFont="1" applyFill="1" applyBorder="1" applyAlignment="1">
      <alignment horizontal="center"/>
    </xf>
    <xf numFmtId="0" fontId="18" fillId="12" borderId="47" xfId="10" applyFont="1" applyFill="1" applyBorder="1" applyAlignment="1">
      <alignment horizontal="center"/>
    </xf>
    <xf numFmtId="0" fontId="18" fillId="12" borderId="28" xfId="10" applyFont="1" applyFill="1" applyBorder="1" applyAlignment="1">
      <alignment horizontal="center"/>
    </xf>
    <xf numFmtId="0" fontId="18" fillId="12" borderId="48" xfId="10" applyFont="1" applyFill="1" applyBorder="1" applyAlignment="1">
      <alignment horizontal="center"/>
    </xf>
    <xf numFmtId="165" fontId="18" fillId="0" borderId="0" xfId="1" applyNumberFormat="1" applyFont="1" applyFill="1" applyBorder="1" applyProtection="1"/>
    <xf numFmtId="0" fontId="18" fillId="0" borderId="0" xfId="10" applyFont="1" applyAlignment="1">
      <alignment horizontal="center"/>
    </xf>
    <xf numFmtId="0" fontId="54" fillId="12" borderId="1" xfId="0" applyFont="1" applyFill="1" applyBorder="1"/>
    <xf numFmtId="165" fontId="54" fillId="12" borderId="1" xfId="0" applyNumberFormat="1" applyFont="1" applyFill="1" applyBorder="1"/>
    <xf numFmtId="0" fontId="54" fillId="12" borderId="52" xfId="0" applyFont="1" applyFill="1" applyBorder="1"/>
    <xf numFmtId="3" fontId="18" fillId="12" borderId="0" xfId="10" applyNumberFormat="1" applyFont="1" applyFill="1"/>
    <xf numFmtId="3" fontId="18" fillId="0" borderId="0" xfId="10" applyNumberFormat="1" applyFont="1"/>
    <xf numFmtId="0" fontId="18" fillId="12" borderId="0" xfId="10" quotePrefix="1" applyFont="1" applyFill="1"/>
    <xf numFmtId="9" fontId="18" fillId="0" borderId="0" xfId="10" applyNumberFormat="1" applyFont="1" applyAlignment="1">
      <alignment horizontal="left"/>
    </xf>
    <xf numFmtId="165" fontId="25" fillId="12" borderId="0" xfId="1" applyNumberFormat="1" applyFont="1" applyFill="1" applyBorder="1" applyProtection="1"/>
    <xf numFmtId="165" fontId="25" fillId="0" borderId="0" xfId="1" applyNumberFormat="1" applyFont="1" applyFill="1" applyBorder="1" applyProtection="1"/>
    <xf numFmtId="0" fontId="18" fillId="0" borderId="0" xfId="10" quotePrefix="1" applyFont="1"/>
    <xf numFmtId="165" fontId="17" fillId="12" borderId="4" xfId="1" applyNumberFormat="1" applyFont="1" applyFill="1" applyBorder="1" applyProtection="1"/>
    <xf numFmtId="167" fontId="17" fillId="12" borderId="52" xfId="10" applyNumberFormat="1" applyFont="1" applyFill="1" applyBorder="1"/>
    <xf numFmtId="165" fontId="17" fillId="12" borderId="0" xfId="1" applyNumberFormat="1" applyFont="1" applyFill="1" applyBorder="1" applyProtection="1"/>
    <xf numFmtId="167" fontId="17" fillId="12" borderId="34" xfId="10" applyNumberFormat="1" applyFont="1" applyFill="1" applyBorder="1"/>
    <xf numFmtId="165" fontId="17" fillId="0" borderId="0" xfId="1" applyNumberFormat="1" applyFont="1" applyFill="1" applyBorder="1" applyProtection="1"/>
    <xf numFmtId="167" fontId="17" fillId="0" borderId="0" xfId="10" applyNumberFormat="1" applyFont="1"/>
    <xf numFmtId="167" fontId="17" fillId="12" borderId="45" xfId="10" applyNumberFormat="1" applyFont="1" applyFill="1" applyBorder="1"/>
    <xf numFmtId="0" fontId="18" fillId="12" borderId="70" xfId="10" applyFont="1" applyFill="1" applyBorder="1" applyAlignment="1">
      <alignment horizontal="center"/>
    </xf>
    <xf numFmtId="0" fontId="18" fillId="12" borderId="22" xfId="10" applyFont="1" applyFill="1" applyBorder="1" applyAlignment="1">
      <alignment horizontal="center"/>
    </xf>
    <xf numFmtId="0" fontId="18" fillId="12" borderId="16" xfId="10" applyFont="1" applyFill="1" applyBorder="1" applyAlignment="1">
      <alignment horizontal="center"/>
    </xf>
    <xf numFmtId="0" fontId="18" fillId="12" borderId="59" xfId="10" applyFont="1" applyFill="1" applyBorder="1" applyAlignment="1">
      <alignment horizontal="center"/>
    </xf>
    <xf numFmtId="10" fontId="18" fillId="12" borderId="0" xfId="10" applyNumberFormat="1" applyFont="1" applyFill="1"/>
    <xf numFmtId="10" fontId="18" fillId="0" borderId="0" xfId="10" applyNumberFormat="1" applyFont="1"/>
    <xf numFmtId="0" fontId="17" fillId="12" borderId="0" xfId="10" applyFont="1" applyFill="1" applyAlignment="1">
      <alignment wrapText="1"/>
    </xf>
    <xf numFmtId="0" fontId="17" fillId="12" borderId="36" xfId="10" applyFont="1" applyFill="1" applyBorder="1" applyAlignment="1">
      <alignment horizontal="left" wrapText="1"/>
    </xf>
    <xf numFmtId="0" fontId="17" fillId="12" borderId="0" xfId="10" applyFont="1" applyFill="1" applyAlignment="1">
      <alignment horizontal="left" wrapText="1"/>
    </xf>
    <xf numFmtId="0" fontId="17" fillId="0" borderId="0" xfId="10" applyFont="1" applyAlignment="1">
      <alignment wrapText="1"/>
    </xf>
    <xf numFmtId="0" fontId="18" fillId="12" borderId="36" xfId="10" applyFont="1" applyFill="1" applyBorder="1" applyAlignment="1">
      <alignment wrapText="1"/>
    </xf>
    <xf numFmtId="37" fontId="18" fillId="12" borderId="0" xfId="6" applyNumberFormat="1" applyFont="1" applyFill="1" applyBorder="1" applyAlignment="1" applyProtection="1">
      <alignment horizontal="center" wrapText="1"/>
    </xf>
    <xf numFmtId="0" fontId="17" fillId="0" borderId="0" xfId="10" applyFont="1" applyAlignment="1">
      <alignment horizontal="left" wrapText="1"/>
    </xf>
    <xf numFmtId="167" fontId="18" fillId="0" borderId="0" xfId="10" applyNumberFormat="1" applyFont="1" applyAlignment="1">
      <alignment horizontal="center"/>
    </xf>
    <xf numFmtId="0" fontId="18" fillId="0" borderId="0" xfId="10" applyFont="1" applyAlignment="1">
      <alignment wrapText="1"/>
    </xf>
    <xf numFmtId="0" fontId="18" fillId="0" borderId="0" xfId="10" applyFont="1" applyAlignment="1">
      <alignment horizontal="left" wrapText="1"/>
    </xf>
    <xf numFmtId="0" fontId="64" fillId="12" borderId="36" xfId="0" applyFont="1" applyFill="1" applyBorder="1"/>
    <xf numFmtId="0" fontId="25" fillId="12" borderId="36" xfId="10" applyFont="1" applyFill="1" applyBorder="1" applyAlignment="1">
      <alignment wrapText="1"/>
    </xf>
    <xf numFmtId="165" fontId="18" fillId="12" borderId="1" xfId="10" applyNumberFormat="1" applyFont="1" applyFill="1" applyBorder="1" applyAlignment="1">
      <alignment vertical="top" wrapText="1"/>
    </xf>
    <xf numFmtId="0" fontId="18" fillId="12" borderId="0" xfId="10" applyFont="1" applyFill="1" applyAlignment="1">
      <alignment horizontal="left" wrapText="1"/>
    </xf>
    <xf numFmtId="37" fontId="18" fillId="0" borderId="0" xfId="6" applyNumberFormat="1" applyFont="1" applyFill="1" applyBorder="1" applyAlignment="1" applyProtection="1">
      <alignment horizontal="center" wrapText="1"/>
    </xf>
    <xf numFmtId="0" fontId="18" fillId="0" borderId="0" xfId="10" applyFont="1" applyAlignment="1">
      <alignment horizontal="center" wrapText="1"/>
    </xf>
    <xf numFmtId="0" fontId="24" fillId="12" borderId="36" xfId="10" applyFont="1" applyFill="1" applyBorder="1" applyAlignment="1">
      <alignment wrapText="1"/>
    </xf>
    <xf numFmtId="1" fontId="54" fillId="12" borderId="1" xfId="0" applyNumberFormat="1" applyFont="1" applyFill="1" applyBorder="1"/>
    <xf numFmtId="9" fontId="54" fillId="12" borderId="48" xfId="2" applyFont="1" applyFill="1" applyBorder="1" applyProtection="1"/>
    <xf numFmtId="165" fontId="0" fillId="12" borderId="1" xfId="0" applyNumberFormat="1" applyFill="1" applyBorder="1"/>
    <xf numFmtId="0" fontId="0" fillId="12" borderId="52" xfId="0" applyFill="1" applyBorder="1"/>
    <xf numFmtId="0" fontId="54" fillId="0" borderId="1" xfId="0" applyFont="1" applyBorder="1" applyProtection="1">
      <protection locked="0"/>
    </xf>
    <xf numFmtId="0" fontId="54" fillId="0" borderId="1" xfId="0" applyFont="1" applyBorder="1" applyAlignment="1" applyProtection="1">
      <alignment horizontal="center"/>
      <protection locked="0"/>
    </xf>
    <xf numFmtId="0" fontId="54" fillId="12" borderId="1" xfId="0" applyFont="1" applyFill="1" applyBorder="1" applyAlignment="1" applyProtection="1">
      <alignment horizontal="center"/>
      <protection locked="0"/>
    </xf>
    <xf numFmtId="167" fontId="54" fillId="0" borderId="1" xfId="0" applyNumberFormat="1" applyFont="1" applyBorder="1" applyProtection="1">
      <protection locked="0"/>
    </xf>
    <xf numFmtId="0" fontId="17" fillId="12" borderId="34" xfId="13" applyFont="1" applyFill="1" applyBorder="1" applyAlignment="1">
      <alignment horizontal="left"/>
    </xf>
    <xf numFmtId="0" fontId="18" fillId="12" borderId="8" xfId="13" applyFont="1" applyFill="1" applyBorder="1"/>
    <xf numFmtId="0" fontId="30" fillId="12" borderId="36" xfId="13" applyFont="1" applyFill="1" applyBorder="1"/>
    <xf numFmtId="0" fontId="30" fillId="12" borderId="0" xfId="13" applyFont="1" applyFill="1"/>
    <xf numFmtId="14" fontId="17" fillId="12" borderId="0" xfId="13" applyNumberFormat="1" applyFont="1" applyFill="1" applyAlignment="1">
      <alignment horizontal="center"/>
    </xf>
    <xf numFmtId="0" fontId="30" fillId="12" borderId="0" xfId="13" applyFont="1" applyFill="1" applyAlignment="1">
      <alignment horizontal="center"/>
    </xf>
    <xf numFmtId="0" fontId="54" fillId="0" borderId="19" xfId="0" applyFont="1" applyBorder="1"/>
    <xf numFmtId="0" fontId="54" fillId="0" borderId="30" xfId="0" applyFont="1" applyBorder="1"/>
    <xf numFmtId="0" fontId="17" fillId="12" borderId="12" xfId="13" applyFont="1" applyFill="1" applyBorder="1" applyAlignment="1">
      <alignment horizontal="center"/>
    </xf>
    <xf numFmtId="0" fontId="54" fillId="0" borderId="34" xfId="0" applyFont="1" applyBorder="1"/>
    <xf numFmtId="165" fontId="18" fillId="12" borderId="52" xfId="1" applyNumberFormat="1" applyFont="1" applyFill="1" applyBorder="1" applyAlignment="1" applyProtection="1">
      <alignment horizontal="right"/>
    </xf>
    <xf numFmtId="0" fontId="54" fillId="0" borderId="36" xfId="0" applyFont="1" applyBorder="1"/>
    <xf numFmtId="0" fontId="54" fillId="0" borderId="0" xfId="0" applyFont="1" applyAlignment="1">
      <alignment horizontal="right"/>
    </xf>
    <xf numFmtId="165" fontId="18" fillId="12" borderId="54" xfId="1" applyNumberFormat="1" applyFont="1" applyFill="1" applyBorder="1" applyAlignment="1" applyProtection="1">
      <alignment horizontal="right"/>
    </xf>
    <xf numFmtId="9" fontId="54" fillId="12" borderId="1" xfId="2" applyFont="1" applyFill="1" applyBorder="1" applyProtection="1"/>
    <xf numFmtId="165" fontId="17" fillId="12" borderId="21" xfId="1" applyNumberFormat="1" applyFont="1" applyFill="1" applyBorder="1" applyProtection="1"/>
    <xf numFmtId="5" fontId="18" fillId="12" borderId="2" xfId="14" applyNumberFormat="1" applyFont="1" applyFill="1" applyBorder="1" applyAlignment="1" applyProtection="1">
      <alignment horizontal="center"/>
    </xf>
    <xf numFmtId="168" fontId="18" fillId="12" borderId="0" xfId="14" applyNumberFormat="1" applyFont="1" applyFill="1" applyAlignment="1" applyProtection="1">
      <alignment horizontal="center"/>
    </xf>
    <xf numFmtId="0" fontId="17" fillId="12" borderId="6" xfId="13" applyFont="1" applyFill="1" applyBorder="1"/>
    <xf numFmtId="165" fontId="17" fillId="12" borderId="65" xfId="1" applyNumberFormat="1" applyFont="1" applyFill="1" applyBorder="1" applyProtection="1"/>
    <xf numFmtId="0" fontId="54" fillId="0" borderId="27" xfId="0" applyFont="1" applyBorder="1"/>
    <xf numFmtId="0" fontId="54" fillId="0" borderId="43" xfId="0" applyFont="1" applyBorder="1"/>
    <xf numFmtId="5" fontId="18" fillId="12" borderId="62" xfId="13" applyNumberFormat="1" applyFont="1" applyFill="1" applyBorder="1"/>
    <xf numFmtId="5" fontId="18" fillId="12" borderId="0" xfId="13" applyNumberFormat="1" applyFont="1" applyFill="1"/>
    <xf numFmtId="167" fontId="18" fillId="12" borderId="34" xfId="13" applyNumberFormat="1" applyFont="1" applyFill="1" applyBorder="1"/>
    <xf numFmtId="165" fontId="18" fillId="12" borderId="52" xfId="1" applyNumberFormat="1" applyFont="1" applyFill="1" applyBorder="1" applyProtection="1"/>
    <xf numFmtId="165" fontId="18" fillId="12" borderId="54" xfId="1" applyNumberFormat="1" applyFont="1" applyFill="1" applyBorder="1" applyProtection="1"/>
    <xf numFmtId="5" fontId="18" fillId="12" borderId="2" xfId="13" applyNumberFormat="1" applyFont="1" applyFill="1" applyBorder="1" applyAlignment="1">
      <alignment horizontal="center"/>
    </xf>
    <xf numFmtId="5" fontId="18" fillId="12" borderId="63" xfId="13" applyNumberFormat="1" applyFont="1" applyFill="1" applyBorder="1"/>
    <xf numFmtId="167" fontId="18" fillId="12" borderId="66" xfId="13" applyNumberFormat="1" applyFont="1" applyFill="1" applyBorder="1"/>
    <xf numFmtId="165" fontId="17" fillId="12" borderId="39" xfId="1" applyNumberFormat="1" applyFont="1" applyFill="1" applyBorder="1" applyProtection="1"/>
    <xf numFmtId="165" fontId="17" fillId="12" borderId="1" xfId="11" applyNumberFormat="1" applyFont="1" applyFill="1" applyBorder="1" applyProtection="1"/>
    <xf numFmtId="5" fontId="18" fillId="12" borderId="0" xfId="13" applyNumberFormat="1" applyFont="1" applyFill="1" applyAlignment="1">
      <alignment horizontal="center"/>
    </xf>
    <xf numFmtId="5" fontId="17" fillId="12" borderId="0" xfId="11" applyNumberFormat="1" applyFont="1" applyFill="1" applyProtection="1"/>
    <xf numFmtId="5" fontId="17" fillId="12" borderId="34" xfId="11" applyNumberFormat="1" applyFont="1" applyFill="1" applyBorder="1" applyProtection="1"/>
    <xf numFmtId="9" fontId="54" fillId="0" borderId="1" xfId="2" applyFont="1" applyBorder="1" applyProtection="1">
      <protection locked="0"/>
    </xf>
    <xf numFmtId="0" fontId="18" fillId="0" borderId="36" xfId="13" applyFont="1" applyBorder="1" applyProtection="1">
      <protection locked="0"/>
    </xf>
    <xf numFmtId="0" fontId="18" fillId="0" borderId="0" xfId="13" applyFont="1" applyProtection="1">
      <protection locked="0"/>
    </xf>
    <xf numFmtId="49" fontId="17" fillId="12" borderId="0" xfId="13" applyNumberFormat="1" applyFont="1" applyFill="1" applyAlignment="1">
      <alignment horizontal="center"/>
    </xf>
    <xf numFmtId="0" fontId="18" fillId="12" borderId="95" xfId="13" applyFont="1" applyFill="1" applyBorder="1" applyAlignment="1">
      <alignment horizontal="center"/>
    </xf>
    <xf numFmtId="49" fontId="18" fillId="12" borderId="0" xfId="13" applyNumberFormat="1" applyFont="1" applyFill="1" applyAlignment="1">
      <alignment horizontal="center"/>
    </xf>
    <xf numFmtId="0" fontId="17" fillId="12" borderId="29" xfId="13" applyFont="1" applyFill="1" applyBorder="1"/>
    <xf numFmtId="0" fontId="17" fillId="12" borderId="0" xfId="13" applyFont="1" applyFill="1" applyAlignment="1">
      <alignment wrapText="1"/>
    </xf>
    <xf numFmtId="0" fontId="17" fillId="12" borderId="36" xfId="13" applyFont="1" applyFill="1" applyBorder="1" applyAlignment="1">
      <alignment vertical="center"/>
    </xf>
    <xf numFmtId="49" fontId="17" fillId="12" borderId="0" xfId="13" applyNumberFormat="1" applyFont="1" applyFill="1" applyAlignment="1">
      <alignment horizontal="center" vertical="center"/>
    </xf>
    <xf numFmtId="167" fontId="18" fillId="12" borderId="0" xfId="13" applyNumberFormat="1" applyFont="1" applyFill="1" applyAlignment="1">
      <alignment vertical="center"/>
    </xf>
    <xf numFmtId="0" fontId="17" fillId="12" borderId="42" xfId="13" applyFont="1" applyFill="1" applyBorder="1" applyAlignment="1">
      <alignment vertical="center"/>
    </xf>
    <xf numFmtId="0" fontId="18" fillId="12" borderId="36" xfId="13" applyFont="1" applyFill="1" applyBorder="1" applyAlignment="1">
      <alignment vertical="center"/>
    </xf>
    <xf numFmtId="49" fontId="18" fillId="12" borderId="0" xfId="13" applyNumberFormat="1" applyFont="1" applyFill="1" applyAlignment="1">
      <alignment horizontal="center" vertical="center"/>
    </xf>
    <xf numFmtId="0" fontId="18" fillId="12" borderId="0" xfId="13" applyFont="1" applyFill="1" applyAlignment="1">
      <alignment vertical="center"/>
    </xf>
    <xf numFmtId="0" fontId="18" fillId="12" borderId="34" xfId="13" applyFont="1" applyFill="1" applyBorder="1" applyAlignment="1">
      <alignment vertical="center"/>
    </xf>
    <xf numFmtId="0" fontId="18" fillId="12" borderId="29" xfId="13" applyFont="1" applyFill="1" applyBorder="1" applyAlignment="1">
      <alignment vertical="center"/>
    </xf>
    <xf numFmtId="0" fontId="18" fillId="12" borderId="42" xfId="13" applyFont="1" applyFill="1" applyBorder="1" applyAlignment="1">
      <alignment vertical="center"/>
    </xf>
    <xf numFmtId="49" fontId="54" fillId="12" borderId="0" xfId="0" applyNumberFormat="1" applyFont="1" applyFill="1" applyAlignment="1">
      <alignment horizontal="center"/>
    </xf>
    <xf numFmtId="0" fontId="18" fillId="12" borderId="34" xfId="13" applyFont="1" applyFill="1" applyBorder="1" applyAlignment="1">
      <alignment horizontal="center"/>
    </xf>
    <xf numFmtId="0" fontId="18" fillId="12" borderId="36" xfId="13" applyFont="1" applyFill="1" applyBorder="1" applyAlignment="1">
      <alignment horizontal="left" vertical="center"/>
    </xf>
    <xf numFmtId="0" fontId="18" fillId="12" borderId="0" xfId="13" applyFont="1" applyFill="1" applyAlignment="1">
      <alignment horizontal="left" vertical="center"/>
    </xf>
    <xf numFmtId="0" fontId="54" fillId="0" borderId="0" xfId="0" applyFont="1" applyAlignment="1">
      <alignment vertical="top" wrapText="1"/>
    </xf>
    <xf numFmtId="49" fontId="54" fillId="0" borderId="0" xfId="0" applyNumberFormat="1" applyFont="1" applyAlignment="1">
      <alignment horizontal="center"/>
    </xf>
    <xf numFmtId="0" fontId="54" fillId="0" borderId="15" xfId="0" applyFont="1" applyBorder="1" applyProtection="1">
      <protection locked="0"/>
    </xf>
    <xf numFmtId="9" fontId="54" fillId="5" borderId="1" xfId="2" applyFont="1" applyFill="1" applyBorder="1" applyAlignment="1" applyProtection="1">
      <alignment horizontal="center"/>
      <protection locked="0"/>
    </xf>
    <xf numFmtId="3" fontId="0" fillId="12" borderId="10" xfId="6" applyNumberFormat="1" applyFont="1" applyFill="1" applyBorder="1" applyAlignment="1" applyProtection="1">
      <alignment vertical="center"/>
    </xf>
    <xf numFmtId="3" fontId="0" fillId="12" borderId="61" xfId="6" applyNumberFormat="1" applyFont="1" applyFill="1" applyBorder="1" applyAlignment="1" applyProtection="1">
      <alignment vertical="center"/>
    </xf>
    <xf numFmtId="0" fontId="10" fillId="0" borderId="0" xfId="4" applyFont="1" applyFill="1" applyAlignment="1" applyProtection="1"/>
    <xf numFmtId="0" fontId="8" fillId="0" borderId="0" xfId="4" applyFont="1" applyFill="1" applyAlignment="1" applyProtection="1"/>
    <xf numFmtId="0" fontId="8" fillId="0" borderId="0" xfId="4" applyFont="1" applyAlignment="1" applyProtection="1"/>
    <xf numFmtId="0" fontId="18" fillId="0" borderId="0" xfId="4" applyFont="1" applyAlignment="1" applyProtection="1"/>
    <xf numFmtId="0" fontId="18" fillId="0" borderId="0" xfId="0" applyFont="1"/>
    <xf numFmtId="0" fontId="18" fillId="0" borderId="0" xfId="0" applyFont="1" applyAlignment="1">
      <alignment horizontal="left"/>
    </xf>
    <xf numFmtId="0" fontId="18" fillId="0" borderId="0" xfId="0" applyFont="1" applyProtection="1">
      <protection locked="0"/>
    </xf>
    <xf numFmtId="14" fontId="18" fillId="0" borderId="0" xfId="0" applyNumberFormat="1" applyFont="1" applyProtection="1">
      <protection locked="0"/>
    </xf>
    <xf numFmtId="0" fontId="18" fillId="5" borderId="0" xfId="0" applyFont="1" applyFill="1" applyProtection="1">
      <protection locked="0"/>
    </xf>
    <xf numFmtId="0" fontId="18" fillId="0" borderId="0" xfId="0" applyFont="1" applyAlignment="1" applyProtection="1">
      <alignment horizontal="left"/>
      <protection locked="0"/>
    </xf>
    <xf numFmtId="0" fontId="17" fillId="0" borderId="0" xfId="4" applyFont="1" applyAlignment="1" applyProtection="1"/>
    <xf numFmtId="2" fontId="18" fillId="0" borderId="0" xfId="0" applyNumberFormat="1" applyFont="1" applyAlignment="1">
      <alignment horizontal="center"/>
    </xf>
    <xf numFmtId="2" fontId="18" fillId="0" borderId="0" xfId="0" applyNumberFormat="1" applyFont="1" applyAlignment="1" applyProtection="1">
      <alignment horizontal="center"/>
      <protection locked="0"/>
    </xf>
    <xf numFmtId="3" fontId="0" fillId="12" borderId="49" xfId="6" applyNumberFormat="1" applyFont="1" applyFill="1" applyBorder="1" applyAlignment="1" applyProtection="1">
      <alignment vertical="center"/>
    </xf>
    <xf numFmtId="3" fontId="0" fillId="12" borderId="42" xfId="6" applyNumberFormat="1" applyFont="1" applyFill="1" applyBorder="1" applyAlignment="1" applyProtection="1">
      <alignment vertical="center"/>
    </xf>
    <xf numFmtId="43" fontId="0" fillId="12" borderId="0" xfId="6" applyFont="1" applyFill="1" applyBorder="1" applyAlignment="1" applyProtection="1"/>
    <xf numFmtId="43" fontId="0" fillId="12" borderId="27" xfId="6" applyFont="1" applyFill="1" applyBorder="1" applyAlignment="1" applyProtection="1"/>
    <xf numFmtId="165" fontId="8" fillId="12" borderId="8" xfId="1" applyNumberFormat="1" applyFont="1" applyFill="1" applyBorder="1" applyAlignment="1" applyProtection="1"/>
    <xf numFmtId="165" fontId="8" fillId="12" borderId="10" xfId="1" applyNumberFormat="1" applyFont="1" applyFill="1" applyBorder="1" applyAlignment="1" applyProtection="1"/>
    <xf numFmtId="165" fontId="8" fillId="12" borderId="0" xfId="1" applyNumberFormat="1" applyFont="1" applyFill="1" applyAlignment="1" applyProtection="1"/>
    <xf numFmtId="165" fontId="8" fillId="12" borderId="6" xfId="1" applyNumberFormat="1" applyFont="1" applyFill="1" applyBorder="1" applyAlignment="1" applyProtection="1"/>
    <xf numFmtId="165" fontId="8" fillId="12" borderId="12" xfId="1" applyNumberFormat="1" applyFont="1" applyFill="1" applyBorder="1" applyAlignment="1" applyProtection="1"/>
    <xf numFmtId="165" fontId="8" fillId="12" borderId="13" xfId="1" applyNumberFormat="1" applyFont="1" applyFill="1" applyBorder="1" applyAlignment="1" applyProtection="1"/>
    <xf numFmtId="165" fontId="8" fillId="12" borderId="25" xfId="1" applyNumberFormat="1" applyFont="1" applyFill="1" applyBorder="1" applyAlignment="1" applyProtection="1"/>
    <xf numFmtId="165" fontId="8" fillId="12" borderId="26" xfId="1" applyNumberFormat="1" applyFont="1" applyFill="1" applyBorder="1" applyAlignment="1" applyProtection="1"/>
    <xf numFmtId="41" fontId="0" fillId="12" borderId="0" xfId="6" applyNumberFormat="1" applyFont="1" applyFill="1" applyBorder="1" applyAlignment="1" applyProtection="1"/>
    <xf numFmtId="41" fontId="0" fillId="12" borderId="0" xfId="0" applyNumberFormat="1" applyFill="1"/>
    <xf numFmtId="41" fontId="0" fillId="12" borderId="27" xfId="6" applyNumberFormat="1" applyFont="1" applyFill="1" applyBorder="1" applyAlignment="1" applyProtection="1"/>
    <xf numFmtId="0" fontId="8" fillId="0" borderId="0" xfId="4" applyFont="1" applyAlignment="1" applyProtection="1">
      <alignment horizontal="left"/>
    </xf>
    <xf numFmtId="0" fontId="8" fillId="0" borderId="0" xfId="0" applyFont="1" applyAlignment="1">
      <alignment horizontal="left"/>
    </xf>
    <xf numFmtId="0" fontId="17" fillId="0" borderId="18" xfId="10" applyFont="1" applyBorder="1" applyAlignment="1" applyProtection="1">
      <alignment vertical="center" wrapText="1"/>
      <protection locked="0"/>
    </xf>
    <xf numFmtId="1" fontId="18" fillId="12" borderId="14" xfId="10" applyNumberFormat="1" applyFont="1" applyFill="1" applyBorder="1" applyAlignment="1">
      <alignment horizontal="center" vertical="center"/>
    </xf>
    <xf numFmtId="166" fontId="18" fillId="0" borderId="0" xfId="0" applyNumberFormat="1" applyFont="1" applyAlignment="1" applyProtection="1">
      <alignment horizontal="center"/>
      <protection hidden="1"/>
    </xf>
    <xf numFmtId="166" fontId="54" fillId="0" borderId="0" xfId="0" applyNumberFormat="1" applyFont="1" applyAlignment="1" applyProtection="1">
      <alignment horizontal="center"/>
      <protection hidden="1"/>
    </xf>
    <xf numFmtId="0" fontId="8" fillId="12" borderId="19" xfId="0" applyFont="1" applyFill="1" applyBorder="1" applyAlignment="1">
      <alignment horizontal="center"/>
    </xf>
    <xf numFmtId="14" fontId="8" fillId="12" borderId="36" xfId="0" applyNumberFormat="1" applyFont="1" applyFill="1" applyBorder="1" applyAlignment="1">
      <alignment horizontal="left"/>
    </xf>
    <xf numFmtId="0" fontId="8" fillId="12" borderId="0" xfId="0" applyFont="1" applyFill="1" applyAlignment="1">
      <alignment horizontal="left"/>
    </xf>
    <xf numFmtId="0" fontId="8" fillId="12" borderId="42" xfId="0" applyFont="1" applyFill="1" applyBorder="1" applyAlignment="1">
      <alignment horizontal="left"/>
    </xf>
    <xf numFmtId="0" fontId="8" fillId="12" borderId="27" xfId="0" applyFont="1" applyFill="1" applyBorder="1" applyAlignment="1">
      <alignment horizontal="left"/>
    </xf>
    <xf numFmtId="0" fontId="10" fillId="12" borderId="29" xfId="0" applyFont="1" applyFill="1" applyBorder="1" applyAlignment="1">
      <alignment horizontal="center"/>
    </xf>
    <xf numFmtId="0" fontId="10" fillId="12" borderId="19" xfId="0" applyFont="1" applyFill="1" applyBorder="1" applyAlignment="1">
      <alignment horizontal="center"/>
    </xf>
    <xf numFmtId="0" fontId="0" fillId="0" borderId="0" xfId="0" applyProtection="1">
      <protection hidden="1"/>
    </xf>
    <xf numFmtId="0" fontId="17" fillId="0" borderId="1" xfId="10" applyFont="1" applyBorder="1" applyAlignment="1" applyProtection="1">
      <alignment horizontal="center" wrapText="1"/>
      <protection locked="0"/>
    </xf>
    <xf numFmtId="0" fontId="8" fillId="12" borderId="3" xfId="3" applyFont="1" applyFill="1" applyBorder="1" applyAlignment="1">
      <alignment horizontal="right" vertical="top"/>
    </xf>
    <xf numFmtId="0" fontId="8" fillId="5" borderId="1" xfId="3" applyFont="1" applyFill="1" applyBorder="1" applyAlignment="1" applyProtection="1">
      <alignment horizontal="center" vertical="top" wrapText="1"/>
      <protection locked="0"/>
    </xf>
    <xf numFmtId="0" fontId="8" fillId="12" borderId="35" xfId="3" applyFont="1" applyFill="1" applyBorder="1" applyAlignment="1" applyProtection="1">
      <alignment horizontal="right" vertical="top"/>
      <protection locked="0"/>
    </xf>
    <xf numFmtId="0" fontId="0" fillId="12" borderId="33" xfId="0" applyFill="1" applyBorder="1" applyAlignment="1">
      <alignment horizontal="right"/>
    </xf>
    <xf numFmtId="0" fontId="18" fillId="12" borderId="1" xfId="10" applyFont="1" applyFill="1" applyBorder="1" applyAlignment="1">
      <alignment horizontal="center"/>
    </xf>
    <xf numFmtId="1" fontId="8" fillId="0" borderId="39" xfId="3" applyNumberFormat="1" applyFont="1" applyBorder="1" applyAlignment="1" applyProtection="1">
      <alignment horizontal="center" vertical="top" wrapText="1"/>
      <protection locked="0"/>
    </xf>
    <xf numFmtId="42" fontId="18" fillId="12" borderId="50" xfId="10" applyNumberFormat="1" applyFont="1" applyFill="1" applyBorder="1"/>
    <xf numFmtId="2" fontId="8" fillId="0" borderId="39" xfId="3" applyNumberFormat="1" applyFont="1" applyBorder="1" applyAlignment="1" applyProtection="1">
      <alignment vertical="top" wrapText="1"/>
      <protection locked="0"/>
    </xf>
    <xf numFmtId="49" fontId="8" fillId="12" borderId="35" xfId="3" applyNumberFormat="1" applyFont="1" applyFill="1" applyBorder="1" applyAlignment="1">
      <alignment horizontal="right" vertical="top"/>
    </xf>
    <xf numFmtId="49" fontId="8" fillId="12" borderId="1" xfId="3" applyNumberFormat="1" applyFont="1" applyFill="1" applyBorder="1" applyAlignment="1">
      <alignment horizontal="right" vertical="top"/>
    </xf>
    <xf numFmtId="39" fontId="8" fillId="12" borderId="1" xfId="6" applyNumberFormat="1" applyFont="1" applyFill="1" applyBorder="1" applyAlignment="1" applyProtection="1">
      <alignment vertical="top" wrapText="1"/>
      <protection locked="0"/>
    </xf>
    <xf numFmtId="39" fontId="8" fillId="0" borderId="1" xfId="6" applyNumberFormat="1" applyFont="1" applyFill="1" applyBorder="1" applyAlignment="1" applyProtection="1">
      <alignment vertical="top" wrapText="1"/>
      <protection locked="0"/>
    </xf>
    <xf numFmtId="39" fontId="8" fillId="0" borderId="39" xfId="6" applyNumberFormat="1" applyFont="1" applyFill="1" applyBorder="1" applyAlignment="1" applyProtection="1">
      <alignment vertical="top" wrapText="1"/>
      <protection locked="0"/>
    </xf>
    <xf numFmtId="39" fontId="10" fillId="12" borderId="39" xfId="6" applyNumberFormat="1" applyFont="1" applyFill="1" applyBorder="1" applyAlignment="1" applyProtection="1">
      <alignment vertical="top" wrapText="1"/>
      <protection locked="0"/>
    </xf>
    <xf numFmtId="49" fontId="0" fillId="12" borderId="1" xfId="0" applyNumberFormat="1" applyFill="1" applyBorder="1" applyAlignment="1">
      <alignment horizontal="center" vertical="center"/>
    </xf>
    <xf numFmtId="40" fontId="3" fillId="12" borderId="39" xfId="0" applyNumberFormat="1" applyFont="1" applyFill="1" applyBorder="1" applyAlignment="1">
      <alignment horizontal="center" vertical="center"/>
    </xf>
    <xf numFmtId="39" fontId="3" fillId="12" borderId="39" xfId="1" applyNumberFormat="1" applyFont="1" applyFill="1" applyBorder="1" applyAlignment="1" applyProtection="1">
      <alignment horizontal="center" vertical="center"/>
      <protection locked="0"/>
    </xf>
    <xf numFmtId="49" fontId="3" fillId="5" borderId="50" xfId="0" applyNumberFormat="1" applyFont="1" applyFill="1" applyBorder="1" applyAlignment="1" applyProtection="1">
      <alignment horizontal="center" vertical="center"/>
      <protection locked="0"/>
    </xf>
    <xf numFmtId="49" fontId="3" fillId="5" borderId="51" xfId="0" applyNumberFormat="1" applyFont="1" applyFill="1" applyBorder="1" applyAlignment="1" applyProtection="1">
      <alignment horizontal="center" vertical="center"/>
      <protection locked="0"/>
    </xf>
    <xf numFmtId="0" fontId="3" fillId="5" borderId="7" xfId="0" applyFont="1" applyFill="1" applyBorder="1" applyAlignment="1" applyProtection="1">
      <alignment horizontal="center" vertical="center"/>
      <protection locked="0"/>
    </xf>
    <xf numFmtId="0" fontId="3" fillId="5" borderId="15" xfId="0" applyFont="1" applyFill="1" applyBorder="1" applyAlignment="1" applyProtection="1">
      <alignment horizontal="center" vertical="center"/>
      <protection locked="0"/>
    </xf>
    <xf numFmtId="0" fontId="0" fillId="4" borderId="1" xfId="2" applyNumberFormat="1" applyFont="1" applyFill="1" applyBorder="1" applyAlignment="1" applyProtection="1">
      <alignment horizontal="center" vertical="center"/>
      <protection locked="0"/>
    </xf>
    <xf numFmtId="10" fontId="3" fillId="0" borderId="1" xfId="2" applyNumberFormat="1" applyFont="1" applyBorder="1" applyAlignment="1" applyProtection="1">
      <alignment horizontal="center" vertical="center"/>
      <protection locked="0"/>
    </xf>
    <xf numFmtId="1" fontId="3" fillId="0" borderId="1" xfId="2" applyNumberFormat="1" applyFont="1" applyBorder="1" applyAlignment="1" applyProtection="1">
      <alignment horizontal="center" vertical="center"/>
      <protection locked="0"/>
    </xf>
    <xf numFmtId="9" fontId="3" fillId="0" borderId="1" xfId="2" applyFont="1" applyBorder="1" applyAlignment="1" applyProtection="1">
      <alignment horizontal="center" vertical="top"/>
      <protection locked="0"/>
    </xf>
    <xf numFmtId="165" fontId="3" fillId="0" borderId="39" xfId="1" applyNumberFormat="1" applyFont="1" applyBorder="1" applyAlignment="1" applyProtection="1">
      <alignment horizontal="center" vertical="top"/>
      <protection locked="0"/>
    </xf>
    <xf numFmtId="0" fontId="3" fillId="0" borderId="1" xfId="0" applyFont="1" applyBorder="1" applyProtection="1">
      <protection locked="0"/>
    </xf>
    <xf numFmtId="0" fontId="3" fillId="5" borderId="1" xfId="0" applyFont="1" applyFill="1" applyBorder="1" applyAlignment="1" applyProtection="1">
      <alignment horizontal="left"/>
      <protection locked="0"/>
    </xf>
    <xf numFmtId="0" fontId="3" fillId="5" borderId="7" xfId="0" applyFont="1" applyFill="1" applyBorder="1" applyAlignment="1" applyProtection="1">
      <alignment horizontal="left"/>
      <protection locked="0"/>
    </xf>
    <xf numFmtId="0" fontId="3" fillId="5" borderId="39" xfId="0" applyFont="1" applyFill="1" applyBorder="1" applyAlignment="1" applyProtection="1">
      <alignment horizontal="left"/>
      <protection locked="0"/>
    </xf>
    <xf numFmtId="0" fontId="3" fillId="5" borderId="39" xfId="0" applyFont="1" applyFill="1" applyBorder="1" applyAlignment="1" applyProtection="1">
      <alignment vertical="center"/>
      <protection locked="0"/>
    </xf>
    <xf numFmtId="4" fontId="0" fillId="0" borderId="1" xfId="0" applyNumberFormat="1" applyBorder="1" applyAlignment="1" applyProtection="1">
      <alignment vertical="top" wrapText="1"/>
      <protection locked="0"/>
    </xf>
    <xf numFmtId="4" fontId="8" fillId="0" borderId="1" xfId="2" applyNumberFormat="1" applyFont="1" applyFill="1" applyBorder="1" applyAlignment="1" applyProtection="1">
      <alignment horizontal="center" vertical="center" wrapText="1"/>
      <protection locked="0"/>
    </xf>
    <xf numFmtId="4" fontId="8" fillId="0" borderId="1" xfId="3" applyNumberFormat="1" applyFont="1" applyBorder="1" applyAlignment="1" applyProtection="1">
      <alignment vertical="top" wrapText="1"/>
      <protection locked="0"/>
    </xf>
    <xf numFmtId="4" fontId="3" fillId="0" borderId="7" xfId="0" applyNumberFormat="1" applyFont="1" applyBorder="1" applyProtection="1">
      <protection locked="0"/>
    </xf>
    <xf numFmtId="4" fontId="3" fillId="0" borderId="39" xfId="0" applyNumberFormat="1" applyFont="1" applyBorder="1" applyAlignment="1" applyProtection="1">
      <alignment horizontal="center" vertical="center"/>
      <protection locked="0"/>
    </xf>
    <xf numFmtId="14" fontId="8" fillId="0" borderId="1" xfId="2" applyNumberFormat="1" applyFont="1" applyFill="1" applyBorder="1" applyAlignment="1" applyProtection="1">
      <alignment horizontal="center" vertical="center" wrapText="1"/>
      <protection locked="0"/>
    </xf>
    <xf numFmtId="10" fontId="3" fillId="0" borderId="39" xfId="2" applyNumberFormat="1" applyFont="1" applyFill="1" applyBorder="1" applyAlignment="1" applyProtection="1">
      <alignment horizontal="center" vertical="center"/>
      <protection locked="0"/>
    </xf>
    <xf numFmtId="14" fontId="3" fillId="0" borderId="1" xfId="0" applyNumberFormat="1" applyFont="1" applyBorder="1" applyProtection="1">
      <protection locked="0"/>
    </xf>
    <xf numFmtId="1" fontId="3" fillId="0" borderId="38" xfId="0" applyNumberFormat="1" applyFont="1" applyBorder="1" applyProtection="1">
      <protection locked="0"/>
    </xf>
    <xf numFmtId="164" fontId="8" fillId="0" borderId="50" xfId="0" applyNumberFormat="1" applyFont="1" applyBorder="1" applyAlignment="1" applyProtection="1">
      <alignment horizontal="left"/>
      <protection locked="0"/>
    </xf>
    <xf numFmtId="178" fontId="8" fillId="0" borderId="38" xfId="0" applyNumberFormat="1" applyFont="1" applyBorder="1" applyProtection="1">
      <protection locked="0"/>
    </xf>
    <xf numFmtId="1" fontId="8" fillId="0" borderId="3" xfId="0" applyNumberFormat="1" applyFont="1" applyBorder="1" applyProtection="1">
      <protection locked="0"/>
    </xf>
    <xf numFmtId="177" fontId="8" fillId="0" borderId="1" xfId="0" applyNumberFormat="1" applyFont="1" applyBorder="1" applyAlignment="1" applyProtection="1">
      <alignment horizontal="center" vertical="center"/>
      <protection locked="0"/>
    </xf>
    <xf numFmtId="178" fontId="8" fillId="0" borderId="1" xfId="0" applyNumberFormat="1" applyFont="1" applyBorder="1" applyAlignment="1" applyProtection="1">
      <alignment horizontal="center" vertical="center"/>
      <protection locked="0"/>
    </xf>
    <xf numFmtId="0" fontId="8" fillId="5" borderId="1" xfId="0" applyFont="1" applyFill="1" applyBorder="1" applyAlignment="1" applyProtection="1">
      <alignment horizontal="center" vertical="center"/>
      <protection locked="0"/>
    </xf>
    <xf numFmtId="0" fontId="8" fillId="5" borderId="1" xfId="0" applyFont="1" applyFill="1" applyBorder="1" applyAlignment="1" applyProtection="1">
      <alignment horizontal="left" vertical="center"/>
      <protection locked="0"/>
    </xf>
    <xf numFmtId="0" fontId="8" fillId="5" borderId="39" xfId="0" applyFont="1" applyFill="1" applyBorder="1" applyAlignment="1" applyProtection="1">
      <alignment horizontal="center" vertical="center"/>
      <protection locked="0"/>
    </xf>
    <xf numFmtId="2" fontId="8" fillId="0" borderId="53" xfId="7" applyNumberFormat="1" applyFont="1" applyBorder="1" applyAlignment="1" applyProtection="1">
      <alignment vertical="top"/>
      <protection locked="0"/>
    </xf>
    <xf numFmtId="0" fontId="0" fillId="5" borderId="1" xfId="0" applyFill="1" applyBorder="1" applyProtection="1">
      <protection locked="0"/>
    </xf>
    <xf numFmtId="0" fontId="3" fillId="5" borderId="39" xfId="0" applyFont="1" applyFill="1" applyBorder="1" applyAlignment="1" applyProtection="1">
      <alignment horizontal="right" vertical="center"/>
      <protection locked="0"/>
    </xf>
    <xf numFmtId="14" fontId="3" fillId="0" borderId="1" xfId="0" applyNumberFormat="1" applyFont="1" applyBorder="1" applyAlignment="1" applyProtection="1">
      <alignment horizontal="left" vertical="top"/>
      <protection locked="0"/>
    </xf>
    <xf numFmtId="0" fontId="8" fillId="0" borderId="14" xfId="7" applyNumberFormat="1" applyFont="1" applyBorder="1" applyAlignment="1" applyProtection="1">
      <alignment vertical="top"/>
      <protection locked="0"/>
    </xf>
    <xf numFmtId="1" fontId="3" fillId="0" borderId="1" xfId="0" applyNumberFormat="1" applyFont="1" applyBorder="1" applyAlignment="1" applyProtection="1">
      <alignment horizontal="center"/>
      <protection locked="0"/>
    </xf>
    <xf numFmtId="10" fontId="8" fillId="0" borderId="1" xfId="2" applyNumberFormat="1" applyFont="1" applyBorder="1" applyAlignment="1" applyProtection="1">
      <alignment horizontal="center" vertical="top"/>
      <protection locked="0"/>
    </xf>
    <xf numFmtId="10" fontId="8" fillId="0" borderId="28" xfId="2" applyNumberFormat="1" applyFont="1" applyBorder="1" applyAlignment="1" applyProtection="1">
      <alignment horizontal="center" vertical="top"/>
      <protection locked="0"/>
    </xf>
    <xf numFmtId="4" fontId="8" fillId="9" borderId="1" xfId="3" applyNumberFormat="1" applyFont="1" applyFill="1" applyBorder="1" applyAlignment="1" applyProtection="1">
      <alignment horizontal="center" vertical="top"/>
      <protection locked="0"/>
    </xf>
    <xf numFmtId="4" fontId="8" fillId="9" borderId="39" xfId="3" applyNumberFormat="1" applyFont="1" applyFill="1" applyBorder="1" applyAlignment="1" applyProtection="1">
      <alignment horizontal="center" vertical="top"/>
      <protection locked="0"/>
    </xf>
    <xf numFmtId="167" fontId="18" fillId="12" borderId="39" xfId="10" applyNumberFormat="1" applyFont="1" applyFill="1" applyBorder="1" applyAlignment="1">
      <alignment horizontal="center"/>
    </xf>
    <xf numFmtId="14" fontId="8" fillId="0" borderId="7" xfId="3" applyNumberFormat="1" applyFont="1" applyBorder="1" applyAlignment="1" applyProtection="1">
      <alignment vertical="top"/>
      <protection locked="0"/>
    </xf>
    <xf numFmtId="0" fontId="8" fillId="0" borderId="35" xfId="3" applyFont="1" applyBorder="1" applyAlignment="1" applyProtection="1">
      <alignment vertical="top"/>
      <protection locked="0"/>
    </xf>
    <xf numFmtId="0" fontId="8" fillId="0" borderId="39" xfId="3" applyFont="1" applyBorder="1" applyAlignment="1" applyProtection="1">
      <alignment vertical="top"/>
      <protection locked="0"/>
    </xf>
    <xf numFmtId="42" fontId="65" fillId="0" borderId="1" xfId="0" quotePrefix="1" applyNumberFormat="1" applyFont="1" applyBorder="1" applyAlignment="1" applyProtection="1">
      <alignment horizontal="left" vertical="center"/>
      <protection locked="0"/>
    </xf>
    <xf numFmtId="10" fontId="54" fillId="12" borderId="0" xfId="2" applyNumberFormat="1" applyFont="1" applyFill="1" applyBorder="1" applyProtection="1"/>
    <xf numFmtId="10" fontId="54" fillId="0" borderId="93" xfId="2" applyNumberFormat="1" applyFont="1" applyFill="1" applyBorder="1" applyAlignment="1" applyProtection="1">
      <alignment horizontal="center"/>
      <protection locked="0"/>
    </xf>
    <xf numFmtId="10" fontId="54" fillId="12" borderId="93" xfId="2" applyNumberFormat="1" applyFont="1" applyFill="1" applyBorder="1" applyAlignment="1" applyProtection="1">
      <alignment horizontal="center"/>
    </xf>
    <xf numFmtId="9" fontId="54" fillId="5" borderId="93" xfId="2" applyFont="1" applyFill="1" applyBorder="1" applyAlignment="1" applyProtection="1">
      <alignment horizontal="center"/>
      <protection locked="0"/>
    </xf>
    <xf numFmtId="9" fontId="54" fillId="12" borderId="93" xfId="2" applyFont="1" applyFill="1" applyBorder="1" applyAlignment="1" applyProtection="1">
      <alignment horizontal="center"/>
    </xf>
    <xf numFmtId="0" fontId="35" fillId="5" borderId="1" xfId="0" applyFont="1" applyFill="1" applyBorder="1" applyAlignment="1" applyProtection="1">
      <alignment wrapText="1"/>
      <protection locked="0"/>
    </xf>
    <xf numFmtId="42" fontId="18" fillId="0" borderId="14" xfId="10" applyNumberFormat="1" applyFont="1" applyBorder="1" applyProtection="1">
      <protection locked="0"/>
    </xf>
    <xf numFmtId="49" fontId="3" fillId="5" borderId="1" xfId="0" applyNumberFormat="1" applyFont="1" applyFill="1" applyBorder="1" applyAlignment="1" applyProtection="1">
      <alignment horizontal="center"/>
      <protection locked="0"/>
    </xf>
    <xf numFmtId="2" fontId="8" fillId="5" borderId="1" xfId="3" applyNumberFormat="1" applyFont="1" applyFill="1" applyBorder="1" applyAlignment="1" applyProtection="1">
      <alignment vertical="top"/>
      <protection locked="0"/>
    </xf>
    <xf numFmtId="4" fontId="8" fillId="0" borderId="1" xfId="3" applyNumberFormat="1" applyFont="1" applyBorder="1" applyAlignment="1" applyProtection="1">
      <alignment vertical="top"/>
      <protection locked="0"/>
    </xf>
    <xf numFmtId="9" fontId="18" fillId="12" borderId="15" xfId="2" applyFont="1" applyFill="1" applyBorder="1" applyProtection="1">
      <protection locked="0"/>
    </xf>
    <xf numFmtId="9" fontId="18" fillId="12" borderId="15" xfId="2" applyFont="1" applyFill="1" applyBorder="1" applyAlignment="1" applyProtection="1">
      <alignment horizontal="center"/>
      <protection locked="0"/>
    </xf>
    <xf numFmtId="0" fontId="17" fillId="12" borderId="15" xfId="13" applyFont="1" applyFill="1" applyBorder="1" applyProtection="1">
      <protection locked="0"/>
    </xf>
    <xf numFmtId="8" fontId="8" fillId="0" borderId="50" xfId="0" applyNumberFormat="1" applyFont="1" applyBorder="1" applyProtection="1">
      <protection locked="0"/>
    </xf>
    <xf numFmtId="173" fontId="54" fillId="17" borderId="0" xfId="0" applyNumberFormat="1" applyFont="1" applyFill="1" applyProtection="1">
      <protection locked="0"/>
    </xf>
    <xf numFmtId="42" fontId="17" fillId="17" borderId="95" xfId="1" applyNumberFormat="1" applyFont="1" applyFill="1" applyBorder="1" applyProtection="1">
      <protection locked="0"/>
    </xf>
    <xf numFmtId="44" fontId="0" fillId="17" borderId="7" xfId="1" applyFont="1" applyFill="1" applyBorder="1" applyProtection="1">
      <protection locked="0"/>
    </xf>
    <xf numFmtId="44" fontId="0" fillId="17" borderId="15" xfId="1" applyFont="1" applyFill="1" applyBorder="1" applyProtection="1">
      <protection locked="0"/>
    </xf>
    <xf numFmtId="0" fontId="24" fillId="5" borderId="1" xfId="5" applyFont="1" applyFill="1" applyBorder="1" applyAlignment="1" applyProtection="1">
      <alignment horizontal="center"/>
      <protection locked="0"/>
    </xf>
    <xf numFmtId="41" fontId="54" fillId="0" borderId="1" xfId="6" applyNumberFormat="1" applyFont="1" applyBorder="1" applyAlignment="1" applyProtection="1">
      <alignment horizontal="center"/>
      <protection locked="0"/>
    </xf>
    <xf numFmtId="0" fontId="18" fillId="5" borderId="1" xfId="5" applyFont="1" applyFill="1" applyBorder="1" applyAlignment="1" applyProtection="1">
      <alignment horizontal="center"/>
      <protection locked="0"/>
    </xf>
    <xf numFmtId="0" fontId="18" fillId="5" borderId="1" xfId="5" applyFont="1" applyFill="1" applyBorder="1" applyAlignment="1" applyProtection="1">
      <alignment horizontal="center" wrapText="1"/>
      <protection locked="0"/>
    </xf>
    <xf numFmtId="0" fontId="18" fillId="0" borderId="1" xfId="9" applyNumberFormat="1" applyFont="1" applyBorder="1" applyAlignment="1" applyProtection="1">
      <alignment horizontal="center"/>
      <protection locked="0"/>
    </xf>
    <xf numFmtId="0" fontId="54" fillId="0" borderId="39" xfId="0" applyFont="1" applyBorder="1" applyAlignment="1" applyProtection="1">
      <alignment horizontal="center"/>
      <protection locked="0"/>
    </xf>
    <xf numFmtId="0" fontId="24" fillId="5" borderId="7" xfId="5" applyFont="1" applyFill="1" applyBorder="1" applyProtection="1">
      <protection locked="0"/>
    </xf>
    <xf numFmtId="0" fontId="18" fillId="5" borderId="33" xfId="5" applyFont="1" applyFill="1" applyBorder="1" applyAlignment="1" applyProtection="1">
      <alignment horizontal="left"/>
      <protection locked="0"/>
    </xf>
    <xf numFmtId="0" fontId="18" fillId="12" borderId="33" xfId="5" applyFont="1" applyFill="1" applyBorder="1" applyAlignment="1" applyProtection="1">
      <alignment horizontal="left"/>
      <protection locked="0"/>
    </xf>
    <xf numFmtId="0" fontId="26" fillId="5" borderId="50" xfId="5" applyFont="1" applyFill="1" applyBorder="1" applyAlignment="1" applyProtection="1">
      <alignment horizontal="center"/>
      <protection locked="0"/>
    </xf>
    <xf numFmtId="0" fontId="26" fillId="5" borderId="28" xfId="5" applyFont="1" applyFill="1" applyBorder="1" applyAlignment="1" applyProtection="1">
      <alignment horizontal="center"/>
      <protection locked="0"/>
    </xf>
    <xf numFmtId="10" fontId="8" fillId="0" borderId="1" xfId="2" applyNumberFormat="1" applyFont="1" applyBorder="1" applyAlignment="1" applyProtection="1">
      <alignment vertical="top"/>
      <protection locked="0"/>
    </xf>
    <xf numFmtId="8" fontId="0" fillId="0" borderId="72" xfId="0" applyNumberFormat="1" applyBorder="1" applyProtection="1">
      <protection locked="0"/>
    </xf>
    <xf numFmtId="8" fontId="0" fillId="0" borderId="68" xfId="0" applyNumberFormat="1" applyBorder="1" applyProtection="1">
      <protection locked="0"/>
    </xf>
    <xf numFmtId="8" fontId="0" fillId="0" borderId="71" xfId="0" applyNumberFormat="1" applyBorder="1" applyProtection="1">
      <protection locked="0"/>
    </xf>
    <xf numFmtId="43" fontId="8" fillId="0" borderId="1" xfId="6" applyFont="1" applyFill="1" applyBorder="1" applyAlignment="1" applyProtection="1">
      <protection locked="0"/>
    </xf>
    <xf numFmtId="0" fontId="8" fillId="0" borderId="71" xfId="5" applyFont="1" applyBorder="1" applyAlignment="1" applyProtection="1">
      <alignment horizontal="center"/>
      <protection locked="0"/>
    </xf>
    <xf numFmtId="0" fontId="8" fillId="0" borderId="5" xfId="5" applyFont="1" applyBorder="1" applyAlignment="1" applyProtection="1">
      <alignment horizontal="center"/>
      <protection locked="0"/>
    </xf>
    <xf numFmtId="0" fontId="8" fillId="0" borderId="13" xfId="5" applyFont="1" applyBorder="1" applyAlignment="1" applyProtection="1">
      <alignment horizontal="center"/>
      <protection locked="0"/>
    </xf>
    <xf numFmtId="44" fontId="8" fillId="5" borderId="1" xfId="1" applyFont="1" applyFill="1" applyBorder="1" applyAlignment="1" applyProtection="1">
      <alignment horizontal="center" vertical="center" wrapText="1"/>
      <protection locked="0"/>
    </xf>
    <xf numFmtId="44" fontId="8" fillId="5" borderId="39" xfId="1" applyFont="1" applyFill="1" applyBorder="1" applyAlignment="1" applyProtection="1">
      <alignment horizontal="center" vertical="center" wrapText="1"/>
      <protection locked="0"/>
    </xf>
    <xf numFmtId="0" fontId="8" fillId="12" borderId="15" xfId="3" applyFont="1" applyFill="1" applyBorder="1" applyAlignment="1" applyProtection="1">
      <alignment horizontal="center" vertical="top"/>
      <protection locked="0"/>
    </xf>
    <xf numFmtId="14" fontId="8" fillId="0" borderId="14" xfId="3" applyNumberFormat="1" applyFont="1" applyBorder="1" applyAlignment="1" applyProtection="1">
      <alignment vertical="top"/>
      <protection locked="0"/>
    </xf>
    <xf numFmtId="10" fontId="78" fillId="20" borderId="64" xfId="7" applyNumberFormat="1" applyFont="1" applyFill="1" applyBorder="1" applyAlignment="1" applyProtection="1">
      <alignment vertical="center"/>
    </xf>
    <xf numFmtId="44" fontId="78" fillId="12" borderId="1" xfId="9" applyFont="1" applyFill="1" applyBorder="1" applyAlignment="1" applyProtection="1">
      <alignment horizontal="center"/>
    </xf>
    <xf numFmtId="44" fontId="78" fillId="12" borderId="1" xfId="9" applyFont="1" applyFill="1" applyBorder="1" applyAlignment="1" applyProtection="1"/>
    <xf numFmtId="10" fontId="77" fillId="12" borderId="1" xfId="7" applyNumberFormat="1" applyFont="1" applyFill="1" applyBorder="1" applyProtection="1"/>
    <xf numFmtId="9" fontId="77" fillId="12" borderId="1" xfId="7" applyFont="1" applyFill="1" applyBorder="1" applyAlignment="1" applyProtection="1">
      <alignment horizontal="right"/>
    </xf>
    <xf numFmtId="10" fontId="78" fillId="12" borderId="1" xfId="7" applyNumberFormat="1" applyFont="1" applyFill="1" applyBorder="1" applyProtection="1"/>
    <xf numFmtId="44" fontId="78" fillId="12" borderId="1" xfId="9" applyFont="1" applyFill="1" applyBorder="1" applyAlignment="1" applyProtection="1">
      <alignment horizontal="right"/>
    </xf>
    <xf numFmtId="0" fontId="77" fillId="21" borderId="1" xfId="0" applyFont="1" applyFill="1" applyBorder="1" applyProtection="1">
      <protection locked="0"/>
    </xf>
    <xf numFmtId="44" fontId="77" fillId="21" borderId="1" xfId="9" applyFont="1" applyFill="1" applyBorder="1" applyAlignment="1" applyProtection="1">
      <alignment horizontal="center"/>
      <protection locked="0"/>
    </xf>
    <xf numFmtId="44" fontId="77" fillId="21" borderId="1" xfId="9" applyFont="1" applyFill="1" applyBorder="1" applyProtection="1">
      <protection locked="0"/>
    </xf>
    <xf numFmtId="44" fontId="77" fillId="21" borderId="1" xfId="9" applyFont="1" applyFill="1" applyBorder="1" applyAlignment="1" applyProtection="1">
      <alignment horizontal="right"/>
      <protection locked="0"/>
    </xf>
    <xf numFmtId="180" fontId="77" fillId="21" borderId="1" xfId="7" applyNumberFormat="1" applyFont="1" applyFill="1" applyBorder="1" applyAlignment="1" applyProtection="1">
      <alignment horizontal="center"/>
      <protection locked="0"/>
    </xf>
    <xf numFmtId="0" fontId="77" fillId="21" borderId="1" xfId="0" applyFont="1" applyFill="1" applyBorder="1" applyAlignment="1" applyProtection="1">
      <alignment horizontal="center"/>
      <protection locked="0"/>
    </xf>
    <xf numFmtId="44" fontId="77" fillId="12" borderId="1" xfId="9" applyFont="1" applyFill="1" applyBorder="1" applyAlignment="1" applyProtection="1">
      <alignment horizontal="right"/>
    </xf>
    <xf numFmtId="0" fontId="78" fillId="0" borderId="1" xfId="0" applyFont="1" applyBorder="1"/>
    <xf numFmtId="0" fontId="78" fillId="0" borderId="1" xfId="0" applyFont="1" applyBorder="1" applyAlignment="1">
      <alignment horizontal="center" wrapText="1"/>
    </xf>
    <xf numFmtId="0" fontId="77" fillId="12" borderId="1" xfId="0" applyFont="1" applyFill="1" applyBorder="1"/>
    <xf numFmtId="0" fontId="35" fillId="12" borderId="1" xfId="0" applyFont="1" applyFill="1" applyBorder="1" applyAlignment="1">
      <alignment horizontal="right"/>
    </xf>
    <xf numFmtId="0" fontId="78" fillId="12" borderId="1" xfId="0" applyFont="1" applyFill="1" applyBorder="1"/>
    <xf numFmtId="0" fontId="78" fillId="0" borderId="1" xfId="0" applyFont="1" applyBorder="1" applyAlignment="1">
      <alignment horizontal="center"/>
    </xf>
    <xf numFmtId="44" fontId="77" fillId="12" borderId="1" xfId="0" applyNumberFormat="1" applyFont="1" applyFill="1" applyBorder="1"/>
    <xf numFmtId="44" fontId="78" fillId="12" borderId="1" xfId="0" applyNumberFormat="1" applyFont="1" applyFill="1" applyBorder="1"/>
    <xf numFmtId="0" fontId="77" fillId="12" borderId="1" xfId="0" applyFont="1" applyFill="1" applyBorder="1" applyAlignment="1">
      <alignment horizontal="center"/>
    </xf>
    <xf numFmtId="10" fontId="77" fillId="12" borderId="1" xfId="7" applyNumberFormat="1" applyFont="1" applyFill="1" applyBorder="1" applyAlignment="1" applyProtection="1">
      <alignment vertical="center"/>
    </xf>
    <xf numFmtId="10" fontId="77" fillId="12" borderId="1" xfId="7" applyNumberFormat="1" applyFont="1" applyFill="1" applyBorder="1" applyAlignment="1" applyProtection="1">
      <alignment horizontal="right" vertical="center"/>
    </xf>
    <xf numFmtId="10" fontId="78" fillId="12" borderId="1" xfId="7" applyNumberFormat="1" applyFont="1" applyFill="1" applyBorder="1" applyAlignment="1" applyProtection="1">
      <alignment vertical="center"/>
    </xf>
    <xf numFmtId="0" fontId="78" fillId="20" borderId="56" xfId="0" applyFont="1" applyFill="1" applyBorder="1" applyAlignment="1">
      <alignment horizontal="center" vertical="center"/>
    </xf>
    <xf numFmtId="0" fontId="54" fillId="0" borderId="0" xfId="0" applyFont="1" applyAlignment="1" applyProtection="1">
      <alignment horizontal="right"/>
      <protection locked="0"/>
    </xf>
    <xf numFmtId="0" fontId="54" fillId="12" borderId="1" xfId="0" applyFont="1" applyFill="1" applyBorder="1" applyProtection="1">
      <protection locked="0"/>
    </xf>
    <xf numFmtId="38" fontId="18" fillId="0" borderId="8" xfId="10" applyNumberFormat="1" applyFont="1" applyBorder="1" applyProtection="1">
      <protection locked="0"/>
    </xf>
    <xf numFmtId="38" fontId="18" fillId="12" borderId="7" xfId="10" applyNumberFormat="1" applyFont="1" applyFill="1" applyBorder="1"/>
    <xf numFmtId="38" fontId="18" fillId="0" borderId="7" xfId="10" applyNumberFormat="1" applyFont="1" applyBorder="1" applyProtection="1">
      <protection locked="0"/>
    </xf>
    <xf numFmtId="38" fontId="18" fillId="0" borderId="0" xfId="10" applyNumberFormat="1" applyFont="1" applyProtection="1">
      <protection locked="0"/>
    </xf>
    <xf numFmtId="38" fontId="18" fillId="12" borderId="15" xfId="10" applyNumberFormat="1" applyFont="1" applyFill="1" applyBorder="1"/>
    <xf numFmtId="38" fontId="18" fillId="0" borderId="15" xfId="10" applyNumberFormat="1" applyFont="1" applyBorder="1" applyProtection="1">
      <protection locked="0"/>
    </xf>
    <xf numFmtId="38" fontId="18" fillId="0" borderId="6" xfId="10" applyNumberFormat="1" applyFont="1" applyBorder="1" applyProtection="1">
      <protection locked="0"/>
    </xf>
    <xf numFmtId="38" fontId="18" fillId="12" borderId="15" xfId="10" applyNumberFormat="1" applyFont="1" applyFill="1" applyBorder="1" applyProtection="1">
      <protection locked="0"/>
    </xf>
    <xf numFmtId="38" fontId="17" fillId="0" borderId="6" xfId="10" applyNumberFormat="1" applyFont="1" applyBorder="1" applyProtection="1">
      <protection locked="0"/>
    </xf>
    <xf numFmtId="38" fontId="18" fillId="0" borderId="27" xfId="10" applyNumberFormat="1" applyFont="1" applyBorder="1" applyProtection="1">
      <protection locked="0"/>
    </xf>
    <xf numFmtId="38" fontId="18" fillId="0" borderId="16" xfId="10" applyNumberFormat="1" applyFont="1" applyBorder="1" applyProtection="1">
      <protection locked="0"/>
    </xf>
    <xf numFmtId="38" fontId="18" fillId="12" borderId="64" xfId="10" applyNumberFormat="1" applyFont="1" applyFill="1" applyBorder="1"/>
    <xf numFmtId="38" fontId="18" fillId="12" borderId="22" xfId="10" applyNumberFormat="1" applyFont="1" applyFill="1" applyBorder="1"/>
    <xf numFmtId="38" fontId="18" fillId="12" borderId="17" xfId="10" applyNumberFormat="1" applyFont="1" applyFill="1" applyBorder="1"/>
    <xf numFmtId="38" fontId="18" fillId="12" borderId="23" xfId="10" applyNumberFormat="1" applyFont="1" applyFill="1" applyBorder="1"/>
    <xf numFmtId="38" fontId="18" fillId="12" borderId="87" xfId="10" applyNumberFormat="1" applyFont="1" applyFill="1" applyBorder="1"/>
    <xf numFmtId="38" fontId="18" fillId="12" borderId="18" xfId="10" applyNumberFormat="1" applyFont="1" applyFill="1" applyBorder="1"/>
    <xf numFmtId="38" fontId="18" fillId="0" borderId="18" xfId="10" applyNumberFormat="1" applyFont="1" applyBorder="1" applyProtection="1">
      <protection locked="0"/>
    </xf>
    <xf numFmtId="38" fontId="18" fillId="12" borderId="16" xfId="10" applyNumberFormat="1" applyFont="1" applyFill="1" applyBorder="1" applyProtection="1">
      <protection locked="0"/>
    </xf>
    <xf numFmtId="38" fontId="18" fillId="12" borderId="7" xfId="10" applyNumberFormat="1" applyFont="1" applyFill="1" applyBorder="1" applyProtection="1">
      <protection locked="0"/>
    </xf>
    <xf numFmtId="38" fontId="18" fillId="12" borderId="6" xfId="10" applyNumberFormat="1" applyFont="1" applyFill="1" applyBorder="1"/>
    <xf numFmtId="38" fontId="18" fillId="12" borderId="6" xfId="10" applyNumberFormat="1" applyFont="1" applyFill="1" applyBorder="1" applyProtection="1">
      <protection locked="0"/>
    </xf>
    <xf numFmtId="38" fontId="18" fillId="0" borderId="28" xfId="10" applyNumberFormat="1" applyFont="1" applyBorder="1" applyProtection="1">
      <protection locked="0"/>
    </xf>
    <xf numFmtId="38" fontId="18" fillId="9" borderId="28" xfId="10" applyNumberFormat="1" applyFont="1" applyFill="1" applyBorder="1" applyProtection="1">
      <protection locked="0"/>
    </xf>
    <xf numFmtId="38" fontId="18" fillId="12" borderId="27" xfId="10" applyNumberFormat="1" applyFont="1" applyFill="1" applyBorder="1"/>
    <xf numFmtId="38" fontId="18" fillId="12" borderId="16" xfId="10" applyNumberFormat="1" applyFont="1" applyFill="1" applyBorder="1"/>
    <xf numFmtId="38" fontId="18" fillId="12" borderId="19" xfId="10" applyNumberFormat="1" applyFont="1" applyFill="1" applyBorder="1"/>
    <xf numFmtId="38" fontId="17" fillId="12" borderId="15" xfId="10" applyNumberFormat="1" applyFont="1" applyFill="1" applyBorder="1"/>
    <xf numFmtId="38" fontId="18" fillId="12" borderId="0" xfId="10" applyNumberFormat="1" applyFont="1" applyFill="1"/>
    <xf numFmtId="38" fontId="18" fillId="12" borderId="15" xfId="11" applyNumberFormat="1" applyFont="1" applyFill="1" applyBorder="1" applyProtection="1"/>
    <xf numFmtId="38" fontId="18" fillId="0" borderId="7" xfId="10" applyNumberFormat="1" applyFont="1" applyBorder="1"/>
    <xf numFmtId="38" fontId="18" fillId="12" borderId="10" xfId="10" applyNumberFormat="1" applyFont="1" applyFill="1" applyBorder="1"/>
    <xf numFmtId="38" fontId="18" fillId="0" borderId="15" xfId="10" applyNumberFormat="1" applyFont="1" applyBorder="1"/>
    <xf numFmtId="38" fontId="18" fillId="0" borderId="0" xfId="10" applyNumberFormat="1" applyFont="1"/>
    <xf numFmtId="38" fontId="18" fillId="0" borderId="8" xfId="10" applyNumberFormat="1" applyFont="1" applyBorder="1"/>
    <xf numFmtId="38" fontId="18" fillId="0" borderId="16" xfId="10" applyNumberFormat="1" applyFont="1" applyBorder="1"/>
    <xf numFmtId="38" fontId="18" fillId="9" borderId="64" xfId="10" applyNumberFormat="1" applyFont="1" applyFill="1" applyBorder="1"/>
    <xf numFmtId="38" fontId="18" fillId="9" borderId="17" xfId="10" applyNumberFormat="1" applyFont="1" applyFill="1" applyBorder="1"/>
    <xf numFmtId="38" fontId="18" fillId="9" borderId="23" xfId="10" applyNumberFormat="1" applyFont="1" applyFill="1" applyBorder="1"/>
    <xf numFmtId="38" fontId="18" fillId="9" borderId="22" xfId="10" applyNumberFormat="1" applyFont="1" applyFill="1" applyBorder="1"/>
    <xf numFmtId="38" fontId="18" fillId="0" borderId="18" xfId="10" applyNumberFormat="1" applyFont="1" applyBorder="1"/>
    <xf numFmtId="38" fontId="18" fillId="12" borderId="28" xfId="10" applyNumberFormat="1" applyFont="1" applyFill="1" applyBorder="1" applyProtection="1">
      <protection locked="0"/>
    </xf>
    <xf numFmtId="38" fontId="18" fillId="0" borderId="28" xfId="10" applyNumberFormat="1" applyFont="1" applyBorder="1"/>
    <xf numFmtId="38" fontId="18" fillId="12" borderId="28" xfId="10" applyNumberFormat="1" applyFont="1" applyFill="1" applyBorder="1"/>
    <xf numFmtId="0" fontId="10" fillId="0" borderId="0" xfId="4" applyFont="1"/>
    <xf numFmtId="0" fontId="8" fillId="0" borderId="0" xfId="4" applyFont="1"/>
    <xf numFmtId="0" fontId="17" fillId="0" borderId="0" xfId="4" applyFont="1"/>
    <xf numFmtId="0" fontId="18" fillId="0" borderId="0" xfId="4" applyFont="1"/>
    <xf numFmtId="0" fontId="18" fillId="0" borderId="33" xfId="5" applyFont="1" applyBorder="1" applyAlignment="1" applyProtection="1">
      <alignment horizontal="left"/>
      <protection locked="0"/>
    </xf>
    <xf numFmtId="0" fontId="18" fillId="0" borderId="35" xfId="5" applyFont="1" applyBorder="1" applyAlignment="1" applyProtection="1">
      <alignment horizontal="left"/>
      <protection locked="0"/>
    </xf>
    <xf numFmtId="9" fontId="18" fillId="12" borderId="1" xfId="5" applyNumberFormat="1" applyFont="1" applyFill="1" applyBorder="1" applyAlignment="1" applyProtection="1">
      <alignment horizontal="center"/>
      <protection locked="0"/>
    </xf>
    <xf numFmtId="0" fontId="0" fillId="0" borderId="43" xfId="0" applyBorder="1"/>
    <xf numFmtId="0" fontId="0" fillId="0" borderId="42" xfId="0" applyBorder="1"/>
    <xf numFmtId="0" fontId="76" fillId="0" borderId="36" xfId="0" applyFont="1" applyBorder="1" applyAlignment="1">
      <alignment horizontal="center"/>
    </xf>
    <xf numFmtId="0" fontId="77" fillId="0" borderId="0" xfId="0" applyFont="1"/>
    <xf numFmtId="0" fontId="78" fillId="0" borderId="36" xfId="0" applyFont="1" applyBorder="1" applyAlignment="1">
      <alignment horizontal="center"/>
    </xf>
    <xf numFmtId="0" fontId="78" fillId="0" borderId="0" xfId="0" applyFont="1"/>
    <xf numFmtId="0" fontId="77" fillId="0" borderId="36" xfId="0" applyFont="1" applyBorder="1" applyAlignment="1">
      <alignment horizontal="center"/>
    </xf>
    <xf numFmtId="0" fontId="79" fillId="0" borderId="0" xfId="0" applyFont="1" applyAlignment="1">
      <alignment horizontal="left"/>
    </xf>
    <xf numFmtId="0" fontId="79" fillId="0" borderId="0" xfId="0" applyFont="1"/>
    <xf numFmtId="44" fontId="78" fillId="12" borderId="0" xfId="9" applyFont="1" applyFill="1" applyBorder="1" applyProtection="1"/>
    <xf numFmtId="44" fontId="77" fillId="12" borderId="0" xfId="9" applyFont="1" applyFill="1" applyBorder="1" applyProtection="1"/>
    <xf numFmtId="0" fontId="77" fillId="0" borderId="27" xfId="0" applyFont="1" applyBorder="1" applyAlignment="1">
      <alignment horizontal="center"/>
    </xf>
    <xf numFmtId="0" fontId="77" fillId="0" borderId="27" xfId="0" applyFont="1" applyBorder="1"/>
    <xf numFmtId="0" fontId="35" fillId="0" borderId="27" xfId="0" applyFont="1" applyBorder="1"/>
    <xf numFmtId="0" fontId="4" fillId="12" borderId="57" xfId="0" applyFont="1" applyFill="1" applyBorder="1" applyAlignment="1">
      <alignment horizontal="center"/>
    </xf>
    <xf numFmtId="42" fontId="8" fillId="0" borderId="14" xfId="1" applyNumberFormat="1" applyFont="1" applyFill="1" applyBorder="1" applyAlignment="1" applyProtection="1">
      <alignment vertical="top"/>
    </xf>
    <xf numFmtId="9" fontId="10" fillId="12" borderId="56" xfId="2" applyFont="1" applyFill="1" applyBorder="1" applyAlignment="1" applyProtection="1">
      <alignment horizontal="center" vertical="top"/>
    </xf>
    <xf numFmtId="0" fontId="10" fillId="12" borderId="56" xfId="3" applyFont="1" applyFill="1" applyBorder="1" applyAlignment="1">
      <alignment horizontal="right" vertical="top"/>
    </xf>
    <xf numFmtId="0" fontId="10" fillId="12" borderId="64" xfId="3" applyFont="1" applyFill="1" applyBorder="1" applyAlignment="1">
      <alignment horizontal="right" vertical="top"/>
    </xf>
    <xf numFmtId="42" fontId="10" fillId="0" borderId="14" xfId="6" applyNumberFormat="1" applyFont="1" applyFill="1" applyBorder="1" applyAlignment="1" applyProtection="1">
      <alignment vertical="top"/>
    </xf>
    <xf numFmtId="42" fontId="10" fillId="0" borderId="1" xfId="6" applyNumberFormat="1" applyFont="1" applyFill="1" applyBorder="1" applyAlignment="1" applyProtection="1">
      <alignment vertical="top"/>
    </xf>
    <xf numFmtId="165" fontId="10" fillId="0" borderId="14" xfId="2" applyNumberFormat="1" applyFont="1" applyFill="1" applyBorder="1" applyAlignment="1" applyProtection="1">
      <alignment vertical="top"/>
    </xf>
    <xf numFmtId="3" fontId="0" fillId="0" borderId="14" xfId="0" applyNumberFormat="1" applyBorder="1"/>
    <xf numFmtId="3" fontId="0" fillId="0" borderId="1" xfId="0" applyNumberFormat="1" applyBorder="1"/>
    <xf numFmtId="0" fontId="8" fillId="0" borderId="0" xfId="3" applyFont="1" applyAlignment="1">
      <alignment horizontal="right" vertical="top"/>
    </xf>
    <xf numFmtId="10" fontId="10" fillId="0" borderId="0" xfId="2" applyNumberFormat="1" applyFont="1" applyFill="1" applyBorder="1" applyAlignment="1" applyProtection="1">
      <alignment vertical="top"/>
    </xf>
    <xf numFmtId="9" fontId="10" fillId="0" borderId="0" xfId="2" applyFont="1" applyFill="1" applyBorder="1" applyAlignment="1" applyProtection="1">
      <alignment vertical="top"/>
    </xf>
    <xf numFmtId="37" fontId="18" fillId="0" borderId="0" xfId="10" applyNumberFormat="1" applyFont="1" applyProtection="1">
      <protection locked="0"/>
    </xf>
    <xf numFmtId="37" fontId="18" fillId="0" borderId="0" xfId="10" applyNumberFormat="1" applyFont="1" applyAlignment="1" applyProtection="1">
      <alignment horizontal="center"/>
      <protection locked="0"/>
    </xf>
    <xf numFmtId="37" fontId="18" fillId="0" borderId="0" xfId="10" applyNumberFormat="1" applyFont="1" applyAlignment="1" applyProtection="1">
      <alignment wrapText="1"/>
      <protection locked="0"/>
    </xf>
    <xf numFmtId="37" fontId="18" fillId="7" borderId="0" xfId="10" applyNumberFormat="1" applyFont="1" applyFill="1" applyAlignment="1" applyProtection="1">
      <alignment wrapText="1"/>
      <protection locked="0"/>
    </xf>
    <xf numFmtId="37" fontId="18" fillId="7" borderId="0" xfId="10" applyNumberFormat="1" applyFont="1" applyFill="1" applyAlignment="1" applyProtection="1">
      <alignment vertical="top" wrapText="1"/>
      <protection locked="0"/>
    </xf>
    <xf numFmtId="3" fontId="18" fillId="0" borderId="15" xfId="1" applyNumberFormat="1" applyFont="1" applyBorder="1" applyProtection="1">
      <protection locked="0"/>
    </xf>
    <xf numFmtId="3" fontId="18" fillId="0" borderId="34" xfId="10" applyNumberFormat="1" applyFont="1" applyBorder="1" applyProtection="1">
      <protection locked="0"/>
    </xf>
    <xf numFmtId="3" fontId="18" fillId="0" borderId="6" xfId="1" applyNumberFormat="1" applyFont="1" applyBorder="1" applyProtection="1">
      <protection locked="0"/>
    </xf>
    <xf numFmtId="3" fontId="18" fillId="0" borderId="14" xfId="1" applyNumberFormat="1" applyFont="1" applyBorder="1" applyProtection="1">
      <protection locked="0"/>
    </xf>
    <xf numFmtId="3" fontId="18" fillId="0" borderId="2" xfId="1" applyNumberFormat="1" applyFont="1" applyBorder="1" applyProtection="1">
      <protection locked="0"/>
    </xf>
    <xf numFmtId="3" fontId="18" fillId="0" borderId="2" xfId="1" applyNumberFormat="1" applyFont="1" applyFill="1" applyBorder="1" applyProtection="1">
      <protection locked="0"/>
    </xf>
    <xf numFmtId="3" fontId="18" fillId="0" borderId="11" xfId="1" applyNumberFormat="1" applyFont="1" applyFill="1" applyBorder="1" applyProtection="1">
      <protection locked="0"/>
    </xf>
    <xf numFmtId="3" fontId="18" fillId="0" borderId="32" xfId="10" applyNumberFormat="1" applyFont="1" applyBorder="1" applyProtection="1">
      <protection locked="0"/>
    </xf>
    <xf numFmtId="3" fontId="18" fillId="0" borderId="54" xfId="10" applyNumberFormat="1" applyFont="1" applyBorder="1" applyProtection="1">
      <protection locked="0"/>
    </xf>
    <xf numFmtId="37" fontId="18" fillId="0" borderId="7" xfId="1" applyNumberFormat="1" applyFont="1" applyFill="1" applyBorder="1" applyProtection="1">
      <protection locked="0"/>
    </xf>
    <xf numFmtId="37" fontId="18" fillId="0" borderId="15" xfId="1" applyNumberFormat="1" applyFont="1" applyFill="1" applyBorder="1" applyProtection="1">
      <protection locked="0"/>
    </xf>
    <xf numFmtId="37" fontId="18" fillId="0" borderId="20" xfId="1" applyNumberFormat="1" applyFont="1" applyFill="1" applyBorder="1" applyProtection="1">
      <protection locked="0"/>
    </xf>
    <xf numFmtId="37" fontId="18" fillId="0" borderId="7" xfId="1" applyNumberFormat="1" applyFont="1" applyBorder="1" applyProtection="1">
      <protection locked="0"/>
    </xf>
    <xf numFmtId="37" fontId="18" fillId="0" borderId="15" xfId="1" applyNumberFormat="1" applyFont="1" applyBorder="1" applyProtection="1">
      <protection locked="0"/>
    </xf>
    <xf numFmtId="37" fontId="18" fillId="0" borderId="20" xfId="1" applyNumberFormat="1" applyFont="1" applyBorder="1" applyProtection="1">
      <protection locked="0"/>
    </xf>
    <xf numFmtId="37" fontId="18" fillId="0" borderId="1" xfId="1" applyNumberFormat="1" applyFont="1" applyBorder="1" applyProtection="1">
      <protection locked="0"/>
    </xf>
    <xf numFmtId="37" fontId="54" fillId="0" borderId="89" xfId="1" applyNumberFormat="1" applyFont="1" applyFill="1" applyBorder="1" applyProtection="1">
      <protection locked="0"/>
    </xf>
    <xf numFmtId="3" fontId="54" fillId="0" borderId="1" xfId="0" applyNumberFormat="1" applyFont="1" applyBorder="1" applyProtection="1">
      <protection locked="0"/>
    </xf>
    <xf numFmtId="3" fontId="18" fillId="0" borderId="18" xfId="1" applyNumberFormat="1" applyFont="1" applyBorder="1" applyProtection="1">
      <protection locked="0"/>
    </xf>
    <xf numFmtId="3" fontId="18" fillId="0" borderId="15" xfId="1" applyNumberFormat="1" applyFont="1" applyFill="1" applyBorder="1" applyProtection="1">
      <protection locked="0"/>
    </xf>
    <xf numFmtId="3" fontId="18" fillId="0" borderId="14" xfId="1" applyNumberFormat="1" applyFont="1" applyFill="1" applyBorder="1" applyProtection="1">
      <protection locked="0"/>
    </xf>
    <xf numFmtId="184" fontId="8" fillId="0" borderId="39" xfId="3" applyNumberFormat="1" applyFont="1" applyBorder="1" applyAlignment="1" applyProtection="1">
      <alignment horizontal="center" vertical="top" wrapText="1"/>
      <protection locked="0"/>
    </xf>
    <xf numFmtId="185" fontId="8" fillId="0" borderId="1" xfId="3" applyNumberFormat="1" applyFont="1" applyBorder="1" applyAlignment="1" applyProtection="1">
      <alignment vertical="top"/>
      <protection locked="0"/>
    </xf>
    <xf numFmtId="49" fontId="8" fillId="0" borderId="1" xfId="3" applyNumberFormat="1" applyFont="1" applyBorder="1" applyAlignment="1" applyProtection="1">
      <alignment horizontal="center" vertical="top"/>
      <protection locked="0"/>
    </xf>
    <xf numFmtId="9" fontId="4" fillId="12" borderId="9" xfId="0" applyNumberFormat="1" applyFont="1" applyFill="1" applyBorder="1"/>
    <xf numFmtId="10" fontId="3" fillId="0" borderId="1" xfId="2" applyNumberFormat="1" applyFont="1" applyFill="1" applyBorder="1" applyAlignment="1">
      <alignment horizontal="center" vertical="center"/>
    </xf>
    <xf numFmtId="0" fontId="18" fillId="0" borderId="19" xfId="5" applyFont="1" applyBorder="1" applyAlignment="1" applyProtection="1">
      <alignment horizontal="left" vertical="top" wrapText="1"/>
      <protection locked="0"/>
    </xf>
    <xf numFmtId="0" fontId="18" fillId="0" borderId="19" xfId="5" quotePrefix="1" applyFont="1" applyBorder="1" applyAlignment="1" applyProtection="1">
      <alignment horizontal="left" vertical="top" wrapText="1"/>
      <protection locked="0"/>
    </xf>
    <xf numFmtId="0" fontId="24" fillId="0" borderId="0" xfId="5" applyFont="1" applyAlignment="1">
      <alignment horizontal="left" wrapText="1"/>
    </xf>
    <xf numFmtId="0" fontId="18" fillId="0" borderId="0" xfId="5" applyFont="1" applyAlignment="1">
      <alignment horizontal="left" wrapText="1"/>
    </xf>
    <xf numFmtId="0" fontId="18" fillId="0" borderId="0" xfId="5" applyFont="1"/>
    <xf numFmtId="0" fontId="18" fillId="0" borderId="0" xfId="5" applyFont="1" applyAlignment="1" applyProtection="1">
      <alignment horizontal="left" wrapText="1"/>
      <protection locked="0"/>
    </xf>
    <xf numFmtId="38" fontId="18" fillId="12" borderId="30" xfId="10" applyNumberFormat="1" applyFont="1" applyFill="1" applyBorder="1"/>
    <xf numFmtId="38" fontId="17" fillId="12" borderId="18" xfId="10" applyNumberFormat="1" applyFont="1" applyFill="1" applyBorder="1"/>
    <xf numFmtId="167" fontId="18" fillId="12" borderId="97" xfId="10" applyNumberFormat="1" applyFont="1" applyFill="1" applyBorder="1"/>
    <xf numFmtId="0" fontId="18" fillId="12" borderId="16" xfId="10" applyFont="1" applyFill="1" applyBorder="1"/>
    <xf numFmtId="4" fontId="18" fillId="12" borderId="16" xfId="10" applyNumberFormat="1" applyFont="1" applyFill="1" applyBorder="1"/>
    <xf numFmtId="4" fontId="18" fillId="12" borderId="59" xfId="10" applyNumberFormat="1" applyFont="1" applyFill="1" applyBorder="1"/>
    <xf numFmtId="4" fontId="18" fillId="12" borderId="27" xfId="10" applyNumberFormat="1" applyFont="1" applyFill="1" applyBorder="1"/>
    <xf numFmtId="0" fontId="0" fillId="0" borderId="35" xfId="0" applyBorder="1"/>
    <xf numFmtId="3" fontId="0" fillId="12" borderId="28" xfId="0" applyNumberFormat="1" applyFill="1" applyBorder="1"/>
    <xf numFmtId="0" fontId="4" fillId="12" borderId="47" xfId="0" applyFont="1" applyFill="1" applyBorder="1"/>
    <xf numFmtId="0" fontId="81" fillId="12" borderId="47" xfId="0" applyFont="1" applyFill="1" applyBorder="1"/>
    <xf numFmtId="0" fontId="0" fillId="0" borderId="33" xfId="0" applyBorder="1"/>
    <xf numFmtId="9" fontId="0" fillId="0" borderId="14" xfId="0" applyNumberFormat="1" applyBorder="1"/>
    <xf numFmtId="0" fontId="0" fillId="12" borderId="14" xfId="0" applyFill="1" applyBorder="1"/>
    <xf numFmtId="0" fontId="0" fillId="12" borderId="70" xfId="0" applyFill="1" applyBorder="1"/>
    <xf numFmtId="0" fontId="0" fillId="12" borderId="17" xfId="0" applyFill="1" applyBorder="1"/>
    <xf numFmtId="0" fontId="4" fillId="12" borderId="28" xfId="0" applyFont="1" applyFill="1" applyBorder="1"/>
    <xf numFmtId="0" fontId="81" fillId="12" borderId="28" xfId="0" applyFont="1" applyFill="1" applyBorder="1"/>
    <xf numFmtId="0" fontId="4" fillId="12" borderId="14" xfId="0" applyFont="1" applyFill="1" applyBorder="1"/>
    <xf numFmtId="0" fontId="4" fillId="12" borderId="1" xfId="0" applyFont="1" applyFill="1" applyBorder="1"/>
    <xf numFmtId="0" fontId="81" fillId="12" borderId="14" xfId="0" applyFont="1" applyFill="1" applyBorder="1"/>
    <xf numFmtId="0" fontId="81" fillId="12" borderId="1" xfId="0" applyFont="1" applyFill="1" applyBorder="1"/>
    <xf numFmtId="3" fontId="4" fillId="12" borderId="28" xfId="0" applyNumberFormat="1" applyFont="1" applyFill="1" applyBorder="1"/>
    <xf numFmtId="4" fontId="4" fillId="12" borderId="14" xfId="0" applyNumberFormat="1" applyFont="1" applyFill="1" applyBorder="1"/>
    <xf numFmtId="4" fontId="4" fillId="12" borderId="1" xfId="0" applyNumberFormat="1" applyFont="1" applyFill="1" applyBorder="1"/>
    <xf numFmtId="4" fontId="81" fillId="12" borderId="14" xfId="0" applyNumberFormat="1" applyFont="1" applyFill="1" applyBorder="1"/>
    <xf numFmtId="4" fontId="81" fillId="12" borderId="1" xfId="0" applyNumberFormat="1" applyFont="1" applyFill="1" applyBorder="1"/>
    <xf numFmtId="3" fontId="65" fillId="17" borderId="1" xfId="0" applyNumberFormat="1" applyFont="1" applyFill="1" applyBorder="1" applyAlignment="1" applyProtection="1">
      <alignment horizontal="right" vertical="center"/>
      <protection locked="0"/>
    </xf>
    <xf numFmtId="3" fontId="65" fillId="17" borderId="1" xfId="1" applyNumberFormat="1" applyFont="1" applyFill="1" applyBorder="1" applyAlignment="1" applyProtection="1">
      <alignment horizontal="right" vertical="center"/>
      <protection locked="0"/>
    </xf>
    <xf numFmtId="3" fontId="54" fillId="12" borderId="1" xfId="1" applyNumberFormat="1" applyFont="1" applyFill="1" applyBorder="1" applyAlignment="1">
      <alignment horizontal="right"/>
    </xf>
    <xf numFmtId="3" fontId="0" fillId="17" borderId="1" xfId="1" applyNumberFormat="1" applyFont="1" applyFill="1" applyBorder="1" applyProtection="1">
      <protection locked="0"/>
    </xf>
    <xf numFmtId="3" fontId="54" fillId="12" borderId="7" xfId="0" applyNumberFormat="1" applyFont="1" applyFill="1" applyBorder="1"/>
    <xf numFmtId="3" fontId="65" fillId="12" borderId="1" xfId="1" applyNumberFormat="1" applyFont="1" applyFill="1" applyBorder="1" applyAlignment="1">
      <alignment horizontal="right" vertical="center"/>
    </xf>
    <xf numFmtId="3" fontId="54" fillId="12" borderId="1" xfId="0" applyNumberFormat="1" applyFont="1" applyFill="1" applyBorder="1" applyAlignment="1">
      <alignment horizontal="right"/>
    </xf>
    <xf numFmtId="3" fontId="0" fillId="12" borderId="1" xfId="0" applyNumberFormat="1" applyFill="1" applyBorder="1" applyAlignment="1">
      <alignment horizontal="right"/>
    </xf>
    <xf numFmtId="3" fontId="54" fillId="12" borderId="7" xfId="0" applyNumberFormat="1" applyFont="1" applyFill="1" applyBorder="1" applyAlignment="1">
      <alignment horizontal="right"/>
    </xf>
    <xf numFmtId="4" fontId="65" fillId="17" borderId="92" xfId="0" applyNumberFormat="1" applyFont="1" applyFill="1" applyBorder="1" applyAlignment="1" applyProtection="1">
      <alignment horizontal="right" vertical="center"/>
      <protection locked="0"/>
    </xf>
    <xf numFmtId="4" fontId="65" fillId="17" borderId="94" xfId="0" applyNumberFormat="1" applyFont="1" applyFill="1" applyBorder="1" applyAlignment="1" applyProtection="1">
      <alignment horizontal="right" vertical="center"/>
      <protection locked="0"/>
    </xf>
    <xf numFmtId="4" fontId="65" fillId="17" borderId="93" xfId="0" applyNumberFormat="1" applyFont="1" applyFill="1" applyBorder="1" applyAlignment="1" applyProtection="1">
      <alignment horizontal="right" vertical="center"/>
      <protection locked="0"/>
    </xf>
    <xf numFmtId="4" fontId="0" fillId="12" borderId="94" xfId="0" applyNumberFormat="1" applyFill="1" applyBorder="1"/>
    <xf numFmtId="4" fontId="65" fillId="12" borderId="95" xfId="0" applyNumberFormat="1" applyFont="1" applyFill="1" applyBorder="1" applyAlignment="1">
      <alignment horizontal="right" vertical="center"/>
    </xf>
    <xf numFmtId="4" fontId="65" fillId="12" borderId="95" xfId="1" applyNumberFormat="1" applyFont="1" applyFill="1" applyBorder="1" applyAlignment="1" applyProtection="1">
      <alignment horizontal="right" vertical="center"/>
    </xf>
    <xf numFmtId="4" fontId="54" fillId="12" borderId="92" xfId="0" applyNumberFormat="1" applyFont="1" applyFill="1" applyBorder="1" applyAlignment="1">
      <alignment horizontal="right"/>
    </xf>
    <xf numFmtId="4" fontId="0" fillId="12" borderId="93" xfId="0" applyNumberFormat="1" applyFill="1" applyBorder="1" applyAlignment="1">
      <alignment horizontal="right"/>
    </xf>
    <xf numFmtId="4" fontId="54" fillId="12" borderId="94" xfId="0" applyNumberFormat="1" applyFont="1" applyFill="1" applyBorder="1" applyAlignment="1">
      <alignment horizontal="right"/>
    </xf>
    <xf numFmtId="4" fontId="54" fillId="12" borderId="94" xfId="0" applyNumberFormat="1" applyFont="1" applyFill="1" applyBorder="1"/>
    <xf numFmtId="37" fontId="18" fillId="12" borderId="1" xfId="1" applyNumberFormat="1" applyFont="1" applyFill="1" applyBorder="1"/>
    <xf numFmtId="37" fontId="18" fillId="12" borderId="1" xfId="1" applyNumberFormat="1" applyFont="1" applyFill="1" applyBorder="1" applyProtection="1">
      <protection locked="0"/>
    </xf>
    <xf numFmtId="37" fontId="18" fillId="0" borderId="1" xfId="1" applyNumberFormat="1" applyFont="1" applyFill="1" applyBorder="1" applyProtection="1">
      <protection locked="0"/>
    </xf>
    <xf numFmtId="37" fontId="17" fillId="12" borderId="1" xfId="1" applyNumberFormat="1" applyFont="1" applyFill="1" applyBorder="1" applyAlignment="1">
      <alignment horizontal="right" wrapText="1"/>
    </xf>
    <xf numFmtId="37" fontId="18" fillId="0" borderId="1" xfId="1" applyNumberFormat="1" applyFont="1" applyBorder="1"/>
    <xf numFmtId="37" fontId="18" fillId="12" borderId="39" xfId="1" applyNumberFormat="1" applyFont="1" applyFill="1" applyBorder="1"/>
    <xf numFmtId="37" fontId="18" fillId="0" borderId="1" xfId="1" applyNumberFormat="1" applyFont="1" applyFill="1" applyBorder="1"/>
    <xf numFmtId="37" fontId="17" fillId="0" borderId="1" xfId="1" applyNumberFormat="1" applyFont="1" applyBorder="1" applyAlignment="1">
      <alignment horizontal="right" wrapText="1"/>
    </xf>
    <xf numFmtId="37" fontId="17" fillId="12" borderId="39" xfId="1" applyNumberFormat="1" applyFont="1" applyFill="1" applyBorder="1" applyAlignment="1">
      <alignment horizontal="right" wrapText="1"/>
    </xf>
    <xf numFmtId="37" fontId="18" fillId="0" borderId="1" xfId="1" applyNumberFormat="1" applyFont="1" applyFill="1" applyBorder="1" applyAlignment="1">
      <alignment horizontal="right"/>
    </xf>
    <xf numFmtId="37" fontId="18" fillId="0" borderId="1" xfId="1" applyNumberFormat="1" applyFont="1" applyFill="1" applyBorder="1" applyAlignment="1">
      <alignment horizontal="right" wrapText="1"/>
    </xf>
    <xf numFmtId="37" fontId="18" fillId="0" borderId="1" xfId="5" applyNumberFormat="1" applyFont="1" applyBorder="1" applyAlignment="1">
      <alignment horizontal="right"/>
    </xf>
    <xf numFmtId="37" fontId="18" fillId="0" borderId="1" xfId="5" applyNumberFormat="1" applyFont="1" applyBorder="1" applyAlignment="1" applyProtection="1">
      <alignment horizontal="right" wrapText="1"/>
      <protection locked="0"/>
    </xf>
    <xf numFmtId="9" fontId="54" fillId="0" borderId="1" xfId="0" applyNumberFormat="1" applyFont="1" applyBorder="1" applyAlignment="1">
      <alignment horizontal="right"/>
    </xf>
    <xf numFmtId="9" fontId="18" fillId="0" borderId="1" xfId="2" applyFont="1" applyFill="1" applyBorder="1" applyAlignment="1" applyProtection="1">
      <alignment horizontal="right" wrapText="1"/>
      <protection locked="0"/>
    </xf>
    <xf numFmtId="169" fontId="10" fillId="0" borderId="1" xfId="2" applyNumberFormat="1" applyFont="1" applyFill="1" applyBorder="1" applyAlignment="1" applyProtection="1">
      <alignment vertical="top"/>
      <protection locked="0"/>
    </xf>
    <xf numFmtId="169" fontId="4" fillId="0" borderId="1" xfId="0" applyNumberFormat="1" applyFont="1" applyBorder="1" applyProtection="1">
      <protection locked="0"/>
    </xf>
    <xf numFmtId="169" fontId="10" fillId="0" borderId="1" xfId="2" applyNumberFormat="1" applyFont="1" applyFill="1" applyBorder="1" applyAlignment="1" applyProtection="1">
      <alignment vertical="top"/>
    </xf>
    <xf numFmtId="42" fontId="8" fillId="0" borderId="53" xfId="1" applyNumberFormat="1" applyFont="1" applyFill="1" applyBorder="1" applyAlignment="1" applyProtection="1">
      <alignment vertical="top"/>
    </xf>
    <xf numFmtId="3" fontId="0" fillId="0" borderId="53" xfId="0" applyNumberFormat="1" applyBorder="1"/>
    <xf numFmtId="3" fontId="0" fillId="0" borderId="39" xfId="0" applyNumberFormat="1" applyBorder="1"/>
    <xf numFmtId="165" fontId="10" fillId="12" borderId="39" xfId="1" applyNumberFormat="1" applyFont="1" applyFill="1" applyBorder="1" applyAlignment="1" applyProtection="1">
      <alignment vertical="top"/>
    </xf>
    <xf numFmtId="0" fontId="8" fillId="12" borderId="42" xfId="3" applyFont="1" applyFill="1" applyBorder="1" applyAlignment="1">
      <alignment horizontal="right" vertical="top"/>
    </xf>
    <xf numFmtId="0" fontId="8" fillId="12" borderId="27" xfId="3" applyFont="1" applyFill="1" applyBorder="1" applyAlignment="1">
      <alignment horizontal="right" vertical="top"/>
    </xf>
    <xf numFmtId="10" fontId="10" fillId="12" borderId="28" xfId="2" applyNumberFormat="1" applyFont="1" applyFill="1" applyBorder="1" applyAlignment="1" applyProtection="1">
      <alignment vertical="top"/>
    </xf>
    <xf numFmtId="9" fontId="10" fillId="12" borderId="48" xfId="2" applyFont="1" applyFill="1" applyBorder="1" applyAlignment="1" applyProtection="1">
      <alignment vertical="top"/>
    </xf>
    <xf numFmtId="0" fontId="8" fillId="0" borderId="1" xfId="5" applyFont="1" applyBorder="1" applyProtection="1">
      <protection locked="0"/>
    </xf>
    <xf numFmtId="4" fontId="8" fillId="0" borderId="39" xfId="1" applyNumberFormat="1" applyFont="1" applyBorder="1" applyAlignment="1" applyProtection="1">
      <alignment horizontal="right"/>
      <protection locked="0"/>
    </xf>
    <xf numFmtId="4" fontId="10" fillId="12" borderId="48" xfId="1" applyNumberFormat="1" applyFont="1" applyFill="1" applyBorder="1" applyAlignment="1" applyProtection="1">
      <alignment horizontal="right"/>
    </xf>
    <xf numFmtId="4" fontId="0" fillId="8" borderId="7" xfId="0" applyNumberFormat="1" applyFill="1" applyBorder="1" applyProtection="1">
      <protection locked="0"/>
    </xf>
    <xf numFmtId="4" fontId="0" fillId="8" borderId="15" xfId="0" applyNumberFormat="1" applyFill="1" applyBorder="1" applyProtection="1">
      <protection locked="0"/>
    </xf>
    <xf numFmtId="4" fontId="0" fillId="8" borderId="14" xfId="0" applyNumberFormat="1" applyFill="1" applyBorder="1" applyProtection="1">
      <protection locked="0"/>
    </xf>
    <xf numFmtId="4" fontId="0" fillId="8" borderId="14" xfId="0" applyNumberFormat="1" applyFill="1" applyBorder="1"/>
    <xf numFmtId="4" fontId="8" fillId="0" borderId="53" xfId="1" applyNumberFormat="1" applyFont="1" applyBorder="1" applyAlignment="1" applyProtection="1">
      <alignment horizontal="right"/>
      <protection locked="0"/>
    </xf>
    <xf numFmtId="168" fontId="0" fillId="12" borderId="0" xfId="6" applyNumberFormat="1" applyFont="1" applyFill="1" applyBorder="1" applyAlignment="1" applyProtection="1">
      <alignment horizontal="center"/>
    </xf>
    <xf numFmtId="167" fontId="8" fillId="12" borderId="0" xfId="5" applyNumberFormat="1" applyFont="1" applyFill="1" applyAlignment="1">
      <alignment horizontal="left"/>
    </xf>
    <xf numFmtId="0" fontId="16" fillId="0" borderId="0" xfId="0" applyFont="1"/>
    <xf numFmtId="0" fontId="0" fillId="0" borderId="0" xfId="0" applyAlignment="1">
      <alignment wrapText="1"/>
    </xf>
    <xf numFmtId="0" fontId="4" fillId="0" borderId="19"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0" borderId="56" xfId="0" applyFont="1" applyBorder="1"/>
    <xf numFmtId="0" fontId="4" fillId="0" borderId="64" xfId="0" applyFont="1" applyBorder="1"/>
    <xf numFmtId="0" fontId="4" fillId="0" borderId="64" xfId="0" applyFont="1" applyBorder="1" applyAlignment="1">
      <alignment horizontal="right"/>
    </xf>
    <xf numFmtId="49" fontId="4" fillId="0" borderId="64" xfId="0" applyNumberFormat="1" applyFont="1" applyBorder="1" applyAlignment="1">
      <alignment horizontal="right"/>
    </xf>
    <xf numFmtId="49" fontId="4" fillId="0" borderId="64" xfId="0" applyNumberFormat="1" applyFont="1" applyBorder="1"/>
    <xf numFmtId="0" fontId="4" fillId="0" borderId="57" xfId="0" applyFont="1" applyBorder="1"/>
    <xf numFmtId="0" fontId="8" fillId="5" borderId="1" xfId="3" applyFont="1" applyFill="1" applyBorder="1" applyAlignment="1" applyProtection="1">
      <alignment vertical="top"/>
      <protection locked="0"/>
    </xf>
    <xf numFmtId="9" fontId="8" fillId="12" borderId="3" xfId="2" applyFont="1" applyFill="1" applyBorder="1" applyAlignment="1" applyProtection="1">
      <alignment horizontal="right" vertical="top"/>
    </xf>
    <xf numFmtId="9" fontId="8" fillId="12" borderId="1" xfId="2" applyFont="1" applyFill="1" applyBorder="1" applyAlignment="1" applyProtection="1">
      <alignment horizontal="right" vertical="top"/>
    </xf>
    <xf numFmtId="49" fontId="0" fillId="0" borderId="0" xfId="0" applyNumberFormat="1" applyAlignment="1">
      <alignment horizontal="left"/>
    </xf>
    <xf numFmtId="0" fontId="10" fillId="0" borderId="0" xfId="5" applyFont="1"/>
    <xf numFmtId="0" fontId="11" fillId="0" borderId="0" xfId="5" applyFont="1"/>
    <xf numFmtId="0" fontId="8" fillId="0" borderId="0" xfId="5" applyFont="1"/>
    <xf numFmtId="14" fontId="0" fillId="0" borderId="0" xfId="0" applyNumberFormat="1" applyAlignment="1">
      <alignment horizontal="center"/>
    </xf>
    <xf numFmtId="9" fontId="0" fillId="0" borderId="0" xfId="2" applyFont="1" applyProtection="1"/>
    <xf numFmtId="0" fontId="0" fillId="0" borderId="0" xfId="0" applyAlignment="1">
      <alignment horizontal="left" vertical="center" indent="2"/>
    </xf>
    <xf numFmtId="0" fontId="8" fillId="0" borderId="35" xfId="5" applyFont="1" applyBorder="1" applyProtection="1">
      <protection locked="0"/>
    </xf>
    <xf numFmtId="0" fontId="12" fillId="0" borderId="0" xfId="4" applyFont="1" applyFill="1" applyAlignment="1"/>
    <xf numFmtId="0" fontId="3" fillId="0" borderId="39" xfId="0" applyFont="1" applyBorder="1" applyAlignment="1" applyProtection="1">
      <alignment vertical="top" wrapText="1"/>
      <protection locked="0"/>
    </xf>
    <xf numFmtId="0" fontId="3" fillId="12" borderId="4" xfId="0" applyFont="1" applyFill="1" applyBorder="1" applyAlignment="1">
      <alignment vertical="top" wrapText="1"/>
    </xf>
    <xf numFmtId="0" fontId="3" fillId="12" borderId="5" xfId="0" applyFont="1" applyFill="1" applyBorder="1" applyAlignment="1">
      <alignment vertical="top" wrapText="1"/>
    </xf>
    <xf numFmtId="0" fontId="3" fillId="12" borderId="1" xfId="0" applyFont="1" applyFill="1" applyBorder="1" applyAlignment="1">
      <alignment vertical="top" wrapText="1"/>
    </xf>
    <xf numFmtId="44" fontId="8" fillId="12" borderId="50" xfId="1" applyFont="1" applyFill="1" applyBorder="1" applyAlignment="1" applyProtection="1">
      <alignment horizontal="right" vertical="top" wrapText="1"/>
    </xf>
    <xf numFmtId="5" fontId="0" fillId="8" borderId="7" xfId="0" applyNumberFormat="1" applyFill="1" applyBorder="1" applyProtection="1">
      <protection locked="0"/>
    </xf>
    <xf numFmtId="5" fontId="0" fillId="8" borderId="10" xfId="0" applyNumberFormat="1" applyFill="1" applyBorder="1" applyProtection="1">
      <protection locked="0"/>
    </xf>
    <xf numFmtId="5" fontId="0" fillId="8" borderId="14" xfId="0" applyNumberFormat="1" applyFill="1" applyBorder="1" applyProtection="1">
      <protection locked="0"/>
    </xf>
    <xf numFmtId="5" fontId="0" fillId="8" borderId="13" xfId="0" applyNumberFormat="1" applyFill="1" applyBorder="1" applyProtection="1">
      <protection locked="0"/>
    </xf>
    <xf numFmtId="14" fontId="0" fillId="17" borderId="1" xfId="0" applyNumberFormat="1" applyFill="1" applyBorder="1" applyAlignment="1" applyProtection="1">
      <alignment horizontal="center" vertical="center"/>
      <protection locked="0"/>
    </xf>
    <xf numFmtId="44" fontId="0" fillId="17" borderId="14" xfId="1" applyFont="1" applyFill="1" applyBorder="1" applyProtection="1">
      <protection locked="0"/>
    </xf>
    <xf numFmtId="14" fontId="18" fillId="9" borderId="0" xfId="5" applyNumberFormat="1" applyFont="1" applyFill="1" applyAlignment="1" applyProtection="1">
      <alignment horizontal="center"/>
      <protection locked="0"/>
    </xf>
    <xf numFmtId="14" fontId="18" fillId="9" borderId="12" xfId="5" applyNumberFormat="1" applyFont="1" applyFill="1" applyBorder="1" applyAlignment="1" applyProtection="1">
      <alignment horizontal="center"/>
      <protection locked="0"/>
    </xf>
    <xf numFmtId="42" fontId="18" fillId="9" borderId="35" xfId="5" applyNumberFormat="1" applyFont="1" applyFill="1" applyBorder="1" applyAlignment="1" applyProtection="1">
      <alignment horizontal="left"/>
      <protection locked="0"/>
    </xf>
    <xf numFmtId="42" fontId="18" fillId="17" borderId="7" xfId="10" applyNumberFormat="1" applyFont="1" applyFill="1" applyBorder="1" applyProtection="1">
      <protection locked="0"/>
    </xf>
    <xf numFmtId="42" fontId="18" fillId="17" borderId="15" xfId="10" applyNumberFormat="1" applyFont="1" applyFill="1" applyBorder="1" applyProtection="1">
      <protection locked="0"/>
    </xf>
    <xf numFmtId="42" fontId="18" fillId="17" borderId="7" xfId="1" applyNumberFormat="1" applyFont="1" applyFill="1" applyBorder="1" applyProtection="1">
      <protection locked="0"/>
    </xf>
    <xf numFmtId="42" fontId="18" fillId="17" borderId="15" xfId="1" applyNumberFormat="1" applyFont="1" applyFill="1" applyBorder="1" applyProtection="1">
      <protection locked="0"/>
    </xf>
    <xf numFmtId="42" fontId="18" fillId="17" borderId="16" xfId="1" applyNumberFormat="1" applyFont="1" applyFill="1" applyBorder="1" applyProtection="1">
      <protection locked="0"/>
    </xf>
    <xf numFmtId="42" fontId="18" fillId="17" borderId="28" xfId="10" applyNumberFormat="1" applyFont="1" applyFill="1" applyBorder="1" applyProtection="1">
      <protection locked="0"/>
    </xf>
    <xf numFmtId="173" fontId="0" fillId="0" borderId="89" xfId="0" applyNumberFormat="1" applyBorder="1" applyProtection="1">
      <protection locked="0"/>
    </xf>
    <xf numFmtId="173" fontId="0" fillId="0" borderId="91" xfId="0" applyNumberFormat="1" applyBorder="1" applyProtection="1">
      <protection locked="0"/>
    </xf>
    <xf numFmtId="14" fontId="82" fillId="12" borderId="36" xfId="10" applyNumberFormat="1" applyFont="1" applyFill="1" applyBorder="1" applyAlignment="1">
      <alignment horizontal="left"/>
    </xf>
    <xf numFmtId="2" fontId="18" fillId="9" borderId="0" xfId="5" applyNumberFormat="1" applyFont="1" applyFill="1"/>
    <xf numFmtId="3" fontId="0" fillId="3" borderId="36" xfId="6" applyNumberFormat="1" applyFont="1" applyFill="1" applyBorder="1" applyAlignment="1" applyProtection="1">
      <alignment vertical="center"/>
    </xf>
    <xf numFmtId="3" fontId="0" fillId="3" borderId="6" xfId="6" applyNumberFormat="1" applyFont="1" applyFill="1" applyBorder="1" applyAlignment="1" applyProtection="1">
      <alignment vertical="center"/>
    </xf>
    <xf numFmtId="10" fontId="0" fillId="3" borderId="15" xfId="0" applyNumberFormat="1" applyFill="1" applyBorder="1" applyProtection="1">
      <protection locked="0"/>
    </xf>
    <xf numFmtId="43" fontId="0" fillId="3" borderId="0" xfId="6" applyFont="1" applyFill="1" applyBorder="1" applyAlignment="1" applyProtection="1">
      <alignment horizontal="center"/>
    </xf>
    <xf numFmtId="41" fontId="0" fillId="3" borderId="0" xfId="0" applyNumberFormat="1" applyFill="1"/>
    <xf numFmtId="0" fontId="0" fillId="3" borderId="0" xfId="0" applyFill="1"/>
    <xf numFmtId="43" fontId="0" fillId="3" borderId="0" xfId="6" applyFont="1" applyFill="1" applyBorder="1" applyAlignment="1" applyProtection="1"/>
    <xf numFmtId="43" fontId="0" fillId="3" borderId="34" xfId="6" applyFont="1" applyFill="1" applyBorder="1" applyAlignment="1" applyProtection="1">
      <alignment horizontal="center"/>
    </xf>
    <xf numFmtId="0" fontId="69" fillId="0" borderId="95" xfId="5" applyFont="1" applyBorder="1" applyAlignment="1" applyProtection="1">
      <alignment horizontal="center"/>
      <protection locked="0"/>
    </xf>
    <xf numFmtId="182" fontId="18" fillId="9" borderId="0" xfId="5" applyNumberFormat="1" applyFont="1" applyFill="1" applyAlignment="1" applyProtection="1">
      <alignment horizontal="center"/>
      <protection locked="0"/>
    </xf>
    <xf numFmtId="182" fontId="18" fillId="9" borderId="0" xfId="5" applyNumberFormat="1" applyFont="1" applyFill="1" applyProtection="1">
      <protection locked="0"/>
    </xf>
    <xf numFmtId="182" fontId="71" fillId="9" borderId="0" xfId="5" applyNumberFormat="1" applyFont="1" applyFill="1" applyAlignment="1" applyProtection="1">
      <alignment horizontal="center"/>
      <protection locked="0"/>
    </xf>
    <xf numFmtId="166" fontId="18" fillId="5" borderId="1" xfId="10" applyNumberFormat="1" applyFont="1" applyFill="1" applyBorder="1" applyAlignment="1" applyProtection="1">
      <alignment horizontal="center" vertical="center" wrapText="1"/>
      <protection locked="0"/>
    </xf>
    <xf numFmtId="10" fontId="3" fillId="0" borderId="1" xfId="2"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2" fontId="3" fillId="0" borderId="39" xfId="0" applyNumberFormat="1" applyFont="1" applyBorder="1" applyAlignment="1" applyProtection="1">
      <alignment horizontal="center"/>
      <protection locked="0"/>
    </xf>
    <xf numFmtId="0" fontId="3" fillId="6" borderId="0" xfId="0" applyFont="1" applyFill="1"/>
    <xf numFmtId="1" fontId="3" fillId="0" borderId="1" xfId="0" applyNumberFormat="1" applyFont="1" applyBorder="1" applyProtection="1">
      <protection locked="0"/>
    </xf>
    <xf numFmtId="10" fontId="3" fillId="0" borderId="1" xfId="2" applyNumberFormat="1" applyFont="1" applyBorder="1" applyProtection="1">
      <protection locked="0"/>
    </xf>
    <xf numFmtId="4" fontId="3" fillId="0" borderId="39" xfId="0" applyNumberFormat="1" applyFont="1" applyBorder="1" applyProtection="1">
      <protection locked="0"/>
    </xf>
    <xf numFmtId="0" fontId="3" fillId="0" borderId="35" xfId="0" applyFont="1" applyBorder="1" applyProtection="1">
      <protection locked="0"/>
    </xf>
    <xf numFmtId="0" fontId="3" fillId="0" borderId="34" xfId="0" applyFont="1" applyBorder="1"/>
    <xf numFmtId="0" fontId="10" fillId="12" borderId="0" xfId="0" applyFont="1" applyFill="1" applyAlignment="1">
      <alignment horizontal="center" wrapText="1"/>
    </xf>
    <xf numFmtId="0" fontId="10" fillId="12" borderId="37" xfId="3" applyFont="1" applyFill="1" applyBorder="1" applyAlignment="1">
      <alignment horizontal="right" vertical="top"/>
    </xf>
    <xf numFmtId="0" fontId="8" fillId="12" borderId="0" xfId="4" applyFont="1" applyFill="1" applyBorder="1" applyAlignment="1">
      <alignment horizontal="right"/>
    </xf>
    <xf numFmtId="10" fontId="8" fillId="0" borderId="1" xfId="2" applyNumberFormat="1" applyFont="1" applyBorder="1" applyAlignment="1" applyProtection="1">
      <alignment horizontal="center"/>
      <protection locked="0"/>
    </xf>
    <xf numFmtId="10" fontId="8" fillId="12" borderId="1" xfId="2" applyNumberFormat="1" applyFont="1" applyFill="1" applyBorder="1" applyAlignment="1">
      <alignment horizontal="center"/>
    </xf>
    <xf numFmtId="0" fontId="8" fillId="12" borderId="36" xfId="4" applyFont="1" applyFill="1" applyBorder="1" applyAlignment="1">
      <alignment horizontal="right"/>
    </xf>
    <xf numFmtId="2" fontId="91" fillId="22" borderId="1" xfId="0" applyNumberFormat="1" applyFont="1" applyFill="1" applyBorder="1"/>
    <xf numFmtId="0" fontId="17" fillId="12" borderId="0" xfId="0" applyFont="1" applyFill="1" applyAlignment="1">
      <alignment horizontal="center" vertical="top"/>
    </xf>
    <xf numFmtId="0" fontId="92" fillId="12" borderId="36" xfId="0" applyFont="1" applyFill="1" applyBorder="1"/>
    <xf numFmtId="166" fontId="93" fillId="0" borderId="1" xfId="10" applyNumberFormat="1" applyFont="1" applyBorder="1" applyAlignment="1" applyProtection="1">
      <alignment horizontal="center"/>
      <protection locked="0"/>
    </xf>
    <xf numFmtId="1" fontId="93" fillId="0" borderId="1" xfId="10" applyNumberFormat="1" applyFont="1" applyBorder="1" applyAlignment="1" applyProtection="1">
      <alignment horizontal="center"/>
      <protection locked="0"/>
    </xf>
    <xf numFmtId="9" fontId="93" fillId="12" borderId="0" xfId="12" applyFont="1" applyFill="1" applyBorder="1" applyAlignment="1" applyProtection="1">
      <alignment horizontal="right"/>
    </xf>
    <xf numFmtId="0" fontId="92" fillId="12" borderId="0" xfId="0" applyFont="1" applyFill="1"/>
    <xf numFmtId="0" fontId="93" fillId="12" borderId="0" xfId="10" applyFont="1" applyFill="1" applyAlignment="1">
      <alignment horizontal="right"/>
    </xf>
    <xf numFmtId="0" fontId="94" fillId="12" borderId="0" xfId="10" applyFont="1" applyFill="1"/>
    <xf numFmtId="0" fontId="96" fillId="24" borderId="1" xfId="3" applyFont="1" applyFill="1" applyBorder="1" applyAlignment="1">
      <alignment horizontal="center" vertical="top" wrapText="1"/>
    </xf>
    <xf numFmtId="0" fontId="96" fillId="24" borderId="1" xfId="3" applyFont="1" applyFill="1" applyBorder="1" applyAlignment="1">
      <alignment horizontal="center" vertical="top"/>
    </xf>
    <xf numFmtId="0" fontId="96" fillId="24" borderId="39" xfId="3" applyFont="1" applyFill="1" applyBorder="1" applyAlignment="1">
      <alignment horizontal="center" vertical="top"/>
    </xf>
    <xf numFmtId="0" fontId="87" fillId="15" borderId="35" xfId="3" applyFont="1" applyFill="1" applyBorder="1" applyAlignment="1">
      <alignment horizontal="right" vertical="top"/>
    </xf>
    <xf numFmtId="0" fontId="90" fillId="15" borderId="35" xfId="5" applyFont="1" applyFill="1" applyBorder="1" applyAlignment="1">
      <alignment horizontal="right"/>
    </xf>
    <xf numFmtId="0" fontId="92" fillId="15" borderId="35" xfId="3" applyFont="1" applyFill="1" applyBorder="1" applyAlignment="1">
      <alignment horizontal="right" vertical="top"/>
    </xf>
    <xf numFmtId="0" fontId="92" fillId="15" borderId="35" xfId="3" applyFont="1" applyFill="1" applyBorder="1" applyAlignment="1" applyProtection="1">
      <alignment horizontal="right" vertical="top"/>
      <protection locked="0"/>
    </xf>
    <xf numFmtId="0" fontId="92" fillId="15" borderId="35" xfId="5" applyFont="1" applyFill="1" applyBorder="1" applyAlignment="1">
      <alignment horizontal="right"/>
    </xf>
    <xf numFmtId="0" fontId="98" fillId="15" borderId="47" xfId="0" applyFont="1" applyFill="1" applyBorder="1" applyAlignment="1">
      <alignment horizontal="right"/>
    </xf>
    <xf numFmtId="42" fontId="88" fillId="0" borderId="1" xfId="1" applyNumberFormat="1" applyFont="1" applyBorder="1" applyAlignment="1" applyProtection="1">
      <alignment horizontal="center" vertical="top"/>
      <protection locked="0"/>
    </xf>
    <xf numFmtId="10" fontId="88" fillId="0" borderId="28" xfId="2" applyNumberFormat="1" applyFont="1" applyFill="1" applyBorder="1" applyAlignment="1" applyProtection="1">
      <alignment horizontal="center" vertical="top"/>
    </xf>
    <xf numFmtId="10" fontId="88" fillId="0" borderId="48" xfId="2" applyNumberFormat="1" applyFont="1" applyFill="1" applyBorder="1" applyAlignment="1" applyProtection="1">
      <alignment horizontal="center" vertical="top"/>
    </xf>
    <xf numFmtId="0" fontId="88" fillId="0" borderId="1" xfId="1" applyNumberFormat="1" applyFont="1" applyBorder="1" applyAlignment="1" applyProtection="1">
      <alignment horizontal="center" vertical="top"/>
      <protection locked="0"/>
    </xf>
    <xf numFmtId="167" fontId="88" fillId="0" borderId="1" xfId="1" applyNumberFormat="1" applyFont="1" applyBorder="1" applyAlignment="1" applyProtection="1">
      <alignment horizontal="center" vertical="top"/>
      <protection locked="0"/>
    </xf>
    <xf numFmtId="167" fontId="88" fillId="0" borderId="39" xfId="1" applyNumberFormat="1" applyFont="1" applyBorder="1" applyAlignment="1" applyProtection="1">
      <alignment horizontal="center" vertical="top"/>
      <protection locked="0"/>
    </xf>
    <xf numFmtId="0" fontId="88" fillId="0" borderId="1" xfId="1" applyNumberFormat="1" applyFont="1" applyFill="1" applyBorder="1" applyAlignment="1" applyProtection="1">
      <alignment horizontal="center" vertical="top"/>
      <protection locked="0"/>
    </xf>
    <xf numFmtId="0" fontId="88" fillId="0" borderId="39" xfId="1" applyNumberFormat="1" applyFont="1" applyFill="1" applyBorder="1" applyAlignment="1" applyProtection="1">
      <alignment horizontal="center" vertical="top"/>
      <protection locked="0"/>
    </xf>
    <xf numFmtId="9" fontId="88" fillId="0" borderId="1" xfId="2" applyFont="1" applyBorder="1" applyAlignment="1" applyProtection="1">
      <alignment horizontal="center" vertical="top"/>
      <protection locked="0"/>
    </xf>
    <xf numFmtId="10" fontId="88" fillId="0" borderId="1" xfId="2" applyNumberFormat="1" applyFont="1" applyBorder="1" applyAlignment="1" applyProtection="1">
      <alignment horizontal="center" vertical="top"/>
      <protection locked="0"/>
    </xf>
    <xf numFmtId="0" fontId="88" fillId="0" borderId="48" xfId="1" applyNumberFormat="1" applyFont="1" applyFill="1" applyBorder="1" applyAlignment="1" applyProtection="1">
      <alignment horizontal="center" vertical="top"/>
      <protection locked="0"/>
    </xf>
    <xf numFmtId="1" fontId="88" fillId="0" borderId="1" xfId="6" applyNumberFormat="1" applyFont="1" applyBorder="1" applyAlignment="1" applyProtection="1">
      <alignment horizontal="center" vertical="top"/>
      <protection locked="0"/>
    </xf>
    <xf numFmtId="0" fontId="96" fillId="24" borderId="35" xfId="3" applyFont="1" applyFill="1" applyBorder="1" applyAlignment="1">
      <alignment horizontal="left" vertical="top" indent="1"/>
    </xf>
    <xf numFmtId="0" fontId="87" fillId="15" borderId="47" xfId="3" applyFont="1" applyFill="1" applyBorder="1" applyAlignment="1">
      <alignment horizontal="right" vertical="top"/>
    </xf>
    <xf numFmtId="14" fontId="95" fillId="12" borderId="0" xfId="10" applyNumberFormat="1" applyFont="1" applyFill="1"/>
    <xf numFmtId="0" fontId="92" fillId="12" borderId="36" xfId="0" applyFont="1" applyFill="1" applyBorder="1" applyAlignment="1">
      <alignment horizontal="right"/>
    </xf>
    <xf numFmtId="0" fontId="94" fillId="12" borderId="0" xfId="10" applyFont="1" applyFill="1" applyAlignment="1">
      <alignment horizontal="right"/>
    </xf>
    <xf numFmtId="3" fontId="92" fillId="16" borderId="0" xfId="19" quotePrefix="1" applyNumberFormat="1" applyFont="1" applyFill="1" applyAlignment="1">
      <alignment horizontal="right" vertical="center"/>
    </xf>
    <xf numFmtId="3" fontId="92" fillId="12" borderId="0" xfId="19" applyNumberFormat="1" applyFont="1" applyFill="1" applyAlignment="1">
      <alignment horizontal="right" vertical="center"/>
    </xf>
    <xf numFmtId="49" fontId="93" fillId="12" borderId="0" xfId="10" applyNumberFormat="1" applyFont="1" applyFill="1" applyAlignment="1">
      <alignment horizontal="right"/>
    </xf>
    <xf numFmtId="165" fontId="93" fillId="12" borderId="0" xfId="1" applyNumberFormat="1" applyFont="1" applyFill="1" applyBorder="1"/>
    <xf numFmtId="165" fontId="92" fillId="12" borderId="0" xfId="1" applyNumberFormat="1" applyFont="1" applyFill="1" applyBorder="1"/>
    <xf numFmtId="0" fontId="22" fillId="25" borderId="30" xfId="0" applyFont="1" applyFill="1" applyBorder="1"/>
    <xf numFmtId="166" fontId="99" fillId="0" borderId="35" xfId="10" applyNumberFormat="1" applyFont="1" applyBorder="1" applyAlignment="1" applyProtection="1">
      <alignment horizontal="center"/>
      <protection locked="0"/>
    </xf>
    <xf numFmtId="166" fontId="99" fillId="0" borderId="1" xfId="10" applyNumberFormat="1" applyFont="1" applyBorder="1" applyAlignment="1" applyProtection="1">
      <alignment horizontal="center"/>
      <protection locked="0"/>
    </xf>
    <xf numFmtId="1" fontId="99" fillId="0" borderId="35" xfId="10" applyNumberFormat="1" applyFont="1" applyBorder="1" applyAlignment="1" applyProtection="1">
      <alignment horizontal="center"/>
      <protection locked="0"/>
    </xf>
    <xf numFmtId="1" fontId="99" fillId="0" borderId="1" xfId="10" applyNumberFormat="1" applyFont="1" applyBorder="1" applyAlignment="1" applyProtection="1">
      <alignment horizontal="center"/>
      <protection locked="0"/>
    </xf>
    <xf numFmtId="0" fontId="99" fillId="26" borderId="36" xfId="0" applyFont="1" applyFill="1" applyBorder="1"/>
    <xf numFmtId="0" fontId="99" fillId="26" borderId="0" xfId="0" applyFont="1" applyFill="1"/>
    <xf numFmtId="167" fontId="99" fillId="26" borderId="0" xfId="10" applyNumberFormat="1" applyFont="1" applyFill="1"/>
    <xf numFmtId="167" fontId="100" fillId="26" borderId="36" xfId="10" applyNumberFormat="1" applyFont="1" applyFill="1" applyBorder="1"/>
    <xf numFmtId="167" fontId="100" fillId="26" borderId="0" xfId="10" applyNumberFormat="1" applyFont="1" applyFill="1"/>
    <xf numFmtId="167" fontId="100" fillId="26" borderId="37" xfId="10" applyNumberFormat="1" applyFont="1" applyFill="1" applyBorder="1"/>
    <xf numFmtId="167" fontId="100" fillId="26" borderId="3" xfId="10" applyNumberFormat="1" applyFont="1" applyFill="1" applyBorder="1"/>
    <xf numFmtId="167" fontId="99" fillId="26" borderId="36" xfId="10" applyNumberFormat="1" applyFont="1" applyFill="1" applyBorder="1"/>
    <xf numFmtId="167" fontId="99" fillId="26" borderId="36" xfId="0" applyNumberFormat="1" applyFont="1" applyFill="1" applyBorder="1"/>
    <xf numFmtId="167" fontId="99" fillId="26" borderId="0" xfId="0" applyNumberFormat="1" applyFont="1" applyFill="1"/>
    <xf numFmtId="167" fontId="99" fillId="0" borderId="35" xfId="0" applyNumberFormat="1" applyFont="1" applyBorder="1" applyProtection="1">
      <protection locked="0"/>
    </xf>
    <xf numFmtId="167" fontId="99" fillId="0" borderId="1" xfId="0" applyNumberFormat="1" applyFont="1" applyBorder="1" applyProtection="1">
      <protection locked="0"/>
    </xf>
    <xf numFmtId="167" fontId="99" fillId="23" borderId="35" xfId="0" applyNumberFormat="1" applyFont="1" applyFill="1" applyBorder="1" applyProtection="1">
      <protection locked="0"/>
    </xf>
    <xf numFmtId="167" fontId="99" fillId="23" borderId="1" xfId="0" applyNumberFormat="1" applyFont="1" applyFill="1" applyBorder="1" applyProtection="1">
      <protection locked="0"/>
    </xf>
    <xf numFmtId="167" fontId="99" fillId="26" borderId="36" xfId="19" applyNumberFormat="1" applyFont="1" applyFill="1" applyBorder="1" applyAlignment="1">
      <alignment horizontal="right" vertical="center"/>
    </xf>
    <xf numFmtId="167" fontId="99" fillId="26" borderId="0" xfId="19" applyNumberFormat="1" applyFont="1" applyFill="1" applyAlignment="1">
      <alignment horizontal="right" vertical="center"/>
    </xf>
    <xf numFmtId="171" fontId="93" fillId="9" borderId="1" xfId="10" applyNumberFormat="1" applyFont="1" applyFill="1" applyBorder="1" applyAlignment="1" applyProtection="1">
      <alignment horizontal="center"/>
      <protection locked="0"/>
    </xf>
    <xf numFmtId="49" fontId="87" fillId="12" borderId="0" xfId="0" applyNumberFormat="1" applyFont="1" applyFill="1" applyAlignment="1" applyProtection="1">
      <alignment horizontal="right"/>
      <protection locked="0"/>
    </xf>
    <xf numFmtId="3" fontId="87" fillId="12" borderId="0" xfId="19" applyNumberFormat="1" applyFont="1" applyFill="1" applyAlignment="1">
      <alignment horizontal="right" vertical="center"/>
    </xf>
    <xf numFmtId="171" fontId="99" fillId="28" borderId="1" xfId="10" applyNumberFormat="1" applyFont="1" applyFill="1" applyBorder="1" applyAlignment="1" applyProtection="1">
      <alignment horizontal="center"/>
      <protection locked="0"/>
    </xf>
    <xf numFmtId="0" fontId="99" fillId="28" borderId="1" xfId="10" applyFont="1" applyFill="1" applyBorder="1" applyAlignment="1" applyProtection="1">
      <alignment horizontal="center"/>
      <protection locked="0"/>
    </xf>
    <xf numFmtId="167" fontId="100" fillId="28" borderId="1" xfId="1" applyNumberFormat="1" applyFont="1" applyFill="1" applyBorder="1" applyProtection="1"/>
    <xf numFmtId="167" fontId="99" fillId="28" borderId="1" xfId="19" applyNumberFormat="1" applyFont="1" applyFill="1" applyBorder="1" applyAlignment="1">
      <alignment horizontal="right" vertical="center"/>
    </xf>
    <xf numFmtId="167" fontId="99" fillId="28" borderId="5" xfId="1" applyNumberFormat="1" applyFont="1" applyFill="1" applyBorder="1" applyProtection="1"/>
    <xf numFmtId="10" fontId="101" fillId="28" borderId="1" xfId="2" applyNumberFormat="1" applyFont="1" applyFill="1" applyBorder="1" applyAlignment="1">
      <alignment horizontal="right"/>
    </xf>
    <xf numFmtId="0" fontId="22" fillId="25" borderId="43" xfId="0" applyFont="1" applyFill="1" applyBorder="1" applyAlignment="1">
      <alignment vertical="top"/>
    </xf>
    <xf numFmtId="166" fontId="93" fillId="0" borderId="4" xfId="10" applyNumberFormat="1" applyFont="1" applyBorder="1" applyAlignment="1" applyProtection="1">
      <alignment horizontal="center"/>
      <protection locked="0"/>
    </xf>
    <xf numFmtId="1" fontId="93" fillId="0" borderId="4" xfId="10" applyNumberFormat="1" applyFont="1" applyBorder="1" applyAlignment="1" applyProtection="1">
      <alignment horizontal="center"/>
      <protection locked="0"/>
    </xf>
    <xf numFmtId="171" fontId="93" fillId="9" borderId="4" xfId="10" applyNumberFormat="1" applyFont="1" applyFill="1" applyBorder="1" applyAlignment="1" applyProtection="1">
      <alignment horizontal="center"/>
      <protection locked="0"/>
    </xf>
    <xf numFmtId="0" fontId="17" fillId="5" borderId="29" xfId="0" applyFont="1" applyFill="1" applyBorder="1" applyAlignment="1">
      <alignment horizontal="center" vertical="top"/>
    </xf>
    <xf numFmtId="0" fontId="17" fillId="27" borderId="19" xfId="0" applyFont="1" applyFill="1" applyBorder="1" applyAlignment="1">
      <alignment horizontal="center" vertical="top"/>
    </xf>
    <xf numFmtId="0" fontId="17" fillId="5" borderId="30" xfId="0" applyFont="1" applyFill="1" applyBorder="1" applyAlignment="1">
      <alignment vertical="top"/>
    </xf>
    <xf numFmtId="171" fontId="99" fillId="28" borderId="35" xfId="10" applyNumberFormat="1" applyFont="1" applyFill="1" applyBorder="1" applyAlignment="1" applyProtection="1">
      <alignment horizontal="center"/>
      <protection locked="0"/>
    </xf>
    <xf numFmtId="0" fontId="99" fillId="28" borderId="35" xfId="10" applyFont="1" applyFill="1" applyBorder="1" applyAlignment="1" applyProtection="1">
      <alignment horizontal="center"/>
      <protection locked="0"/>
    </xf>
    <xf numFmtId="167" fontId="100" fillId="28" borderId="35" xfId="1" applyNumberFormat="1" applyFont="1" applyFill="1" applyBorder="1" applyProtection="1"/>
    <xf numFmtId="167" fontId="99" fillId="28" borderId="35" xfId="19" applyNumberFormat="1" applyFont="1" applyFill="1" applyBorder="1" applyAlignment="1">
      <alignment horizontal="right" vertical="center"/>
    </xf>
    <xf numFmtId="167" fontId="99" fillId="28" borderId="35" xfId="1" applyNumberFormat="1" applyFont="1" applyFill="1" applyBorder="1" applyProtection="1"/>
    <xf numFmtId="0" fontId="91" fillId="29" borderId="36" xfId="0" applyFont="1" applyFill="1" applyBorder="1"/>
    <xf numFmtId="0" fontId="91" fillId="29" borderId="34" xfId="0" applyFont="1" applyFill="1" applyBorder="1"/>
    <xf numFmtId="43" fontId="91" fillId="29" borderId="0" xfId="6" applyFont="1" applyFill="1" applyBorder="1"/>
    <xf numFmtId="2" fontId="91" fillId="29" borderId="27" xfId="0" applyNumberFormat="1" applyFont="1" applyFill="1" applyBorder="1"/>
    <xf numFmtId="0" fontId="86" fillId="0" borderId="0" xfId="0" applyFont="1"/>
    <xf numFmtId="0" fontId="89" fillId="29" borderId="33" xfId="0" applyFont="1" applyFill="1" applyBorder="1" applyAlignment="1">
      <alignment horizontal="center"/>
    </xf>
    <xf numFmtId="0" fontId="89" fillId="29" borderId="14" xfId="0" applyFont="1" applyFill="1" applyBorder="1"/>
    <xf numFmtId="0" fontId="89" fillId="29" borderId="11" xfId="0" applyFont="1" applyFill="1" applyBorder="1" applyAlignment="1">
      <alignment horizontal="center"/>
    </xf>
    <xf numFmtId="0" fontId="89" fillId="29" borderId="53" xfId="0" applyFont="1" applyFill="1" applyBorder="1"/>
    <xf numFmtId="0" fontId="91" fillId="30" borderId="35" xfId="0" applyFont="1" applyFill="1" applyBorder="1" applyProtection="1">
      <protection locked="0"/>
    </xf>
    <xf numFmtId="42" fontId="91" fillId="30" borderId="1" xfId="1" applyNumberFormat="1" applyFont="1" applyFill="1" applyBorder="1" applyAlignment="1" applyProtection="1">
      <protection locked="0"/>
    </xf>
    <xf numFmtId="165" fontId="88" fillId="30" borderId="11" xfId="1" applyNumberFormat="1" applyFont="1" applyFill="1" applyBorder="1" applyAlignment="1" applyProtection="1">
      <protection locked="0"/>
    </xf>
    <xf numFmtId="0" fontId="88" fillId="30" borderId="4" xfId="0" applyFont="1" applyFill="1" applyBorder="1" applyProtection="1">
      <protection locked="0"/>
    </xf>
    <xf numFmtId="9" fontId="91" fillId="30" borderId="1" xfId="2" applyFont="1" applyFill="1" applyBorder="1" applyAlignment="1" applyProtection="1"/>
    <xf numFmtId="42" fontId="91" fillId="30" borderId="1" xfId="0" applyNumberFormat="1" applyFont="1" applyFill="1" applyBorder="1"/>
    <xf numFmtId="169" fontId="91" fillId="30" borderId="14" xfId="2" applyNumberFormat="1" applyFont="1" applyFill="1" applyBorder="1" applyAlignment="1" applyProtection="1"/>
    <xf numFmtId="0" fontId="88" fillId="30" borderId="11" xfId="0" applyFont="1" applyFill="1" applyBorder="1"/>
    <xf numFmtId="0" fontId="88" fillId="31" borderId="53" xfId="0" applyFont="1" applyFill="1" applyBorder="1" applyProtection="1">
      <protection locked="0"/>
    </xf>
    <xf numFmtId="0" fontId="91" fillId="0" borderId="35" xfId="0" applyFont="1" applyBorder="1" applyProtection="1">
      <protection locked="0"/>
    </xf>
    <xf numFmtId="42" fontId="91" fillId="0" borderId="1" xfId="1" applyNumberFormat="1" applyFont="1" applyFill="1" applyBorder="1" applyAlignment="1" applyProtection="1">
      <protection locked="0"/>
    </xf>
    <xf numFmtId="165" fontId="88" fillId="0" borderId="4" xfId="1" applyNumberFormat="1" applyFont="1" applyFill="1" applyBorder="1" applyAlignment="1" applyProtection="1">
      <protection locked="0"/>
    </xf>
    <xf numFmtId="0" fontId="88" fillId="32" borderId="4" xfId="0" applyFont="1" applyFill="1" applyBorder="1" applyProtection="1">
      <protection locked="0"/>
    </xf>
    <xf numFmtId="9" fontId="91" fillId="0" borderId="1" xfId="2" applyFont="1" applyFill="1" applyBorder="1" applyAlignment="1" applyProtection="1"/>
    <xf numFmtId="42" fontId="91" fillId="0" borderId="1" xfId="0" applyNumberFormat="1" applyFont="1" applyBorder="1"/>
    <xf numFmtId="169" fontId="91" fillId="0" borderId="1" xfId="2" applyNumberFormat="1" applyFont="1" applyFill="1" applyBorder="1" applyAlignment="1" applyProtection="1"/>
    <xf numFmtId="0" fontId="88" fillId="0" borderId="4" xfId="0" applyFont="1" applyBorder="1"/>
    <xf numFmtId="0" fontId="88" fillId="31" borderId="39" xfId="0" applyFont="1" applyFill="1" applyBorder="1" applyProtection="1">
      <protection locked="0"/>
    </xf>
    <xf numFmtId="165" fontId="88" fillId="30" borderId="4" xfId="1" applyNumberFormat="1" applyFont="1" applyFill="1" applyBorder="1" applyAlignment="1" applyProtection="1">
      <protection locked="0"/>
    </xf>
    <xf numFmtId="169" fontId="91" fillId="30" borderId="1" xfId="2" applyNumberFormat="1" applyFont="1" applyFill="1" applyBorder="1" applyAlignment="1" applyProtection="1"/>
    <xf numFmtId="0" fontId="88" fillId="30" borderId="4" xfId="0" applyFont="1" applyFill="1" applyBorder="1"/>
    <xf numFmtId="0" fontId="91" fillId="0" borderId="46" xfId="0" applyFont="1" applyBorder="1" applyProtection="1">
      <protection locked="0"/>
    </xf>
    <xf numFmtId="42" fontId="91" fillId="0" borderId="7" xfId="1" applyNumberFormat="1" applyFont="1" applyFill="1" applyBorder="1" applyAlignment="1" applyProtection="1">
      <protection locked="0"/>
    </xf>
    <xf numFmtId="165" fontId="88" fillId="0" borderId="9" xfId="1" applyNumberFormat="1" applyFont="1" applyFill="1" applyBorder="1" applyAlignment="1" applyProtection="1">
      <protection locked="0"/>
    </xf>
    <xf numFmtId="0" fontId="88" fillId="32" borderId="9" xfId="0" applyFont="1" applyFill="1" applyBorder="1" applyProtection="1">
      <protection locked="0"/>
    </xf>
    <xf numFmtId="9" fontId="91" fillId="0" borderId="7" xfId="2" applyFont="1" applyFill="1" applyBorder="1" applyAlignment="1" applyProtection="1"/>
    <xf numFmtId="169" fontId="91" fillId="0" borderId="7" xfId="2" applyNumberFormat="1" applyFont="1" applyFill="1" applyBorder="1" applyAlignment="1" applyProtection="1"/>
    <xf numFmtId="0" fontId="88" fillId="0" borderId="9" xfId="0" applyFont="1" applyBorder="1"/>
    <xf numFmtId="0" fontId="88" fillId="31" borderId="52" xfId="0" applyFont="1" applyFill="1" applyBorder="1" applyProtection="1">
      <protection locked="0"/>
    </xf>
    <xf numFmtId="0" fontId="91" fillId="29" borderId="35" xfId="0" applyFont="1" applyFill="1" applyBorder="1" applyProtection="1">
      <protection locked="0"/>
    </xf>
    <xf numFmtId="165" fontId="91" fillId="29" borderId="1" xfId="0" applyNumberFormat="1" applyFont="1" applyFill="1" applyBorder="1" applyProtection="1">
      <protection locked="0"/>
    </xf>
    <xf numFmtId="0" fontId="88" fillId="29" borderId="4" xfId="0" applyFont="1" applyFill="1" applyBorder="1" applyProtection="1">
      <protection locked="0"/>
    </xf>
    <xf numFmtId="0" fontId="91" fillId="29" borderId="1" xfId="0" applyFont="1" applyFill="1" applyBorder="1" applyProtection="1">
      <protection locked="0"/>
    </xf>
    <xf numFmtId="0" fontId="91" fillId="29" borderId="1" xfId="0" applyFont="1" applyFill="1" applyBorder="1"/>
    <xf numFmtId="42" fontId="91" fillId="29" borderId="1" xfId="0" applyNumberFormat="1" applyFont="1" applyFill="1" applyBorder="1" applyProtection="1">
      <protection locked="0"/>
    </xf>
    <xf numFmtId="0" fontId="91" fillId="31" borderId="39" xfId="0" applyFont="1" applyFill="1" applyBorder="1"/>
    <xf numFmtId="0" fontId="91" fillId="32" borderId="36" xfId="0" applyFont="1" applyFill="1" applyBorder="1"/>
    <xf numFmtId="0" fontId="91" fillId="32" borderId="0" xfId="0" applyFont="1" applyFill="1"/>
    <xf numFmtId="0" fontId="91" fillId="32" borderId="34" xfId="0" applyFont="1" applyFill="1" applyBorder="1"/>
    <xf numFmtId="0" fontId="102" fillId="29" borderId="35" xfId="0" applyFont="1" applyFill="1" applyBorder="1" applyAlignment="1">
      <alignment horizontal="right"/>
    </xf>
    <xf numFmtId="165" fontId="91" fillId="29" borderId="1" xfId="1" applyNumberFormat="1" applyFont="1" applyFill="1" applyBorder="1" applyProtection="1"/>
    <xf numFmtId="0" fontId="102" fillId="29" borderId="1" xfId="0" applyFont="1" applyFill="1" applyBorder="1" applyAlignment="1">
      <alignment horizontal="right"/>
    </xf>
    <xf numFmtId="10" fontId="91" fillId="29" borderId="1" xfId="2" applyNumberFormat="1" applyFont="1" applyFill="1" applyBorder="1"/>
    <xf numFmtId="167" fontId="91" fillId="29" borderId="1" xfId="0" applyNumberFormat="1" applyFont="1" applyFill="1" applyBorder="1"/>
    <xf numFmtId="0" fontId="102" fillId="29" borderId="1" xfId="0" applyFont="1" applyFill="1" applyBorder="1" applyAlignment="1">
      <alignment horizontal="left"/>
    </xf>
    <xf numFmtId="169" fontId="91" fillId="29" borderId="1" xfId="2" applyNumberFormat="1" applyFont="1" applyFill="1" applyBorder="1" applyProtection="1"/>
    <xf numFmtId="0" fontId="91" fillId="29" borderId="39" xfId="0" applyFont="1" applyFill="1" applyBorder="1"/>
    <xf numFmtId="0" fontId="102" fillId="29" borderId="40" xfId="0" applyFont="1" applyFill="1" applyBorder="1"/>
    <xf numFmtId="0" fontId="102" fillId="29" borderId="25" xfId="0" applyFont="1" applyFill="1" applyBorder="1"/>
    <xf numFmtId="0" fontId="102" fillId="29" borderId="41" xfId="0" applyFont="1" applyFill="1" applyBorder="1"/>
    <xf numFmtId="0" fontId="88" fillId="29" borderId="0" xfId="10" applyFont="1" applyFill="1" applyAlignment="1">
      <alignment horizontal="right"/>
    </xf>
    <xf numFmtId="43" fontId="91" fillId="29" borderId="34" xfId="6" applyFont="1" applyFill="1" applyBorder="1"/>
    <xf numFmtId="2" fontId="91" fillId="29" borderId="0" xfId="0" applyNumberFormat="1" applyFont="1" applyFill="1"/>
    <xf numFmtId="2" fontId="91" fillId="29" borderId="34" xfId="0" applyNumberFormat="1" applyFont="1" applyFill="1" applyBorder="1"/>
    <xf numFmtId="0" fontId="91" fillId="29" borderId="0" xfId="0" applyFont="1" applyFill="1"/>
    <xf numFmtId="0" fontId="89" fillId="29" borderId="0" xfId="10" applyFont="1" applyFill="1" applyAlignment="1">
      <alignment horizontal="right"/>
    </xf>
    <xf numFmtId="2" fontId="91" fillId="22" borderId="39" xfId="0" applyNumberFormat="1" applyFont="1" applyFill="1" applyBorder="1"/>
    <xf numFmtId="2" fontId="91" fillId="29" borderId="43" xfId="0" applyNumberFormat="1" applyFont="1" applyFill="1" applyBorder="1"/>
    <xf numFmtId="167" fontId="91" fillId="22" borderId="1" xfId="6" applyNumberFormat="1" applyFont="1" applyFill="1" applyBorder="1"/>
    <xf numFmtId="167" fontId="91" fillId="22" borderId="39" xfId="6" applyNumberFormat="1" applyFont="1" applyFill="1" applyBorder="1"/>
    <xf numFmtId="167" fontId="91" fillId="29" borderId="0" xfId="6" applyNumberFormat="1" applyFont="1" applyFill="1" applyBorder="1"/>
    <xf numFmtId="167" fontId="91" fillId="29" borderId="34" xfId="6" applyNumberFormat="1" applyFont="1" applyFill="1" applyBorder="1"/>
    <xf numFmtId="0" fontId="0" fillId="0" borderId="99" xfId="0" applyBorder="1"/>
    <xf numFmtId="0" fontId="104" fillId="15" borderId="19" xfId="0" applyFont="1" applyFill="1" applyBorder="1" applyAlignment="1">
      <alignment vertical="center" wrapText="1"/>
    </xf>
    <xf numFmtId="0" fontId="104" fillId="15" borderId="30" xfId="0" applyFont="1" applyFill="1" applyBorder="1" applyAlignment="1">
      <alignment vertical="center" wrapText="1"/>
    </xf>
    <xf numFmtId="0" fontId="104" fillId="15" borderId="0" xfId="0" applyFont="1" applyFill="1" applyAlignment="1">
      <alignment vertical="center" wrapText="1"/>
    </xf>
    <xf numFmtId="0" fontId="104" fillId="15" borderId="34" xfId="0" applyFont="1" applyFill="1" applyBorder="1" applyAlignment="1">
      <alignment vertical="center" wrapText="1"/>
    </xf>
    <xf numFmtId="0" fontId="0" fillId="15" borderId="42" xfId="0" applyFill="1" applyBorder="1" applyAlignment="1">
      <alignment horizontal="center" vertical="center" wrapText="1"/>
    </xf>
    <xf numFmtId="0" fontId="104" fillId="15" borderId="27" xfId="0" applyFont="1" applyFill="1" applyBorder="1" applyAlignment="1">
      <alignment vertical="center" wrapText="1"/>
    </xf>
    <xf numFmtId="0" fontId="104" fillId="15" borderId="43" xfId="0" applyFont="1" applyFill="1" applyBorder="1" applyAlignment="1">
      <alignment vertical="center" wrapText="1"/>
    </xf>
    <xf numFmtId="0" fontId="0" fillId="0" borderId="42" xfId="0" applyBorder="1" applyAlignment="1">
      <alignment horizontal="left"/>
    </xf>
    <xf numFmtId="0" fontId="0" fillId="0" borderId="27" xfId="0" applyBorder="1" applyAlignment="1">
      <alignment horizontal="left"/>
    </xf>
    <xf numFmtId="0" fontId="0" fillId="0" borderId="43" xfId="0" applyBorder="1" applyAlignment="1">
      <alignment horizontal="right"/>
    </xf>
    <xf numFmtId="14" fontId="105" fillId="0" borderId="95" xfId="0" applyNumberFormat="1" applyFont="1" applyBorder="1" applyAlignment="1" applyProtection="1">
      <alignment horizontal="center" vertical="top"/>
      <protection locked="0"/>
    </xf>
    <xf numFmtId="0" fontId="17" fillId="12" borderId="34" xfId="0" applyFont="1" applyFill="1" applyBorder="1" applyAlignment="1">
      <alignment horizontal="center" vertical="top"/>
    </xf>
    <xf numFmtId="0" fontId="106" fillId="12" borderId="36" xfId="0" applyFont="1" applyFill="1" applyBorder="1" applyAlignment="1">
      <alignment horizontal="center" vertical="top"/>
    </xf>
    <xf numFmtId="0" fontId="106" fillId="12" borderId="0" xfId="0" applyFont="1" applyFill="1" applyAlignment="1">
      <alignment horizontal="center" vertical="top"/>
    </xf>
    <xf numFmtId="0" fontId="0" fillId="0" borderId="1" xfId="6" applyNumberFormat="1" applyFont="1" applyFill="1" applyBorder="1" applyAlignment="1" applyProtection="1">
      <alignment horizontal="center"/>
      <protection locked="0"/>
    </xf>
    <xf numFmtId="10" fontId="0" fillId="0" borderId="1" xfId="2" applyNumberFormat="1" applyFont="1" applyFill="1" applyBorder="1" applyAlignment="1" applyProtection="1">
      <alignment horizontal="center"/>
      <protection locked="0"/>
    </xf>
    <xf numFmtId="0" fontId="107" fillId="12" borderId="36" xfId="0" applyFont="1" applyFill="1" applyBorder="1" applyAlignment="1">
      <alignment vertical="top"/>
    </xf>
    <xf numFmtId="0" fontId="0" fillId="12" borderId="0" xfId="6" applyNumberFormat="1" applyFont="1" applyFill="1" applyBorder="1" applyAlignment="1" applyProtection="1">
      <alignment horizontal="center"/>
    </xf>
    <xf numFmtId="0" fontId="4" fillId="12" borderId="0" xfId="0" applyFont="1" applyFill="1" applyAlignment="1">
      <alignment horizontal="center" wrapText="1"/>
    </xf>
    <xf numFmtId="169" fontId="10" fillId="12" borderId="0" xfId="2" applyNumberFormat="1" applyFont="1" applyFill="1" applyBorder="1" applyAlignment="1" applyProtection="1">
      <alignment horizontal="center" wrapText="1"/>
    </xf>
    <xf numFmtId="0" fontId="4" fillId="12" borderId="42" xfId="0" applyFont="1" applyFill="1" applyBorder="1"/>
    <xf numFmtId="0" fontId="0" fillId="12" borderId="27" xfId="0" applyFill="1" applyBorder="1" applyAlignment="1">
      <alignment horizontal="center"/>
    </xf>
    <xf numFmtId="0" fontId="108" fillId="4" borderId="0" xfId="0" applyFont="1" applyFill="1" applyAlignment="1">
      <alignment horizontal="center" vertical="top"/>
    </xf>
    <xf numFmtId="0" fontId="4" fillId="35" borderId="29" xfId="0" applyFont="1" applyFill="1" applyBorder="1"/>
    <xf numFmtId="5" fontId="4" fillId="35" borderId="19" xfId="1" applyNumberFormat="1" applyFont="1" applyFill="1" applyBorder="1" applyAlignment="1" applyProtection="1">
      <alignment horizontal="center"/>
    </xf>
    <xf numFmtId="5" fontId="4" fillId="35" borderId="30" xfId="1" applyNumberFormat="1" applyFont="1" applyFill="1" applyBorder="1" applyAlignment="1" applyProtection="1">
      <alignment horizontal="center"/>
    </xf>
    <xf numFmtId="0" fontId="0" fillId="35" borderId="36" xfId="0" applyFill="1" applyBorder="1"/>
    <xf numFmtId="42" fontId="109" fillId="37" borderId="1" xfId="1" applyNumberFormat="1" applyFont="1" applyFill="1" applyBorder="1" applyProtection="1">
      <protection locked="0"/>
    </xf>
    <xf numFmtId="1" fontId="109" fillId="0" borderId="1" xfId="1" applyNumberFormat="1" applyFont="1" applyFill="1" applyBorder="1" applyAlignment="1" applyProtection="1">
      <alignment horizontal="center"/>
      <protection locked="0"/>
    </xf>
    <xf numFmtId="42" fontId="109" fillId="0" borderId="39" xfId="1" applyNumberFormat="1" applyFont="1" applyFill="1" applyBorder="1" applyProtection="1">
      <protection locked="0"/>
    </xf>
    <xf numFmtId="0" fontId="106" fillId="12" borderId="55" xfId="0" applyFont="1" applyFill="1" applyBorder="1" applyAlignment="1">
      <alignment horizontal="center" vertical="top"/>
    </xf>
    <xf numFmtId="0" fontId="0" fillId="38" borderId="1" xfId="0" applyFill="1" applyBorder="1"/>
    <xf numFmtId="0" fontId="4" fillId="38" borderId="1" xfId="0" applyFont="1" applyFill="1" applyBorder="1"/>
    <xf numFmtId="165" fontId="8" fillId="17" borderId="1" xfId="1" applyNumberFormat="1" applyFont="1" applyFill="1" applyBorder="1" applyAlignment="1" applyProtection="1">
      <alignment horizontal="center"/>
      <protection locked="0"/>
    </xf>
    <xf numFmtId="9" fontId="0" fillId="38" borderId="7" xfId="0" applyNumberFormat="1" applyFill="1" applyBorder="1" applyAlignment="1" applyProtection="1">
      <alignment horizontal="center"/>
      <protection locked="0"/>
    </xf>
    <xf numFmtId="10" fontId="0" fillId="12" borderId="0" xfId="2" applyNumberFormat="1" applyFont="1" applyFill="1" applyBorder="1" applyAlignment="1" applyProtection="1">
      <alignment horizontal="center"/>
      <protection locked="0"/>
    </xf>
    <xf numFmtId="10" fontId="0" fillId="12" borderId="0" xfId="2" applyNumberFormat="1" applyFont="1" applyFill="1" applyBorder="1" applyAlignment="1" applyProtection="1">
      <alignment horizontal="center"/>
    </xf>
    <xf numFmtId="2" fontId="3" fillId="5" borderId="1" xfId="0" applyNumberFormat="1" applyFont="1" applyFill="1" applyBorder="1" applyAlignment="1" applyProtection="1">
      <alignment horizontal="center" vertical="center"/>
      <protection locked="0"/>
    </xf>
    <xf numFmtId="9" fontId="0" fillId="38" borderId="15" xfId="0" applyNumberFormat="1" applyFill="1" applyBorder="1" applyAlignment="1" applyProtection="1">
      <alignment horizontal="center"/>
      <protection locked="0"/>
    </xf>
    <xf numFmtId="9" fontId="0" fillId="38" borderId="1" xfId="0" applyNumberFormat="1" applyFill="1" applyBorder="1" applyAlignment="1" applyProtection="1">
      <alignment horizontal="center"/>
      <protection locked="0"/>
    </xf>
    <xf numFmtId="1" fontId="8" fillId="0" borderId="1" xfId="4" applyNumberFormat="1" applyFont="1" applyBorder="1" applyAlignment="1" applyProtection="1">
      <alignment horizontal="center"/>
      <protection locked="0"/>
    </xf>
    <xf numFmtId="0" fontId="8" fillId="38" borderId="15" xfId="4" applyFont="1" applyFill="1" applyBorder="1" applyAlignment="1">
      <alignment horizontal="center"/>
    </xf>
    <xf numFmtId="0" fontId="8" fillId="12" borderId="55" xfId="4" applyFont="1" applyFill="1" applyBorder="1" applyAlignment="1">
      <alignment horizontal="right"/>
    </xf>
    <xf numFmtId="8" fontId="8" fillId="12" borderId="1" xfId="4" applyNumberFormat="1" applyFont="1" applyFill="1" applyBorder="1" applyAlignment="1">
      <alignment horizontal="center"/>
    </xf>
    <xf numFmtId="0" fontId="0" fillId="38" borderId="14" xfId="0" applyFill="1" applyBorder="1"/>
    <xf numFmtId="8" fontId="0" fillId="12" borderId="1" xfId="0" applyNumberFormat="1" applyFill="1" applyBorder="1"/>
    <xf numFmtId="1" fontId="47" fillId="0" borderId="1" xfId="4" applyNumberFormat="1" applyFont="1" applyBorder="1" applyAlignment="1" applyProtection="1">
      <alignment horizontal="center"/>
      <protection locked="0"/>
    </xf>
    <xf numFmtId="8" fontId="8" fillId="12" borderId="0" xfId="4" applyNumberFormat="1" applyFont="1" applyFill="1" applyBorder="1" applyAlignment="1">
      <alignment horizontal="center"/>
    </xf>
    <xf numFmtId="8" fontId="0" fillId="12" borderId="0" xfId="0" applyNumberFormat="1" applyFill="1"/>
    <xf numFmtId="43" fontId="0" fillId="0" borderId="1" xfId="6" applyFont="1" applyFill="1" applyBorder="1" applyAlignment="1" applyProtection="1">
      <alignment horizontal="center"/>
      <protection locked="0"/>
    </xf>
    <xf numFmtId="8" fontId="0" fillId="12" borderId="0" xfId="0" applyNumberFormat="1" applyFill="1" applyAlignment="1">
      <alignment horizontal="right"/>
    </xf>
    <xf numFmtId="44" fontId="0" fillId="12" borderId="0" xfId="1" applyFont="1" applyFill="1" applyBorder="1" applyAlignment="1">
      <alignment horizontal="center"/>
    </xf>
    <xf numFmtId="44" fontId="0" fillId="12" borderId="34" xfId="1" applyFont="1" applyFill="1" applyBorder="1" applyAlignment="1">
      <alignment horizontal="center"/>
    </xf>
    <xf numFmtId="0" fontId="8" fillId="0" borderId="0" xfId="4" applyFont="1" applyFill="1" applyBorder="1" applyAlignment="1">
      <alignment horizontal="right"/>
    </xf>
    <xf numFmtId="0" fontId="0" fillId="35" borderId="31" xfId="0" applyFill="1" applyBorder="1"/>
    <xf numFmtId="42" fontId="0" fillId="35" borderId="8" xfId="0" applyNumberFormat="1" applyFill="1" applyBorder="1"/>
    <xf numFmtId="42" fontId="0" fillId="35" borderId="0" xfId="0" applyNumberFormat="1" applyFill="1"/>
    <xf numFmtId="42" fontId="0" fillId="35" borderId="32" xfId="0" applyNumberFormat="1" applyFill="1" applyBorder="1"/>
    <xf numFmtId="0" fontId="15" fillId="4" borderId="0" xfId="0" applyFont="1" applyFill="1"/>
    <xf numFmtId="0" fontId="4" fillId="39" borderId="103" xfId="0" applyFont="1" applyFill="1" applyBorder="1"/>
    <xf numFmtId="42" fontId="4" fillId="39" borderId="27" xfId="0" applyNumberFormat="1" applyFont="1" applyFill="1" applyBorder="1"/>
    <xf numFmtId="42" fontId="4" fillId="39" borderId="104" xfId="0" applyNumberFormat="1" applyFont="1" applyFill="1" applyBorder="1"/>
    <xf numFmtId="0" fontId="0" fillId="0" borderId="100" xfId="0" applyBorder="1"/>
    <xf numFmtId="0" fontId="0" fillId="12" borderId="36" xfId="0" applyFill="1" applyBorder="1" applyProtection="1">
      <protection hidden="1"/>
    </xf>
    <xf numFmtId="0" fontId="0" fillId="12" borderId="0" xfId="0" applyFill="1" applyProtection="1">
      <protection hidden="1"/>
    </xf>
    <xf numFmtId="9" fontId="8" fillId="17" borderId="1" xfId="2" applyFont="1" applyFill="1" applyBorder="1" applyAlignment="1" applyProtection="1">
      <alignment horizontal="center"/>
      <protection hidden="1"/>
    </xf>
    <xf numFmtId="0" fontId="10" fillId="12" borderId="0" xfId="5" applyFont="1" applyFill="1" applyAlignment="1" applyProtection="1">
      <alignment horizontal="center"/>
      <protection hidden="1"/>
    </xf>
    <xf numFmtId="0" fontId="10" fillId="12" borderId="34" xfId="5" applyFont="1" applyFill="1" applyBorder="1" applyAlignment="1" applyProtection="1">
      <alignment horizontal="center"/>
      <protection hidden="1"/>
    </xf>
    <xf numFmtId="0" fontId="8" fillId="12" borderId="55" xfId="3" applyFont="1" applyFill="1" applyBorder="1" applyAlignment="1">
      <alignment vertical="top"/>
    </xf>
    <xf numFmtId="0" fontId="10" fillId="12" borderId="4" xfId="3" applyFont="1" applyFill="1" applyBorder="1" applyAlignment="1">
      <alignment horizontal="center" vertical="top"/>
    </xf>
    <xf numFmtId="5" fontId="4" fillId="35" borderId="105" xfId="1" applyNumberFormat="1" applyFont="1" applyFill="1" applyBorder="1" applyAlignment="1" applyProtection="1">
      <alignment horizontal="center"/>
    </xf>
    <xf numFmtId="0" fontId="8" fillId="4" borderId="0" xfId="0" applyFont="1" applyFill="1"/>
    <xf numFmtId="44" fontId="8" fillId="12" borderId="4" xfId="9" applyFont="1" applyFill="1" applyBorder="1" applyAlignment="1" applyProtection="1">
      <protection hidden="1"/>
    </xf>
    <xf numFmtId="44" fontId="8" fillId="12" borderId="5" xfId="9" applyFont="1" applyFill="1" applyBorder="1" applyAlignment="1" applyProtection="1">
      <protection hidden="1"/>
    </xf>
    <xf numFmtId="0" fontId="8" fillId="12" borderId="2" xfId="5" applyFont="1" applyFill="1" applyBorder="1" applyAlignment="1" applyProtection="1">
      <alignment wrapText="1"/>
      <protection hidden="1"/>
    </xf>
    <xf numFmtId="0" fontId="11" fillId="12" borderId="0" xfId="5" applyFont="1" applyFill="1" applyProtection="1">
      <protection hidden="1"/>
    </xf>
    <xf numFmtId="0" fontId="8" fillId="12" borderId="34" xfId="5" applyFont="1" applyFill="1" applyBorder="1" applyProtection="1">
      <protection hidden="1"/>
    </xf>
    <xf numFmtId="0" fontId="8" fillId="4" borderId="0" xfId="0" applyFont="1" applyFill="1" applyAlignment="1">
      <alignment horizontal="center"/>
    </xf>
    <xf numFmtId="10" fontId="8" fillId="12" borderId="4" xfId="2" applyNumberFormat="1" applyFont="1" applyFill="1" applyBorder="1" applyAlignment="1" applyProtection="1">
      <protection hidden="1"/>
    </xf>
    <xf numFmtId="10" fontId="8" fillId="12" borderId="5" xfId="2" applyNumberFormat="1" applyFont="1" applyFill="1" applyBorder="1" applyAlignment="1" applyProtection="1">
      <protection hidden="1"/>
    </xf>
    <xf numFmtId="0" fontId="8" fillId="12" borderId="0" xfId="5" applyFont="1" applyFill="1" applyAlignment="1" applyProtection="1">
      <alignment wrapText="1"/>
      <protection hidden="1"/>
    </xf>
    <xf numFmtId="0" fontId="8" fillId="12" borderId="0" xfId="5" applyFont="1" applyFill="1" applyProtection="1">
      <protection hidden="1"/>
    </xf>
    <xf numFmtId="165" fontId="8" fillId="12" borderId="8" xfId="1" applyNumberFormat="1" applyFont="1" applyFill="1" applyBorder="1" applyAlignment="1"/>
    <xf numFmtId="44" fontId="8" fillId="12" borderId="10" xfId="1" applyFont="1" applyFill="1" applyBorder="1" applyAlignment="1"/>
    <xf numFmtId="44" fontId="8" fillId="12" borderId="6" xfId="1" applyFont="1" applyFill="1" applyBorder="1"/>
    <xf numFmtId="44" fontId="8" fillId="12" borderId="34" xfId="1" applyFont="1" applyFill="1" applyBorder="1"/>
    <xf numFmtId="165" fontId="8" fillId="12" borderId="0" xfId="1" applyNumberFormat="1" applyFont="1" applyFill="1" applyBorder="1" applyAlignment="1"/>
    <xf numFmtId="44" fontId="8" fillId="12" borderId="6" xfId="1" applyFont="1" applyFill="1" applyBorder="1" applyAlignment="1"/>
    <xf numFmtId="165" fontId="8" fillId="12" borderId="12" xfId="1" applyNumberFormat="1" applyFont="1" applyFill="1" applyBorder="1" applyAlignment="1"/>
    <xf numFmtId="44" fontId="8" fillId="12" borderId="13" xfId="1" applyFont="1" applyFill="1" applyBorder="1" applyAlignment="1"/>
    <xf numFmtId="44" fontId="8" fillId="12" borderId="13" xfId="1" applyFont="1" applyFill="1" applyBorder="1" applyAlignment="1">
      <alignment horizontal="right"/>
    </xf>
    <xf numFmtId="44" fontId="8" fillId="12" borderId="32" xfId="1" applyFont="1" applyFill="1" applyBorder="1" applyAlignment="1">
      <alignment horizontal="right"/>
    </xf>
    <xf numFmtId="44" fontId="8" fillId="12" borderId="26" xfId="1" applyFont="1" applyFill="1" applyBorder="1"/>
    <xf numFmtId="44" fontId="8" fillId="12" borderId="41" xfId="1" applyFont="1" applyFill="1" applyBorder="1"/>
    <xf numFmtId="42" fontId="4" fillId="39" borderId="106" xfId="0" applyNumberFormat="1" applyFont="1" applyFill="1" applyBorder="1"/>
    <xf numFmtId="42" fontId="4" fillId="39" borderId="43" xfId="0" applyNumberFormat="1" applyFont="1" applyFill="1" applyBorder="1"/>
    <xf numFmtId="168" fontId="0" fillId="0" borderId="0" xfId="6" applyNumberFormat="1" applyFont="1" applyFill="1" applyBorder="1" applyAlignment="1">
      <alignment horizontal="right"/>
    </xf>
    <xf numFmtId="168" fontId="0" fillId="0" borderId="0" xfId="6" applyNumberFormat="1" applyFont="1" applyFill="1" applyBorder="1" applyAlignment="1"/>
    <xf numFmtId="10" fontId="0" fillId="0" borderId="0" xfId="0" applyNumberFormat="1"/>
    <xf numFmtId="43" fontId="0" fillId="12" borderId="34" xfId="6" applyFont="1" applyFill="1" applyBorder="1" applyAlignment="1">
      <alignment horizontal="center"/>
    </xf>
    <xf numFmtId="0" fontId="8" fillId="12" borderId="37" xfId="3" applyFont="1" applyFill="1" applyBorder="1" applyAlignment="1" applyProtection="1">
      <alignment horizontal="right" vertical="top"/>
      <protection locked="0"/>
    </xf>
    <xf numFmtId="0" fontId="4" fillId="12" borderId="34" xfId="0" applyFont="1" applyFill="1" applyBorder="1"/>
    <xf numFmtId="9" fontId="47" fillId="0" borderId="39" xfId="2" applyFont="1" applyBorder="1" applyAlignment="1" applyProtection="1">
      <alignment horizontal="center" vertical="top"/>
      <protection locked="0"/>
    </xf>
    <xf numFmtId="43" fontId="0" fillId="3" borderId="34" xfId="6" applyFont="1" applyFill="1" applyBorder="1" applyAlignment="1">
      <alignment horizontal="center"/>
    </xf>
    <xf numFmtId="2" fontId="8" fillId="12" borderId="1" xfId="3" applyNumberFormat="1" applyFont="1" applyFill="1" applyBorder="1" applyAlignment="1">
      <alignment vertical="top"/>
    </xf>
    <xf numFmtId="43" fontId="0" fillId="12" borderId="43" xfId="6" applyFont="1" applyFill="1" applyBorder="1" applyAlignment="1">
      <alignment horizontal="center"/>
    </xf>
    <xf numFmtId="2" fontId="8" fillId="12" borderId="7" xfId="3" applyNumberFormat="1" applyFont="1" applyFill="1" applyBorder="1" applyAlignment="1">
      <alignment vertical="top"/>
    </xf>
    <xf numFmtId="42" fontId="0" fillId="12" borderId="1" xfId="0" applyNumberFormat="1" applyFill="1" applyBorder="1"/>
    <xf numFmtId="9" fontId="0" fillId="12" borderId="4" xfId="0" applyNumberFormat="1" applyFill="1" applyBorder="1" applyAlignment="1">
      <alignment horizontal="right"/>
    </xf>
    <xf numFmtId="2" fontId="4" fillId="0" borderId="95" xfId="0" applyNumberFormat="1" applyFont="1" applyBorder="1"/>
    <xf numFmtId="0" fontId="0" fillId="0" borderId="19" xfId="0" applyBorder="1"/>
    <xf numFmtId="44" fontId="0" fillId="0" borderId="1" xfId="1" applyFont="1" applyFill="1" applyBorder="1" applyProtection="1">
      <protection locked="0"/>
    </xf>
    <xf numFmtId="178" fontId="0" fillId="0" borderId="1" xfId="0" applyNumberFormat="1" applyBorder="1" applyProtection="1">
      <protection locked="0"/>
    </xf>
    <xf numFmtId="44" fontId="0" fillId="17" borderId="1" xfId="1" applyFont="1" applyFill="1" applyBorder="1" applyProtection="1">
      <protection locked="0"/>
    </xf>
    <xf numFmtId="44" fontId="0" fillId="0" borderId="1" xfId="0" applyNumberFormat="1" applyBorder="1"/>
    <xf numFmtId="44" fontId="0" fillId="12" borderId="0" xfId="0" applyNumberFormat="1" applyFill="1"/>
    <xf numFmtId="0" fontId="4" fillId="12" borderId="29" xfId="0" applyFont="1" applyFill="1" applyBorder="1" applyProtection="1">
      <protection hidden="1"/>
    </xf>
    <xf numFmtId="0" fontId="0" fillId="12" borderId="19" xfId="0" applyFill="1" applyBorder="1" applyProtection="1">
      <protection hidden="1"/>
    </xf>
    <xf numFmtId="0" fontId="0" fillId="12" borderId="19" xfId="0" applyFill="1" applyBorder="1" applyAlignment="1" applyProtection="1">
      <alignment horizontal="right"/>
      <protection hidden="1"/>
    </xf>
    <xf numFmtId="168" fontId="0" fillId="40" borderId="19" xfId="6" applyNumberFormat="1" applyFont="1" applyFill="1" applyBorder="1" applyProtection="1">
      <protection hidden="1"/>
    </xf>
    <xf numFmtId="0" fontId="0" fillId="12" borderId="30" xfId="0" applyFill="1" applyBorder="1" applyProtection="1">
      <protection hidden="1"/>
    </xf>
    <xf numFmtId="0" fontId="0" fillId="12" borderId="34" xfId="0" applyFill="1" applyBorder="1" applyProtection="1">
      <protection hidden="1"/>
    </xf>
    <xf numFmtId="167" fontId="0" fillId="12" borderId="0" xfId="0" applyNumberFormat="1" applyFill="1" applyAlignment="1" applyProtection="1">
      <alignment horizontal="center"/>
      <protection hidden="1"/>
    </xf>
    <xf numFmtId="10" fontId="0" fillId="12" borderId="0" xfId="2" applyNumberFormat="1" applyFont="1" applyFill="1" applyBorder="1" applyAlignment="1" applyProtection="1">
      <alignment horizontal="center"/>
      <protection hidden="1"/>
    </xf>
    <xf numFmtId="0" fontId="0" fillId="12" borderId="0" xfId="0" applyFill="1" applyAlignment="1" applyProtection="1">
      <alignment horizontal="center"/>
      <protection hidden="1"/>
    </xf>
    <xf numFmtId="1" fontId="0" fillId="12" borderId="0" xfId="0" applyNumberFormat="1" applyFill="1" applyAlignment="1" applyProtection="1">
      <alignment horizontal="center"/>
      <protection hidden="1"/>
    </xf>
    <xf numFmtId="181" fontId="0" fillId="12" borderId="0" xfId="0" applyNumberFormat="1" applyFill="1" applyAlignment="1" applyProtection="1">
      <alignment horizontal="center"/>
      <protection hidden="1"/>
    </xf>
    <xf numFmtId="180" fontId="0" fillId="12" borderId="0" xfId="2" applyNumberFormat="1" applyFont="1" applyFill="1" applyBorder="1" applyAlignment="1" applyProtection="1">
      <alignment horizontal="center"/>
      <protection hidden="1"/>
    </xf>
    <xf numFmtId="8" fontId="0" fillId="12" borderId="0" xfId="0" applyNumberFormat="1" applyFill="1" applyAlignment="1" applyProtection="1">
      <alignment horizontal="left"/>
      <protection hidden="1"/>
    </xf>
    <xf numFmtId="0" fontId="17" fillId="12" borderId="36" xfId="10" applyFont="1" applyFill="1" applyBorder="1" applyAlignment="1">
      <alignment horizontal="right"/>
    </xf>
    <xf numFmtId="0" fontId="3" fillId="5" borderId="95" xfId="0" applyFont="1" applyFill="1" applyBorder="1" applyAlignment="1" applyProtection="1">
      <alignment horizontal="center" vertical="center"/>
      <protection locked="0"/>
    </xf>
    <xf numFmtId="49" fontId="0" fillId="12" borderId="36" xfId="0" applyNumberFormat="1" applyFill="1" applyBorder="1" applyProtection="1">
      <protection hidden="1"/>
    </xf>
    <xf numFmtId="9" fontId="18" fillId="12" borderId="54" xfId="10" applyNumberFormat="1" applyFont="1" applyFill="1" applyBorder="1"/>
    <xf numFmtId="0" fontId="2" fillId="0" borderId="14" xfId="0" applyFont="1" applyBorder="1" applyProtection="1">
      <protection locked="0"/>
    </xf>
    <xf numFmtId="0" fontId="2" fillId="12" borderId="1" xfId="0" applyFont="1" applyFill="1" applyBorder="1"/>
    <xf numFmtId="0" fontId="2" fillId="0" borderId="15" xfId="0" applyFont="1" applyBorder="1" applyProtection="1">
      <protection locked="0"/>
    </xf>
    <xf numFmtId="0" fontId="18" fillId="12" borderId="31" xfId="10" applyFont="1" applyFill="1" applyBorder="1" applyAlignment="1">
      <alignment horizontal="right"/>
    </xf>
    <xf numFmtId="0" fontId="17" fillId="12" borderId="0" xfId="10" applyFont="1" applyFill="1" applyAlignment="1">
      <alignment horizontal="right"/>
    </xf>
    <xf numFmtId="167" fontId="17" fillId="12" borderId="7" xfId="10" applyNumberFormat="1" applyFont="1" applyFill="1" applyBorder="1"/>
    <xf numFmtId="9" fontId="17" fillId="12" borderId="54" xfId="10" applyNumberFormat="1" applyFont="1" applyFill="1" applyBorder="1"/>
    <xf numFmtId="0" fontId="0" fillId="12" borderId="42" xfId="0" applyFill="1" applyBorder="1" applyProtection="1">
      <protection hidden="1"/>
    </xf>
    <xf numFmtId="167" fontId="0" fillId="12" borderId="27" xfId="0" applyNumberFormat="1" applyFill="1" applyBorder="1" applyAlignment="1" applyProtection="1">
      <alignment horizontal="center"/>
      <protection hidden="1"/>
    </xf>
    <xf numFmtId="10" fontId="0" fillId="12" borderId="27" xfId="2" applyNumberFormat="1" applyFont="1" applyFill="1" applyBorder="1" applyAlignment="1" applyProtection="1">
      <alignment horizontal="center"/>
      <protection hidden="1"/>
    </xf>
    <xf numFmtId="0" fontId="0" fillId="12" borderId="27" xfId="0" applyFill="1" applyBorder="1" applyAlignment="1" applyProtection="1">
      <alignment horizontal="center"/>
      <protection hidden="1"/>
    </xf>
    <xf numFmtId="1" fontId="0" fillId="12" borderId="27" xfId="0" applyNumberFormat="1" applyFill="1" applyBorder="1" applyAlignment="1" applyProtection="1">
      <alignment horizontal="center"/>
      <protection hidden="1"/>
    </xf>
    <xf numFmtId="181" fontId="0" fillId="12" borderId="27" xfId="0" applyNumberFormat="1" applyFill="1" applyBorder="1" applyAlignment="1" applyProtection="1">
      <alignment horizontal="center"/>
      <protection hidden="1"/>
    </xf>
    <xf numFmtId="180" fontId="0" fillId="12" borderId="27" xfId="2" applyNumberFormat="1" applyFont="1" applyFill="1" applyBorder="1" applyAlignment="1" applyProtection="1">
      <alignment horizontal="center"/>
      <protection hidden="1"/>
    </xf>
    <xf numFmtId="8" fontId="0" fillId="12" borderId="27" xfId="0" applyNumberFormat="1" applyFill="1" applyBorder="1" applyAlignment="1" applyProtection="1">
      <alignment horizontal="left"/>
      <protection hidden="1"/>
    </xf>
    <xf numFmtId="0" fontId="0" fillId="12" borderId="43" xfId="0" applyFill="1" applyBorder="1" applyProtection="1">
      <protection hidden="1"/>
    </xf>
    <xf numFmtId="0" fontId="18" fillId="0" borderId="7" xfId="10" applyFont="1" applyBorder="1" applyAlignment="1" applyProtection="1">
      <alignment horizontal="right"/>
      <protection locked="0"/>
    </xf>
    <xf numFmtId="0" fontId="18" fillId="0" borderId="15" xfId="10" applyFont="1" applyBorder="1" applyAlignment="1" applyProtection="1">
      <alignment horizontal="right"/>
      <protection locked="0"/>
    </xf>
    <xf numFmtId="0" fontId="0" fillId="12" borderId="37" xfId="0" applyFill="1" applyBorder="1" applyAlignment="1">
      <alignment horizontal="right"/>
    </xf>
    <xf numFmtId="0" fontId="18" fillId="0" borderId="14" xfId="10" applyFont="1" applyBorder="1" applyAlignment="1" applyProtection="1">
      <alignment horizontal="right"/>
      <protection locked="0"/>
    </xf>
    <xf numFmtId="9" fontId="18" fillId="12" borderId="0" xfId="12" applyFont="1" applyFill="1" applyBorder="1" applyAlignment="1" applyProtection="1">
      <alignment horizontal="right"/>
    </xf>
    <xf numFmtId="0" fontId="17" fillId="16" borderId="0" xfId="19" applyFont="1" applyFill="1" applyAlignment="1">
      <alignment horizontal="left" vertical="center"/>
    </xf>
    <xf numFmtId="0" fontId="18" fillId="16" borderId="0" xfId="19" quotePrefix="1" applyFont="1" applyFill="1" applyAlignment="1">
      <alignment horizontal="right" vertical="center"/>
    </xf>
    <xf numFmtId="167" fontId="0" fillId="0" borderId="1" xfId="0" applyNumberFormat="1" applyBorder="1" applyProtection="1">
      <protection locked="0"/>
    </xf>
    <xf numFmtId="3" fontId="2" fillId="16" borderId="0" xfId="19" quotePrefix="1" applyNumberFormat="1" applyFont="1" applyFill="1" applyAlignment="1">
      <alignment horizontal="right" vertical="center"/>
    </xf>
    <xf numFmtId="49" fontId="0" fillId="0" borderId="0" xfId="0" applyNumberFormat="1" applyAlignment="1" applyProtection="1">
      <alignment horizontal="right"/>
      <protection locked="0"/>
    </xf>
    <xf numFmtId="3" fontId="2" fillId="0" borderId="0" xfId="19" quotePrefix="1" applyNumberFormat="1" applyFont="1" applyAlignment="1" applyProtection="1">
      <alignment horizontal="right" vertical="center"/>
      <protection locked="0"/>
    </xf>
    <xf numFmtId="3" fontId="2" fillId="12" borderId="0" xfId="19" applyNumberFormat="1" applyFont="1" applyFill="1" applyAlignment="1">
      <alignment horizontal="right" vertical="center"/>
    </xf>
    <xf numFmtId="165" fontId="0" fillId="17" borderId="1" xfId="0" applyNumberFormat="1" applyFill="1" applyBorder="1" applyProtection="1">
      <protection locked="0"/>
    </xf>
    <xf numFmtId="3" fontId="2" fillId="12" borderId="1" xfId="19" applyNumberFormat="1" applyFont="1" applyFill="1" applyBorder="1" applyAlignment="1">
      <alignment horizontal="right" vertical="center"/>
    </xf>
    <xf numFmtId="165" fontId="0" fillId="12" borderId="1" xfId="1" applyNumberFormat="1" applyFont="1" applyFill="1" applyBorder="1" applyProtection="1"/>
    <xf numFmtId="165" fontId="0" fillId="41" borderId="1" xfId="1" applyNumberFormat="1" applyFont="1" applyFill="1" applyBorder="1" applyProtection="1"/>
    <xf numFmtId="49" fontId="18" fillId="12" borderId="0" xfId="10" applyNumberFormat="1" applyFont="1" applyFill="1" applyAlignment="1">
      <alignment horizontal="right"/>
    </xf>
    <xf numFmtId="43" fontId="0" fillId="12" borderId="1" xfId="6" applyFont="1" applyFill="1" applyBorder="1" applyAlignment="1" applyProtection="1">
      <alignment horizontal="center"/>
    </xf>
    <xf numFmtId="43" fontId="0" fillId="12" borderId="7" xfId="6" applyFont="1" applyFill="1" applyBorder="1" applyAlignment="1" applyProtection="1">
      <alignment horizontal="center"/>
    </xf>
    <xf numFmtId="0" fontId="18" fillId="12" borderId="27" xfId="10" applyFont="1" applyFill="1" applyBorder="1" applyAlignment="1">
      <alignment horizontal="right"/>
    </xf>
    <xf numFmtId="2" fontId="0" fillId="12" borderId="27" xfId="0" applyNumberFormat="1" applyFill="1" applyBorder="1"/>
    <xf numFmtId="0" fontId="18" fillId="0" borderId="19" xfId="10" applyFont="1" applyBorder="1" applyAlignment="1">
      <alignment horizontal="right"/>
    </xf>
    <xf numFmtId="2" fontId="0" fillId="0" borderId="19" xfId="0" applyNumberFormat="1" applyBorder="1"/>
    <xf numFmtId="0" fontId="18" fillId="12" borderId="19" xfId="10" applyFont="1" applyFill="1" applyBorder="1" applyAlignment="1">
      <alignment horizontal="right"/>
    </xf>
    <xf numFmtId="2" fontId="0" fillId="12" borderId="19" xfId="0" applyNumberFormat="1" applyFill="1" applyBorder="1"/>
    <xf numFmtId="43" fontId="0" fillId="12" borderId="1" xfId="6" applyFont="1" applyFill="1" applyBorder="1"/>
    <xf numFmtId="43" fontId="0" fillId="12" borderId="0" xfId="6" applyFont="1" applyFill="1" applyBorder="1"/>
    <xf numFmtId="43" fontId="0" fillId="17" borderId="1" xfId="6" applyFont="1" applyFill="1" applyBorder="1" applyProtection="1">
      <protection locked="0"/>
    </xf>
    <xf numFmtId="2" fontId="0" fillId="12" borderId="1" xfId="0" applyNumberFormat="1" applyFill="1" applyBorder="1"/>
    <xf numFmtId="0" fontId="0" fillId="12" borderId="15" xfId="0" applyFill="1" applyBorder="1"/>
    <xf numFmtId="0" fontId="10" fillId="12" borderId="13" xfId="0" applyFont="1" applyFill="1" applyBorder="1" applyAlignment="1">
      <alignment horizontal="center"/>
    </xf>
    <xf numFmtId="0" fontId="10" fillId="12" borderId="14" xfId="0" applyFont="1" applyFill="1" applyBorder="1"/>
    <xf numFmtId="0" fontId="10" fillId="12" borderId="11" xfId="0" applyFont="1" applyFill="1" applyBorder="1" applyAlignment="1">
      <alignment horizontal="center"/>
    </xf>
    <xf numFmtId="0" fontId="0" fillId="0" borderId="5" xfId="0" applyBorder="1" applyProtection="1">
      <protection locked="0"/>
    </xf>
    <xf numFmtId="4" fontId="0" fillId="0" borderId="1" xfId="1" applyNumberFormat="1" applyFont="1" applyBorder="1" applyAlignment="1" applyProtection="1">
      <protection locked="0"/>
    </xf>
    <xf numFmtId="165" fontId="8" fillId="0" borderId="11" xfId="1" applyNumberFormat="1" applyFont="1" applyFill="1" applyBorder="1" applyAlignment="1" applyProtection="1">
      <protection locked="0"/>
    </xf>
    <xf numFmtId="0" fontId="8" fillId="5" borderId="4" xfId="0" applyFont="1" applyFill="1" applyBorder="1" applyProtection="1">
      <protection locked="0"/>
    </xf>
    <xf numFmtId="9" fontId="0" fillId="0" borderId="1" xfId="2" applyFont="1" applyBorder="1" applyAlignment="1" applyProtection="1"/>
    <xf numFmtId="4" fontId="0" fillId="0" borderId="1" xfId="0" applyNumberFormat="1" applyBorder="1"/>
    <xf numFmtId="169" fontId="0" fillId="0" borderId="14" xfId="2" applyNumberFormat="1" applyFont="1" applyBorder="1" applyAlignment="1" applyProtection="1"/>
    <xf numFmtId="0" fontId="8" fillId="0" borderId="11" xfId="0" applyFont="1" applyBorder="1"/>
    <xf numFmtId="0" fontId="8" fillId="3" borderId="11" xfId="0" applyFont="1" applyFill="1" applyBorder="1" applyProtection="1">
      <protection locked="0"/>
    </xf>
    <xf numFmtId="165" fontId="8" fillId="0" borderId="4" xfId="1" applyNumberFormat="1" applyFont="1" applyFill="1" applyBorder="1" applyAlignment="1" applyProtection="1">
      <protection locked="0"/>
    </xf>
    <xf numFmtId="169" fontId="0" fillId="0" borderId="1" xfId="2" applyNumberFormat="1" applyFont="1" applyBorder="1" applyAlignment="1" applyProtection="1"/>
    <xf numFmtId="0" fontId="8" fillId="0" borderId="4" xfId="0" applyFont="1" applyBorder="1"/>
    <xf numFmtId="0" fontId="8" fillId="3" borderId="4" xfId="0" applyFont="1" applyFill="1" applyBorder="1" applyProtection="1">
      <protection locked="0"/>
    </xf>
    <xf numFmtId="0" fontId="0" fillId="0" borderId="10" xfId="0" applyBorder="1" applyProtection="1">
      <protection locked="0"/>
    </xf>
    <xf numFmtId="4" fontId="0" fillId="0" borderId="7" xfId="1" applyNumberFormat="1" applyFont="1" applyBorder="1" applyAlignment="1" applyProtection="1">
      <protection locked="0"/>
    </xf>
    <xf numFmtId="165" fontId="8" fillId="0" borderId="9" xfId="1" applyNumberFormat="1" applyFont="1" applyFill="1" applyBorder="1" applyAlignment="1" applyProtection="1">
      <protection locked="0"/>
    </xf>
    <xf numFmtId="0" fontId="8" fillId="5" borderId="9" xfId="0" applyFont="1" applyFill="1" applyBorder="1" applyProtection="1">
      <protection locked="0"/>
    </xf>
    <xf numFmtId="9" fontId="0" fillId="0" borderId="7" xfId="2" applyFont="1" applyBorder="1" applyAlignment="1" applyProtection="1"/>
    <xf numFmtId="169" fontId="0" fillId="0" borderId="7" xfId="2" applyNumberFormat="1" applyFont="1" applyBorder="1" applyAlignment="1" applyProtection="1"/>
    <xf numFmtId="0" fontId="8" fillId="0" borderId="9" xfId="0" applyFont="1" applyBorder="1"/>
    <xf numFmtId="0" fontId="8" fillId="3" borderId="9" xfId="0" applyFont="1" applyFill="1" applyBorder="1" applyProtection="1">
      <protection locked="0"/>
    </xf>
    <xf numFmtId="0" fontId="0" fillId="12" borderId="10" xfId="0" applyFill="1" applyBorder="1" applyProtection="1">
      <protection locked="0"/>
    </xf>
    <xf numFmtId="165" fontId="0" fillId="12" borderId="7" xfId="0" applyNumberFormat="1" applyFill="1" applyBorder="1" applyProtection="1">
      <protection locked="0"/>
    </xf>
    <xf numFmtId="0" fontId="8" fillId="12" borderId="9" xfId="0" applyFont="1" applyFill="1" applyBorder="1" applyProtection="1">
      <protection locked="0"/>
    </xf>
    <xf numFmtId="0" fontId="0" fillId="12" borderId="7" xfId="0" applyFill="1" applyBorder="1" applyProtection="1">
      <protection locked="0"/>
    </xf>
    <xf numFmtId="0" fontId="0" fillId="12" borderId="7" xfId="0" applyFill="1" applyBorder="1"/>
    <xf numFmtId="4" fontId="0" fillId="12" borderId="7" xfId="0" applyNumberFormat="1" applyFill="1" applyBorder="1" applyProtection="1">
      <protection locked="0"/>
    </xf>
    <xf numFmtId="0" fontId="0" fillId="3" borderId="8" xfId="0" applyFill="1" applyBorder="1"/>
    <xf numFmtId="0" fontId="4" fillId="12" borderId="35" xfId="0" applyFont="1" applyFill="1" applyBorder="1" applyAlignment="1">
      <alignment horizontal="right"/>
    </xf>
    <xf numFmtId="0" fontId="4" fillId="12" borderId="1" xfId="0" applyFont="1" applyFill="1" applyBorder="1" applyAlignment="1">
      <alignment horizontal="right"/>
    </xf>
    <xf numFmtId="10" fontId="0" fillId="12" borderId="1" xfId="2" applyNumberFormat="1" applyFont="1" applyFill="1" applyBorder="1"/>
    <xf numFmtId="167" fontId="0" fillId="12" borderId="1" xfId="0" applyNumberFormat="1" applyFill="1" applyBorder="1"/>
    <xf numFmtId="0" fontId="4" fillId="12" borderId="1" xfId="0" applyFont="1" applyFill="1" applyBorder="1" applyAlignment="1">
      <alignment horizontal="left"/>
    </xf>
    <xf numFmtId="169" fontId="0" fillId="12" borderId="1" xfId="2" applyNumberFormat="1" applyFont="1" applyFill="1" applyBorder="1" applyProtection="1"/>
    <xf numFmtId="0" fontId="0" fillId="12" borderId="39" xfId="0" applyFill="1" applyBorder="1"/>
    <xf numFmtId="0" fontId="4" fillId="12" borderId="40" xfId="0" applyFont="1" applyFill="1" applyBorder="1"/>
    <xf numFmtId="0" fontId="4" fillId="12" borderId="25" xfId="0" applyFont="1" applyFill="1" applyBorder="1"/>
    <xf numFmtId="0" fontId="4" fillId="12" borderId="41" xfId="0" applyFont="1" applyFill="1" applyBorder="1"/>
    <xf numFmtId="167" fontId="0" fillId="0" borderId="0" xfId="0" applyNumberFormat="1"/>
    <xf numFmtId="0" fontId="3" fillId="5" borderId="91" xfId="0" applyFont="1" applyFill="1" applyBorder="1" applyAlignment="1" applyProtection="1">
      <alignment horizontal="center" vertical="center"/>
      <protection locked="0"/>
    </xf>
    <xf numFmtId="9" fontId="18" fillId="12" borderId="54" xfId="10" applyNumberFormat="1" applyFont="1" applyFill="1" applyBorder="1" applyAlignment="1">
      <alignment horizontal="left"/>
    </xf>
    <xf numFmtId="9" fontId="17" fillId="12" borderId="54" xfId="10" applyNumberFormat="1" applyFont="1" applyFill="1" applyBorder="1" applyAlignment="1">
      <alignment horizontal="left"/>
    </xf>
    <xf numFmtId="9" fontId="17" fillId="12" borderId="34" xfId="10" applyNumberFormat="1" applyFont="1" applyFill="1" applyBorder="1" applyAlignment="1">
      <alignment horizontal="left"/>
    </xf>
    <xf numFmtId="9" fontId="18" fillId="12" borderId="34" xfId="10" applyNumberFormat="1" applyFont="1" applyFill="1" applyBorder="1" applyAlignment="1">
      <alignment horizontal="left"/>
    </xf>
    <xf numFmtId="9" fontId="18" fillId="12" borderId="59" xfId="10" applyNumberFormat="1" applyFont="1" applyFill="1" applyBorder="1"/>
    <xf numFmtId="165" fontId="0" fillId="12" borderId="1" xfId="1" applyNumberFormat="1" applyFont="1" applyFill="1" applyBorder="1"/>
    <xf numFmtId="2" fontId="0" fillId="12" borderId="7" xfId="0" applyNumberFormat="1" applyFill="1" applyBorder="1"/>
    <xf numFmtId="0" fontId="0" fillId="0" borderId="64" xfId="0" applyBorder="1" applyAlignment="1">
      <alignment horizontal="center"/>
    </xf>
    <xf numFmtId="0" fontId="0" fillId="0" borderId="64" xfId="0" applyBorder="1"/>
    <xf numFmtId="0" fontId="0" fillId="0" borderId="7" xfId="0" applyBorder="1" applyProtection="1">
      <protection locked="0"/>
    </xf>
    <xf numFmtId="0" fontId="55" fillId="12" borderId="36" xfId="0" applyFont="1" applyFill="1" applyBorder="1" applyAlignment="1">
      <alignment horizontal="right"/>
    </xf>
    <xf numFmtId="0" fontId="2" fillId="12" borderId="36" xfId="0" applyFont="1" applyFill="1" applyBorder="1" applyAlignment="1">
      <alignment horizontal="right" indent="1"/>
    </xf>
    <xf numFmtId="41" fontId="18" fillId="0" borderId="7" xfId="6" applyNumberFormat="1" applyFont="1" applyBorder="1" applyProtection="1">
      <protection locked="0"/>
    </xf>
    <xf numFmtId="41" fontId="18" fillId="0" borderId="15" xfId="6" applyNumberFormat="1" applyFont="1" applyBorder="1" applyProtection="1">
      <protection locked="0"/>
    </xf>
    <xf numFmtId="41" fontId="18" fillId="0" borderId="20" xfId="6" applyNumberFormat="1" applyFont="1" applyBorder="1" applyProtection="1">
      <protection locked="0"/>
    </xf>
    <xf numFmtId="0" fontId="2" fillId="12" borderId="36" xfId="0" applyFont="1" applyFill="1" applyBorder="1" applyAlignment="1">
      <alignment horizontal="right"/>
    </xf>
    <xf numFmtId="165" fontId="18" fillId="12" borderId="7" xfId="1" applyNumberFormat="1" applyFont="1" applyFill="1" applyBorder="1" applyProtection="1"/>
    <xf numFmtId="41" fontId="18" fillId="0" borderId="15" xfId="6" applyNumberFormat="1" applyFont="1" applyFill="1" applyBorder="1" applyProtection="1">
      <protection locked="0"/>
    </xf>
    <xf numFmtId="41" fontId="18" fillId="0" borderId="1" xfId="6" applyNumberFormat="1" applyFont="1" applyBorder="1" applyProtection="1">
      <protection locked="0"/>
    </xf>
    <xf numFmtId="0" fontId="17" fillId="12" borderId="36" xfId="10" applyFont="1" applyFill="1" applyBorder="1" applyAlignment="1">
      <alignment horizontal="right" wrapText="1"/>
    </xf>
    <xf numFmtId="0" fontId="18" fillId="12" borderId="36" xfId="10" applyFont="1" applyFill="1" applyBorder="1" applyAlignment="1">
      <alignment horizontal="right" wrapText="1"/>
    </xf>
    <xf numFmtId="0" fontId="64" fillId="12" borderId="36" xfId="0" applyFont="1" applyFill="1" applyBorder="1" applyAlignment="1">
      <alignment horizontal="right"/>
    </xf>
    <xf numFmtId="165" fontId="2" fillId="11" borderId="89" xfId="1" applyNumberFormat="1" applyFont="1" applyFill="1" applyBorder="1" applyProtection="1"/>
    <xf numFmtId="0" fontId="17" fillId="12" borderId="36" xfId="10" applyFont="1" applyFill="1" applyBorder="1" applyAlignment="1">
      <alignment horizontal="right" vertical="top"/>
    </xf>
    <xf numFmtId="0" fontId="17" fillId="5" borderId="95" xfId="10" applyFont="1" applyFill="1" applyBorder="1" applyAlignment="1" applyProtection="1">
      <alignment horizontal="center"/>
      <protection locked="0"/>
    </xf>
    <xf numFmtId="0" fontId="18" fillId="12" borderId="33" xfId="5" applyFont="1" applyFill="1" applyBorder="1" applyAlignment="1">
      <alignment horizontal="left"/>
    </xf>
    <xf numFmtId="42" fontId="18" fillId="0" borderId="1" xfId="1" applyNumberFormat="1" applyFont="1" applyFill="1" applyBorder="1" applyProtection="1">
      <protection locked="0"/>
    </xf>
    <xf numFmtId="42" fontId="18" fillId="12" borderId="1" xfId="1" applyNumberFormat="1" applyFont="1" applyFill="1" applyBorder="1" applyProtection="1"/>
    <xf numFmtId="42" fontId="18" fillId="12" borderId="39" xfId="1" applyNumberFormat="1" applyFont="1" applyFill="1" applyBorder="1" applyProtection="1"/>
    <xf numFmtId="0" fontId="18" fillId="12" borderId="35" xfId="5" applyFont="1" applyFill="1" applyBorder="1" applyAlignment="1">
      <alignment horizontal="left"/>
    </xf>
    <xf numFmtId="42" fontId="17" fillId="12" borderId="1" xfId="1" applyNumberFormat="1" applyFont="1" applyFill="1" applyBorder="1" applyAlignment="1" applyProtection="1">
      <alignment horizontal="right" wrapText="1"/>
    </xf>
    <xf numFmtId="42" fontId="17" fillId="0" borderId="1" xfId="1" applyNumberFormat="1" applyFont="1" applyBorder="1" applyAlignment="1" applyProtection="1">
      <alignment horizontal="right" wrapText="1"/>
    </xf>
    <xf numFmtId="42" fontId="17" fillId="12" borderId="39" xfId="1" applyNumberFormat="1" applyFont="1" applyFill="1" applyBorder="1" applyAlignment="1" applyProtection="1">
      <alignment horizontal="right" wrapText="1"/>
    </xf>
    <xf numFmtId="42" fontId="18" fillId="0" borderId="1" xfId="6" applyNumberFormat="1" applyFont="1" applyFill="1" applyBorder="1" applyAlignment="1" applyProtection="1">
      <alignment horizontal="left" vertical="center" wrapText="1"/>
    </xf>
    <xf numFmtId="9" fontId="18" fillId="0" borderId="1" xfId="2" applyFont="1" applyFill="1" applyBorder="1" applyAlignment="1" applyProtection="1">
      <alignment horizontal="center" wrapText="1"/>
    </xf>
    <xf numFmtId="9" fontId="18" fillId="0" borderId="39" xfId="2" applyFont="1" applyFill="1" applyBorder="1" applyAlignment="1" applyProtection="1">
      <alignment horizontal="center" wrapText="1"/>
    </xf>
    <xf numFmtId="42" fontId="18" fillId="0" borderId="1" xfId="6" applyNumberFormat="1" applyFont="1" applyBorder="1" applyAlignment="1" applyProtection="1">
      <alignment horizontal="left" vertical="center"/>
    </xf>
    <xf numFmtId="9" fontId="0" fillId="0" borderId="1" xfId="0" applyNumberFormat="1" applyBorder="1" applyAlignment="1">
      <alignment horizontal="center" vertical="center"/>
    </xf>
    <xf numFmtId="0" fontId="2" fillId="12" borderId="0" xfId="0" applyFont="1" applyFill="1"/>
    <xf numFmtId="0" fontId="2" fillId="12" borderId="0" xfId="0" applyFont="1" applyFill="1" applyAlignment="1">
      <alignment horizontal="right"/>
    </xf>
    <xf numFmtId="42" fontId="18" fillId="0" borderId="1" xfId="5" applyNumberFormat="1" applyFont="1" applyBorder="1" applyAlignment="1">
      <alignment horizontal="left" wrapText="1"/>
    </xf>
    <xf numFmtId="42" fontId="18" fillId="12" borderId="0" xfId="5" applyNumberFormat="1" applyFont="1" applyFill="1" applyAlignment="1">
      <alignment horizontal="right" wrapText="1"/>
    </xf>
    <xf numFmtId="42" fontId="18" fillId="0" borderId="1" xfId="6" applyNumberFormat="1" applyFont="1" applyFill="1" applyBorder="1" applyAlignment="1" applyProtection="1">
      <alignment horizontal="left" vertical="center"/>
    </xf>
    <xf numFmtId="9" fontId="18" fillId="12" borderId="0" xfId="2" applyFont="1" applyFill="1" applyBorder="1" applyAlignment="1" applyProtection="1">
      <alignment horizontal="right" wrapText="1"/>
    </xf>
    <xf numFmtId="165" fontId="0" fillId="0" borderId="0" xfId="1" applyNumberFormat="1" applyFont="1"/>
    <xf numFmtId="0" fontId="94" fillId="16" borderId="0" xfId="19" applyFont="1" applyFill="1" applyAlignment="1">
      <alignment horizontal="right" vertical="center"/>
    </xf>
    <xf numFmtId="10" fontId="98" fillId="9" borderId="0" xfId="2" applyNumberFormat="1" applyFont="1" applyFill="1" applyBorder="1" applyAlignment="1" applyProtection="1">
      <alignment horizontal="right"/>
    </xf>
    <xf numFmtId="10" fontId="101" fillId="28" borderId="0" xfId="2" applyNumberFormat="1" applyFont="1" applyFill="1" applyBorder="1" applyAlignment="1">
      <alignment horizontal="right"/>
    </xf>
    <xf numFmtId="165" fontId="94" fillId="9" borderId="1" xfId="1" applyNumberFormat="1" applyFont="1" applyFill="1" applyBorder="1" applyProtection="1"/>
    <xf numFmtId="165" fontId="94" fillId="9" borderId="4" xfId="1" applyNumberFormat="1" applyFont="1" applyFill="1" applyBorder="1" applyProtection="1"/>
    <xf numFmtId="165" fontId="94" fillId="12" borderId="0" xfId="10" applyNumberFormat="1" applyFont="1" applyFill="1"/>
    <xf numFmtId="165" fontId="94" fillId="12" borderId="0" xfId="1" applyNumberFormat="1" applyFont="1" applyFill="1" applyBorder="1"/>
    <xf numFmtId="165" fontId="92" fillId="0" borderId="1" xfId="1" applyNumberFormat="1" applyFont="1" applyBorder="1" applyProtection="1">
      <protection locked="0"/>
    </xf>
    <xf numFmtId="165" fontId="92" fillId="0" borderId="4" xfId="1" applyNumberFormat="1" applyFont="1" applyBorder="1" applyProtection="1">
      <protection locked="0"/>
    </xf>
    <xf numFmtId="165" fontId="92" fillId="17" borderId="1" xfId="1" applyNumberFormat="1" applyFont="1" applyFill="1" applyBorder="1" applyProtection="1">
      <protection locked="0"/>
    </xf>
    <xf numFmtId="165" fontId="92" fillId="17" borderId="4" xfId="1" applyNumberFormat="1" applyFont="1" applyFill="1" applyBorder="1" applyProtection="1">
      <protection locked="0"/>
    </xf>
    <xf numFmtId="165" fontId="92" fillId="12" borderId="0" xfId="1" applyNumberFormat="1" applyFont="1" applyFill="1" applyBorder="1" applyAlignment="1">
      <alignment horizontal="right" vertical="center"/>
    </xf>
    <xf numFmtId="165" fontId="92" fillId="9" borderId="1" xfId="1" applyNumberFormat="1" applyFont="1" applyFill="1" applyBorder="1" applyAlignment="1">
      <alignment horizontal="right" vertical="center"/>
    </xf>
    <xf numFmtId="165" fontId="92" fillId="9" borderId="4" xfId="1" applyNumberFormat="1" applyFont="1" applyFill="1" applyBorder="1" applyAlignment="1">
      <alignment horizontal="right" vertical="center"/>
    </xf>
    <xf numFmtId="165" fontId="92" fillId="9" borderId="1" xfId="1" applyNumberFormat="1" applyFont="1" applyFill="1" applyBorder="1" applyProtection="1"/>
    <xf numFmtId="165" fontId="92" fillId="9" borderId="4" xfId="1" applyNumberFormat="1" applyFont="1" applyFill="1" applyBorder="1" applyProtection="1"/>
    <xf numFmtId="165" fontId="93" fillId="12" borderId="0" xfId="10" applyNumberFormat="1" applyFont="1" applyFill="1" applyAlignment="1">
      <alignment horizontal="right"/>
    </xf>
    <xf numFmtId="10" fontId="101" fillId="28" borderId="5" xfId="2" applyNumberFormat="1" applyFont="1" applyFill="1" applyBorder="1" applyAlignment="1">
      <alignment horizontal="right"/>
    </xf>
    <xf numFmtId="0" fontId="0" fillId="0" borderId="107" xfId="0" applyBorder="1"/>
    <xf numFmtId="10" fontId="98" fillId="9" borderId="108" xfId="2" applyNumberFormat="1" applyFont="1" applyFill="1" applyBorder="1" applyAlignment="1" applyProtection="1">
      <alignment horizontal="right"/>
    </xf>
    <xf numFmtId="3" fontId="110" fillId="12" borderId="0" xfId="19" applyNumberFormat="1" applyFont="1" applyFill="1" applyAlignment="1">
      <alignment horizontal="right" vertical="center"/>
    </xf>
    <xf numFmtId="0" fontId="92" fillId="0" borderId="0" xfId="0" applyFont="1"/>
    <xf numFmtId="0" fontId="86" fillId="4" borderId="0" xfId="3" applyFont="1" applyFill="1" applyAlignment="1">
      <alignment horizontal="right" vertical="top"/>
    </xf>
    <xf numFmtId="0" fontId="86" fillId="44" borderId="109" xfId="0" applyFont="1" applyFill="1" applyBorder="1" applyAlignment="1">
      <alignment horizontal="center" vertical="center"/>
    </xf>
    <xf numFmtId="165" fontId="86" fillId="44" borderId="109" xfId="1" applyNumberFormat="1" applyFont="1" applyFill="1" applyBorder="1" applyAlignment="1">
      <alignment horizontal="center" vertical="center"/>
    </xf>
    <xf numFmtId="10" fontId="86" fillId="44" borderId="109" xfId="2" applyNumberFormat="1" applyFont="1" applyFill="1" applyBorder="1" applyAlignment="1">
      <alignment horizontal="center" vertical="center"/>
    </xf>
    <xf numFmtId="10" fontId="86" fillId="0" borderId="0" xfId="2" applyNumberFormat="1" applyFont="1" applyFill="1" applyBorder="1" applyAlignment="1" applyProtection="1">
      <alignment horizontal="center" vertical="top"/>
    </xf>
    <xf numFmtId="0" fontId="86" fillId="0" borderId="0" xfId="1" applyNumberFormat="1" applyFont="1" applyFill="1" applyBorder="1" applyAlignment="1" applyProtection="1">
      <alignment horizontal="center" vertical="top"/>
      <protection locked="0"/>
    </xf>
    <xf numFmtId="14" fontId="86" fillId="44" borderId="109" xfId="0" applyNumberFormat="1" applyFont="1" applyFill="1" applyBorder="1" applyAlignment="1">
      <alignment horizontal="center" vertical="center"/>
    </xf>
    <xf numFmtId="165" fontId="86" fillId="44" borderId="109" xfId="1" applyNumberFormat="1" applyFont="1" applyFill="1" applyBorder="1" applyAlignment="1">
      <alignment horizontal="right" vertical="center"/>
    </xf>
    <xf numFmtId="0" fontId="86" fillId="43" borderId="113" xfId="0" applyFont="1" applyFill="1" applyBorder="1" applyAlignment="1">
      <alignment horizontal="left" vertical="center"/>
    </xf>
    <xf numFmtId="0" fontId="86" fillId="46" borderId="113" xfId="0" applyFont="1" applyFill="1" applyBorder="1" applyAlignment="1">
      <alignment horizontal="left" vertical="center"/>
    </xf>
    <xf numFmtId="0" fontId="86" fillId="44" borderId="114" xfId="0" applyFont="1" applyFill="1" applyBorder="1" applyAlignment="1">
      <alignment horizontal="center" vertical="center"/>
    </xf>
    <xf numFmtId="165" fontId="86" fillId="44" borderId="114" xfId="1" applyNumberFormat="1" applyFont="1" applyFill="1" applyBorder="1" applyAlignment="1">
      <alignment horizontal="center" vertical="center"/>
    </xf>
    <xf numFmtId="10" fontId="86" fillId="44" borderId="114" xfId="2" applyNumberFormat="1" applyFont="1" applyFill="1" applyBorder="1" applyAlignment="1">
      <alignment horizontal="center" vertical="center"/>
    </xf>
    <xf numFmtId="0" fontId="86" fillId="46" borderId="115" xfId="0" applyFont="1" applyFill="1" applyBorder="1" applyAlignment="1">
      <alignment horizontal="left" vertical="center"/>
    </xf>
    <xf numFmtId="10" fontId="86" fillId="44" borderId="116" xfId="2" applyNumberFormat="1" applyFont="1" applyFill="1" applyBorder="1" applyAlignment="1">
      <alignment horizontal="center" vertical="center"/>
    </xf>
    <xf numFmtId="10" fontId="86" fillId="44" borderId="117" xfId="2" applyNumberFormat="1" applyFont="1" applyFill="1" applyBorder="1" applyAlignment="1">
      <alignment horizontal="center" vertical="center"/>
    </xf>
    <xf numFmtId="0" fontId="86" fillId="43" borderId="113" xfId="0" applyFont="1" applyFill="1" applyBorder="1"/>
    <xf numFmtId="14" fontId="86" fillId="44" borderId="114" xfId="0" applyNumberFormat="1" applyFont="1" applyFill="1" applyBorder="1" applyAlignment="1">
      <alignment horizontal="center" vertical="center"/>
    </xf>
    <xf numFmtId="165" fontId="86" fillId="44" borderId="114" xfId="1" applyNumberFormat="1" applyFont="1" applyFill="1" applyBorder="1" applyAlignment="1">
      <alignment horizontal="right" vertical="center"/>
    </xf>
    <xf numFmtId="0" fontId="86" fillId="0" borderId="0" xfId="0" applyFont="1" applyAlignment="1">
      <alignment horizontal="left" vertical="center"/>
    </xf>
    <xf numFmtId="10" fontId="86" fillId="0" borderId="0" xfId="2" applyNumberFormat="1" applyFont="1" applyFill="1" applyBorder="1" applyAlignment="1">
      <alignment horizontal="center" vertical="center"/>
    </xf>
    <xf numFmtId="0" fontId="86" fillId="47" borderId="113" xfId="0" applyFont="1" applyFill="1" applyBorder="1" applyAlignment="1">
      <alignment horizontal="left" vertical="center"/>
    </xf>
    <xf numFmtId="0" fontId="113" fillId="47" borderId="109" xfId="0" applyFont="1" applyFill="1" applyBorder="1" applyAlignment="1">
      <alignment horizontal="center" vertical="center"/>
    </xf>
    <xf numFmtId="0" fontId="113" fillId="47" borderId="114" xfId="0" applyFont="1" applyFill="1" applyBorder="1" applyAlignment="1">
      <alignment horizontal="center" vertical="center"/>
    </xf>
    <xf numFmtId="165" fontId="86" fillId="0" borderId="109" xfId="1" applyNumberFormat="1" applyFont="1" applyFill="1" applyBorder="1" applyAlignment="1">
      <alignment horizontal="right" vertical="center"/>
    </xf>
    <xf numFmtId="165" fontId="86" fillId="0" borderId="114" xfId="1" applyNumberFormat="1" applyFont="1" applyFill="1" applyBorder="1" applyAlignment="1">
      <alignment horizontal="right" vertical="center"/>
    </xf>
    <xf numFmtId="186" fontId="86" fillId="0" borderId="109" xfId="0" applyNumberFormat="1" applyFont="1" applyBorder="1" applyAlignment="1">
      <alignment horizontal="right" vertical="center"/>
    </xf>
    <xf numFmtId="186" fontId="86" fillId="0" borderId="114" xfId="0" applyNumberFormat="1" applyFont="1" applyBorder="1" applyAlignment="1">
      <alignment horizontal="right" vertical="center"/>
    </xf>
    <xf numFmtId="3" fontId="86" fillId="0" borderId="109" xfId="0" applyNumberFormat="1" applyFont="1" applyBorder="1" applyAlignment="1">
      <alignment horizontal="right" vertical="center"/>
    </xf>
    <xf numFmtId="3" fontId="86" fillId="0" borderId="114" xfId="0" applyNumberFormat="1" applyFont="1" applyBorder="1" applyAlignment="1">
      <alignment horizontal="right" vertical="center"/>
    </xf>
    <xf numFmtId="186" fontId="86" fillId="0" borderId="116" xfId="0" applyNumberFormat="1" applyFont="1" applyBorder="1" applyAlignment="1">
      <alignment horizontal="right" vertical="center"/>
    </xf>
    <xf numFmtId="186" fontId="86" fillId="0" borderId="117" xfId="0" applyNumberFormat="1" applyFont="1" applyBorder="1" applyAlignment="1">
      <alignment horizontal="right" vertical="center"/>
    </xf>
    <xf numFmtId="0" fontId="86" fillId="43" borderId="118" xfId="0" applyFont="1" applyFill="1" applyBorder="1" applyAlignment="1">
      <alignment horizontal="left" vertical="center"/>
    </xf>
    <xf numFmtId="0" fontId="86" fillId="43" borderId="119" xfId="0" applyFont="1" applyFill="1" applyBorder="1" applyAlignment="1">
      <alignment horizontal="left" vertical="center"/>
    </xf>
    <xf numFmtId="10" fontId="88" fillId="0" borderId="27" xfId="2" applyNumberFormat="1" applyFont="1" applyFill="1" applyBorder="1" applyAlignment="1" applyProtection="1">
      <alignment horizontal="center" vertical="top"/>
    </xf>
    <xf numFmtId="10" fontId="88" fillId="0" borderId="43" xfId="2" applyNumberFormat="1" applyFont="1" applyFill="1" applyBorder="1" applyAlignment="1" applyProtection="1">
      <alignment horizontal="center" vertical="top"/>
    </xf>
    <xf numFmtId="0" fontId="111" fillId="45" borderId="113" xfId="0" applyFont="1" applyFill="1" applyBorder="1" applyAlignment="1">
      <alignment horizontal="left" vertical="center"/>
    </xf>
    <xf numFmtId="0" fontId="112" fillId="45" borderId="109" xfId="0" applyFont="1" applyFill="1" applyBorder="1"/>
    <xf numFmtId="0" fontId="112" fillId="45" borderId="114" xfId="0" applyFont="1" applyFill="1" applyBorder="1"/>
    <xf numFmtId="0" fontId="111" fillId="42" borderId="110" xfId="0" applyFont="1" applyFill="1" applyBorder="1" applyAlignment="1">
      <alignment horizontal="center" vertical="center"/>
    </xf>
    <xf numFmtId="0" fontId="111" fillId="42" borderId="111" xfId="0" applyFont="1" applyFill="1" applyBorder="1" applyAlignment="1">
      <alignment horizontal="center" vertical="center"/>
    </xf>
    <xf numFmtId="0" fontId="111" fillId="42" borderId="112" xfId="0" applyFont="1" applyFill="1" applyBorder="1" applyAlignment="1">
      <alignment horizontal="center" vertical="center"/>
    </xf>
    <xf numFmtId="0" fontId="91" fillId="29" borderId="42" xfId="0" applyFont="1" applyFill="1" applyBorder="1" applyAlignment="1">
      <alignment horizontal="center"/>
    </xf>
    <xf numFmtId="0" fontId="91" fillId="29" borderId="27" xfId="0" applyFont="1" applyFill="1" applyBorder="1" applyAlignment="1">
      <alignment horizontal="center"/>
    </xf>
    <xf numFmtId="0" fontId="97" fillId="33" borderId="29" xfId="0" applyFont="1" applyFill="1" applyBorder="1" applyAlignment="1">
      <alignment horizontal="center" vertical="top"/>
    </xf>
    <xf numFmtId="0" fontId="97" fillId="33" borderId="19" xfId="0" applyFont="1" applyFill="1" applyBorder="1" applyAlignment="1">
      <alignment horizontal="center" vertical="top"/>
    </xf>
    <xf numFmtId="0" fontId="97" fillId="33" borderId="30" xfId="0" applyFont="1" applyFill="1" applyBorder="1" applyAlignment="1">
      <alignment horizontal="center" vertical="top"/>
    </xf>
    <xf numFmtId="0" fontId="22" fillId="25" borderId="19" xfId="0" applyFont="1" applyFill="1" applyBorder="1" applyAlignment="1">
      <alignment horizontal="center"/>
    </xf>
    <xf numFmtId="0" fontId="22" fillId="25" borderId="27" xfId="0" applyFont="1" applyFill="1" applyBorder="1" applyAlignment="1">
      <alignment horizontal="center" vertical="top"/>
    </xf>
    <xf numFmtId="0" fontId="97" fillId="3" borderId="29" xfId="0" applyFont="1" applyFill="1" applyBorder="1" applyAlignment="1">
      <alignment horizontal="center" vertical="center"/>
    </xf>
    <xf numFmtId="0" fontId="97" fillId="3" borderId="19" xfId="0" applyFont="1" applyFill="1" applyBorder="1" applyAlignment="1">
      <alignment horizontal="center" vertical="center"/>
    </xf>
    <xf numFmtId="0" fontId="97" fillId="3" borderId="30" xfId="0" applyFont="1" applyFill="1" applyBorder="1" applyAlignment="1">
      <alignment horizontal="center" vertical="center"/>
    </xf>
    <xf numFmtId="0" fontId="22" fillId="3" borderId="29" xfId="0" applyFont="1" applyFill="1" applyBorder="1" applyAlignment="1">
      <alignment horizontal="center"/>
    </xf>
    <xf numFmtId="0" fontId="22" fillId="3" borderId="19" xfId="0" applyFont="1" applyFill="1" applyBorder="1" applyAlignment="1">
      <alignment horizontal="center"/>
    </xf>
    <xf numFmtId="0" fontId="22" fillId="3" borderId="30" xfId="0" applyFont="1" applyFill="1" applyBorder="1" applyAlignment="1">
      <alignment horizontal="center"/>
    </xf>
    <xf numFmtId="0" fontId="22" fillId="3" borderId="42" xfId="0" applyFont="1" applyFill="1" applyBorder="1" applyAlignment="1">
      <alignment horizontal="center" vertical="top"/>
    </xf>
    <xf numFmtId="0" fontId="22" fillId="3" borderId="27" xfId="0" applyFont="1" applyFill="1" applyBorder="1" applyAlignment="1">
      <alignment horizontal="center" vertical="top"/>
    </xf>
    <xf numFmtId="0" fontId="22" fillId="3" borderId="43" xfId="0" applyFont="1" applyFill="1" applyBorder="1" applyAlignment="1">
      <alignment horizontal="center" vertical="top"/>
    </xf>
    <xf numFmtId="0" fontId="91" fillId="29" borderId="36" xfId="0" applyFont="1" applyFill="1" applyBorder="1" applyAlignment="1">
      <alignment horizontal="center"/>
    </xf>
    <xf numFmtId="0" fontId="91" fillId="29" borderId="0" xfId="0" applyFont="1" applyFill="1" applyAlignment="1">
      <alignment horizontal="center"/>
    </xf>
    <xf numFmtId="0" fontId="0" fillId="0" borderId="1" xfId="0" applyBorder="1" applyAlignment="1" applyProtection="1">
      <alignment horizontal="left"/>
      <protection locked="0"/>
    </xf>
    <xf numFmtId="0" fontId="0" fillId="0" borderId="39" xfId="0" applyBorder="1" applyAlignment="1" applyProtection="1">
      <alignment horizontal="left"/>
      <protection locked="0"/>
    </xf>
    <xf numFmtId="0" fontId="0" fillId="0" borderId="37" xfId="0" applyBorder="1" applyAlignment="1" applyProtection="1">
      <alignment horizontal="left"/>
      <protection locked="0"/>
    </xf>
    <xf numFmtId="0" fontId="0" fillId="0" borderId="5" xfId="0" applyBorder="1" applyAlignment="1" applyProtection="1">
      <alignment horizontal="left"/>
      <protection locked="0"/>
    </xf>
    <xf numFmtId="0" fontId="0" fillId="5" borderId="1" xfId="0" applyFill="1" applyBorder="1" applyAlignment="1" applyProtection="1">
      <alignment horizontal="center"/>
      <protection locked="0"/>
    </xf>
    <xf numFmtId="0" fontId="104" fillId="15" borderId="29" xfId="0" applyFont="1" applyFill="1" applyBorder="1" applyAlignment="1">
      <alignment horizontal="center" vertical="center" wrapText="1"/>
    </xf>
    <xf numFmtId="0" fontId="104" fillId="15" borderId="36" xfId="0" applyFont="1" applyFill="1" applyBorder="1" applyAlignment="1">
      <alignment horizontal="center" vertical="center" wrapText="1"/>
    </xf>
    <xf numFmtId="0" fontId="17" fillId="34" borderId="56" xfId="0" applyFont="1" applyFill="1" applyBorder="1" applyAlignment="1">
      <alignment horizontal="center" vertical="top"/>
    </xf>
    <xf numFmtId="0" fontId="17" fillId="34" borderId="64" xfId="0" applyFont="1" applyFill="1" applyBorder="1" applyAlignment="1">
      <alignment horizontal="center" vertical="top"/>
    </xf>
    <xf numFmtId="0" fontId="17" fillId="34" borderId="57" xfId="0" applyFont="1" applyFill="1" applyBorder="1" applyAlignment="1">
      <alignment horizontal="center" vertical="top"/>
    </xf>
    <xf numFmtId="0" fontId="105" fillId="12" borderId="56" xfId="0" applyFont="1" applyFill="1" applyBorder="1" applyAlignment="1">
      <alignment horizontal="center" vertical="top"/>
    </xf>
    <xf numFmtId="0" fontId="105" fillId="12" borderId="64" xfId="0" applyFont="1" applyFill="1" applyBorder="1" applyAlignment="1">
      <alignment horizontal="center" vertical="top"/>
    </xf>
    <xf numFmtId="0" fontId="105" fillId="12" borderId="57" xfId="0" applyFont="1" applyFill="1" applyBorder="1" applyAlignment="1">
      <alignment horizontal="center" vertical="top"/>
    </xf>
    <xf numFmtId="0" fontId="4" fillId="12" borderId="0" xfId="0" applyFont="1" applyFill="1" applyAlignment="1">
      <alignment horizontal="center"/>
    </xf>
    <xf numFmtId="0" fontId="0" fillId="0" borderId="35" xfId="0" applyBorder="1" applyProtection="1">
      <protection locked="0"/>
    </xf>
    <xf numFmtId="0" fontId="0" fillId="0" borderId="1" xfId="0" applyBorder="1" applyProtection="1">
      <protection locked="0"/>
    </xf>
    <xf numFmtId="0" fontId="0" fillId="5" borderId="4" xfId="0" applyFill="1" applyBorder="1" applyProtection="1">
      <protection locked="0"/>
    </xf>
    <xf numFmtId="0" fontId="0" fillId="5" borderId="38" xfId="0" applyFill="1" applyBorder="1" applyProtection="1">
      <protection locked="0"/>
    </xf>
    <xf numFmtId="0" fontId="0" fillId="12" borderId="27" xfId="0" applyFill="1" applyBorder="1" applyAlignment="1">
      <alignment horizontal="center" vertical="top"/>
    </xf>
    <xf numFmtId="0" fontId="0" fillId="12" borderId="27" xfId="0" applyFill="1" applyBorder="1" applyAlignment="1">
      <alignment horizontal="center"/>
    </xf>
    <xf numFmtId="44" fontId="0" fillId="0" borderId="1" xfId="1" applyFont="1" applyBorder="1" applyAlignment="1" applyProtection="1">
      <alignment horizontal="center"/>
      <protection locked="0"/>
    </xf>
    <xf numFmtId="44" fontId="0" fillId="0" borderId="39" xfId="1" applyFont="1" applyBorder="1" applyAlignment="1" applyProtection="1">
      <alignment horizontal="center"/>
      <protection locked="0"/>
    </xf>
    <xf numFmtId="0" fontId="8" fillId="4" borderId="0" xfId="0" applyFont="1" applyFill="1" applyAlignment="1">
      <alignment horizontal="left" indent="1"/>
    </xf>
    <xf numFmtId="0" fontId="8" fillId="4" borderId="100" xfId="0" applyFont="1" applyFill="1" applyBorder="1" applyAlignment="1">
      <alignment horizontal="left" indent="1"/>
    </xf>
    <xf numFmtId="0" fontId="108" fillId="4" borderId="0" xfId="0" applyFont="1" applyFill="1" applyAlignment="1">
      <alignment horizontal="center" vertical="top"/>
    </xf>
    <xf numFmtId="0" fontId="0" fillId="4" borderId="0" xfId="0" applyFill="1"/>
    <xf numFmtId="0" fontId="0" fillId="4" borderId="100" xfId="0" applyFill="1" applyBorder="1"/>
    <xf numFmtId="0" fontId="0" fillId="4" borderId="0" xfId="0" applyFill="1" applyAlignment="1">
      <alignment horizontal="left" indent="1"/>
    </xf>
    <xf numFmtId="0" fontId="0" fillId="4" borderId="100" xfId="0" applyFill="1" applyBorder="1" applyAlignment="1">
      <alignment horizontal="left" indent="1"/>
    </xf>
    <xf numFmtId="9" fontId="0" fillId="0" borderId="1" xfId="2" applyFont="1" applyBorder="1" applyAlignment="1" applyProtection="1">
      <alignment horizontal="center"/>
      <protection locked="0"/>
    </xf>
    <xf numFmtId="9" fontId="0" fillId="0" borderId="39" xfId="2" applyFont="1" applyBorder="1" applyAlignment="1" applyProtection="1">
      <alignment horizontal="center"/>
      <protection locked="0"/>
    </xf>
    <xf numFmtId="44" fontId="0" fillId="0" borderId="4" xfId="0" applyNumberFormat="1" applyBorder="1" applyAlignment="1">
      <alignment horizontal="center"/>
    </xf>
    <xf numFmtId="0" fontId="0" fillId="0" borderId="38" xfId="0" applyBorder="1" applyAlignment="1">
      <alignment horizontal="center"/>
    </xf>
    <xf numFmtId="0" fontId="8" fillId="12" borderId="27" xfId="4" applyFont="1" applyFill="1" applyBorder="1" applyAlignment="1">
      <alignment horizontal="right"/>
    </xf>
    <xf numFmtId="6" fontId="8" fillId="4" borderId="0" xfId="0" applyNumberFormat="1" applyFont="1" applyFill="1" applyAlignment="1">
      <alignment horizontal="left" indent="1"/>
    </xf>
    <xf numFmtId="6" fontId="8" fillId="4" borderId="100" xfId="0" applyNumberFormat="1" applyFont="1" applyFill="1" applyBorder="1" applyAlignment="1">
      <alignment horizontal="left" indent="1"/>
    </xf>
    <xf numFmtId="44" fontId="0" fillId="17" borderId="1" xfId="1" applyFont="1" applyFill="1" applyBorder="1" applyAlignment="1" applyProtection="1">
      <alignment horizontal="center"/>
      <protection locked="0"/>
    </xf>
    <xf numFmtId="44" fontId="0" fillId="17" borderId="39" xfId="1" applyFont="1" applyFill="1" applyBorder="1" applyAlignment="1" applyProtection="1">
      <alignment horizontal="center"/>
      <protection locked="0"/>
    </xf>
    <xf numFmtId="0" fontId="8" fillId="12" borderId="36" xfId="5" applyFont="1" applyFill="1" applyBorder="1" applyAlignment="1" applyProtection="1">
      <alignment horizontal="right" wrapText="1"/>
      <protection hidden="1"/>
    </xf>
    <xf numFmtId="0" fontId="8" fillId="12" borderId="0" xfId="5" applyFont="1" applyFill="1" applyAlignment="1" applyProtection="1">
      <alignment horizontal="right" wrapText="1"/>
      <protection hidden="1"/>
    </xf>
    <xf numFmtId="0" fontId="10" fillId="12" borderId="46" xfId="5" applyFont="1" applyFill="1" applyBorder="1" applyAlignment="1">
      <alignment horizontal="center"/>
    </xf>
    <xf numFmtId="0" fontId="10" fillId="12" borderId="10" xfId="5" applyFont="1" applyFill="1" applyBorder="1" applyAlignment="1">
      <alignment horizontal="center"/>
    </xf>
    <xf numFmtId="0" fontId="10" fillId="12" borderId="7" xfId="5" applyFont="1" applyFill="1" applyBorder="1" applyAlignment="1">
      <alignment horizontal="center"/>
    </xf>
    <xf numFmtId="0" fontId="10" fillId="12" borderId="52" xfId="5" applyFont="1" applyFill="1" applyBorder="1" applyAlignment="1">
      <alignment horizontal="center"/>
    </xf>
    <xf numFmtId="0" fontId="10" fillId="12" borderId="33" xfId="5" applyFont="1" applyFill="1" applyBorder="1" applyAlignment="1">
      <alignment horizontal="center"/>
    </xf>
    <xf numFmtId="0" fontId="10" fillId="12" borderId="13" xfId="5" applyFont="1" applyFill="1" applyBorder="1" applyAlignment="1">
      <alignment horizontal="center"/>
    </xf>
    <xf numFmtId="0" fontId="10" fillId="12" borderId="14" xfId="5" applyFont="1" applyFill="1" applyBorder="1" applyAlignment="1">
      <alignment horizontal="center"/>
    </xf>
    <xf numFmtId="0" fontId="10" fillId="12" borderId="11" xfId="5" applyFont="1" applyFill="1" applyBorder="1" applyAlignment="1">
      <alignment horizontal="center"/>
    </xf>
    <xf numFmtId="0" fontId="10" fillId="12" borderId="53" xfId="5" applyFont="1" applyFill="1" applyBorder="1" applyAlignment="1">
      <alignment horizontal="center"/>
    </xf>
    <xf numFmtId="5" fontId="0" fillId="4" borderId="0" xfId="0" applyNumberFormat="1" applyFill="1"/>
    <xf numFmtId="5" fontId="0" fillId="4" borderId="100" xfId="0" applyNumberFormat="1" applyFill="1" applyBorder="1"/>
    <xf numFmtId="0" fontId="15" fillId="4" borderId="0" xfId="0" applyFont="1" applyFill="1"/>
    <xf numFmtId="0" fontId="15" fillId="4" borderId="100" xfId="0" applyFont="1" applyFill="1" applyBorder="1"/>
    <xf numFmtId="0" fontId="10" fillId="12" borderId="29" xfId="5" applyFont="1" applyFill="1" applyBorder="1" applyAlignment="1" applyProtection="1">
      <alignment horizontal="center"/>
      <protection hidden="1"/>
    </xf>
    <xf numFmtId="0" fontId="10" fillId="12" borderId="19" xfId="5" applyFont="1" applyFill="1" applyBorder="1" applyAlignment="1" applyProtection="1">
      <alignment horizontal="center"/>
      <protection hidden="1"/>
    </xf>
    <xf numFmtId="0" fontId="10" fillId="12" borderId="30" xfId="5" applyFont="1" applyFill="1" applyBorder="1" applyAlignment="1" applyProtection="1">
      <alignment horizontal="center"/>
      <protection hidden="1"/>
    </xf>
    <xf numFmtId="0" fontId="0" fillId="12" borderId="4" xfId="0" applyFill="1" applyBorder="1" applyAlignment="1" applyProtection="1">
      <alignment horizontal="center"/>
      <protection hidden="1"/>
    </xf>
    <xf numFmtId="0" fontId="0" fillId="12" borderId="5" xfId="0" applyFill="1" applyBorder="1" applyAlignment="1" applyProtection="1">
      <alignment horizontal="center"/>
      <protection hidden="1"/>
    </xf>
    <xf numFmtId="0" fontId="10" fillId="12" borderId="36" xfId="5" applyFont="1" applyFill="1" applyBorder="1" applyAlignment="1" applyProtection="1">
      <alignment horizontal="center" wrapText="1"/>
      <protection hidden="1"/>
    </xf>
    <xf numFmtId="0" fontId="10" fillId="12" borderId="0" xfId="5" applyFont="1" applyFill="1" applyAlignment="1" applyProtection="1">
      <alignment horizontal="center" wrapText="1"/>
      <protection hidden="1"/>
    </xf>
    <xf numFmtId="0" fontId="10" fillId="12" borderId="34" xfId="5" applyFont="1" applyFill="1" applyBorder="1" applyAlignment="1" applyProtection="1">
      <alignment horizontal="center" wrapText="1"/>
      <protection hidden="1"/>
    </xf>
    <xf numFmtId="0" fontId="55" fillId="36" borderId="101" xfId="0" applyFont="1" applyFill="1" applyBorder="1" applyAlignment="1">
      <alignment horizontal="center" vertical="center" textRotation="90"/>
    </xf>
    <xf numFmtId="0" fontId="55" fillId="36" borderId="102" xfId="0" applyFont="1" applyFill="1" applyBorder="1" applyAlignment="1">
      <alignment horizontal="center" vertical="center" textRotation="90"/>
    </xf>
    <xf numFmtId="43" fontId="0" fillId="12" borderId="0" xfId="6" applyFont="1" applyFill="1" applyBorder="1" applyAlignment="1" applyProtection="1">
      <alignment horizontal="center"/>
    </xf>
    <xf numFmtId="43" fontId="0" fillId="3" borderId="0" xfId="6" applyFont="1" applyFill="1" applyBorder="1" applyAlignment="1" applyProtection="1">
      <alignment horizontal="center"/>
    </xf>
    <xf numFmtId="43" fontId="0" fillId="12" borderId="27" xfId="6" applyFont="1" applyFill="1" applyBorder="1" applyAlignment="1" applyProtection="1">
      <alignment horizontal="center"/>
    </xf>
    <xf numFmtId="165" fontId="8" fillId="12" borderId="25" xfId="1" applyNumberFormat="1" applyFont="1" applyFill="1" applyBorder="1" applyAlignment="1">
      <alignment horizontal="right"/>
    </xf>
    <xf numFmtId="165" fontId="8" fillId="12" borderId="26" xfId="1" applyNumberFormat="1" applyFont="1" applyFill="1" applyBorder="1" applyAlignment="1">
      <alignment horizontal="right"/>
    </xf>
    <xf numFmtId="5" fontId="0" fillId="4" borderId="0" xfId="0" applyNumberFormat="1" applyFill="1" applyAlignment="1">
      <alignment horizontal="left"/>
    </xf>
    <xf numFmtId="5" fontId="0" fillId="4" borderId="100" xfId="0" applyNumberFormat="1" applyFill="1" applyBorder="1" applyAlignment="1">
      <alignment horizontal="left"/>
    </xf>
    <xf numFmtId="0" fontId="55" fillId="6" borderId="56" xfId="0" applyFont="1" applyFill="1" applyBorder="1" applyAlignment="1">
      <alignment horizontal="center"/>
    </xf>
    <xf numFmtId="0" fontId="55" fillId="6" borderId="64" xfId="0" applyFont="1" applyFill="1" applyBorder="1" applyAlignment="1">
      <alignment horizontal="center"/>
    </xf>
    <xf numFmtId="0" fontId="55" fillId="6" borderId="57" xfId="0" applyFont="1" applyFill="1" applyBorder="1" applyAlignment="1">
      <alignment horizontal="center"/>
    </xf>
    <xf numFmtId="0" fontId="15" fillId="4" borderId="0" xfId="0" applyFont="1" applyFill="1" applyAlignment="1">
      <alignment horizontal="center"/>
    </xf>
    <xf numFmtId="0" fontId="15" fillId="4" borderId="100" xfId="0" applyFont="1" applyFill="1" applyBorder="1" applyAlignment="1">
      <alignment horizontal="center"/>
    </xf>
    <xf numFmtId="0" fontId="0" fillId="12" borderId="19" xfId="0" applyFill="1" applyBorder="1" applyAlignment="1">
      <alignment horizontal="center"/>
    </xf>
    <xf numFmtId="0" fontId="17" fillId="34" borderId="29" xfId="0" applyFont="1" applyFill="1" applyBorder="1" applyAlignment="1">
      <alignment horizontal="center" vertical="top"/>
    </xf>
    <xf numFmtId="0" fontId="17" fillId="34" borderId="19" xfId="0" applyFont="1" applyFill="1" applyBorder="1" applyAlignment="1">
      <alignment horizontal="center" vertical="top"/>
    </xf>
    <xf numFmtId="0" fontId="17" fillId="34" borderId="30" xfId="0" applyFont="1" applyFill="1" applyBorder="1" applyAlignment="1">
      <alignment horizontal="center" vertical="top"/>
    </xf>
    <xf numFmtId="0" fontId="17" fillId="0" borderId="56" xfId="10" applyFont="1" applyBorder="1" applyAlignment="1" applyProtection="1">
      <alignment horizontal="center"/>
      <protection locked="0"/>
    </xf>
    <xf numFmtId="0" fontId="17" fillId="0" borderId="64" xfId="10" applyFont="1" applyBorder="1" applyAlignment="1" applyProtection="1">
      <alignment horizontal="center"/>
      <protection locked="0"/>
    </xf>
    <xf numFmtId="0" fontId="17" fillId="0" borderId="57" xfId="10" applyFont="1" applyBorder="1" applyAlignment="1" applyProtection="1">
      <alignment horizontal="center"/>
      <protection locked="0"/>
    </xf>
    <xf numFmtId="0" fontId="0" fillId="12" borderId="56" xfId="0" applyFill="1" applyBorder="1" applyAlignment="1">
      <alignment horizontal="center"/>
    </xf>
    <xf numFmtId="0" fontId="0" fillId="12" borderId="64" xfId="0" applyFill="1" applyBorder="1" applyAlignment="1">
      <alignment horizontal="center"/>
    </xf>
    <xf numFmtId="0" fontId="0" fillId="12" borderId="42" xfId="0" applyFill="1" applyBorder="1" applyAlignment="1">
      <alignment horizontal="right"/>
    </xf>
    <xf numFmtId="0" fontId="0" fillId="12" borderId="27" xfId="0" applyFill="1" applyBorder="1" applyAlignment="1">
      <alignment horizontal="right"/>
    </xf>
    <xf numFmtId="0" fontId="17" fillId="0" borderId="37" xfId="10" applyFont="1" applyBorder="1" applyAlignment="1" applyProtection="1">
      <alignment horizontal="center"/>
      <protection locked="0"/>
    </xf>
    <xf numFmtId="0" fontId="17" fillId="0" borderId="8" xfId="10" applyFont="1" applyBorder="1" applyAlignment="1" applyProtection="1">
      <alignment horizontal="center"/>
      <protection locked="0"/>
    </xf>
    <xf numFmtId="0" fontId="17" fillId="0" borderId="3" xfId="10" applyFont="1" applyBorder="1" applyAlignment="1" applyProtection="1">
      <alignment horizontal="center"/>
      <protection locked="0"/>
    </xf>
    <xf numFmtId="0" fontId="17" fillId="0" borderId="38" xfId="10" applyFont="1" applyBorder="1" applyAlignment="1" applyProtection="1">
      <alignment horizontal="center"/>
      <protection locked="0"/>
    </xf>
    <xf numFmtId="0" fontId="0" fillId="12" borderId="36" xfId="0" applyFill="1" applyBorder="1" applyAlignment="1">
      <alignment horizontal="center"/>
    </xf>
    <xf numFmtId="0" fontId="0" fillId="12" borderId="0" xfId="0" applyFill="1" applyAlignment="1">
      <alignment horizontal="center"/>
    </xf>
    <xf numFmtId="0" fontId="0" fillId="12" borderId="42" xfId="0" applyFill="1" applyBorder="1" applyAlignment="1">
      <alignment horizontal="center"/>
    </xf>
    <xf numFmtId="0" fontId="18" fillId="12" borderId="0" xfId="5" applyFont="1" applyFill="1" applyAlignment="1">
      <alignment horizontal="right"/>
    </xf>
    <xf numFmtId="0" fontId="18" fillId="0" borderId="4" xfId="5" applyFont="1" applyBorder="1" applyAlignment="1" applyProtection="1">
      <alignment horizontal="left"/>
      <protection locked="0"/>
    </xf>
    <xf numFmtId="0" fontId="18" fillId="0" borderId="5" xfId="5" applyFont="1" applyBorder="1" applyAlignment="1" applyProtection="1">
      <alignment horizontal="left"/>
      <protection locked="0"/>
    </xf>
    <xf numFmtId="0" fontId="25" fillId="12" borderId="11" xfId="5" applyFont="1" applyFill="1" applyBorder="1" applyAlignment="1">
      <alignment horizontal="center" wrapText="1"/>
    </xf>
    <xf numFmtId="0" fontId="25" fillId="12" borderId="13" xfId="5" applyFont="1" applyFill="1" applyBorder="1" applyAlignment="1">
      <alignment horizontal="center" wrapText="1"/>
    </xf>
    <xf numFmtId="0" fontId="0" fillId="0" borderId="0" xfId="0"/>
    <xf numFmtId="0" fontId="8" fillId="12" borderId="55" xfId="3" applyFont="1" applyFill="1" applyBorder="1" applyAlignment="1">
      <alignment horizontal="center" vertical="top"/>
    </xf>
    <xf numFmtId="0" fontId="8" fillId="12" borderId="15" xfId="3" applyFont="1" applyFill="1" applyBorder="1" applyAlignment="1">
      <alignment horizontal="center" vertical="top"/>
    </xf>
    <xf numFmtId="0" fontId="4" fillId="12" borderId="64" xfId="0" applyFont="1" applyFill="1" applyBorder="1" applyAlignment="1">
      <alignment horizontal="center"/>
    </xf>
    <xf numFmtId="0" fontId="8" fillId="0" borderId="1" xfId="0" applyFont="1" applyBorder="1" applyAlignment="1" applyProtection="1">
      <alignment horizontal="left"/>
      <protection locked="0"/>
    </xf>
    <xf numFmtId="0" fontId="8" fillId="0" borderId="39" xfId="0" applyFont="1" applyBorder="1" applyAlignment="1" applyProtection="1">
      <alignment horizontal="left"/>
      <protection locked="0"/>
    </xf>
    <xf numFmtId="49" fontId="8" fillId="0" borderId="24" xfId="0" applyNumberFormat="1" applyFont="1" applyBorder="1" applyAlignment="1" applyProtection="1">
      <alignment horizontal="left"/>
      <protection locked="0"/>
    </xf>
    <xf numFmtId="49" fontId="8" fillId="0" borderId="25" xfId="0" applyNumberFormat="1" applyFont="1" applyBorder="1" applyAlignment="1" applyProtection="1">
      <alignment horizontal="left"/>
      <protection locked="0"/>
    </xf>
    <xf numFmtId="49" fontId="8" fillId="0" borderId="41" xfId="0" applyNumberFormat="1" applyFont="1" applyBorder="1" applyAlignment="1" applyProtection="1">
      <alignment horizontal="left"/>
      <protection locked="0"/>
    </xf>
    <xf numFmtId="49" fontId="10" fillId="0" borderId="50" xfId="3" applyNumberFormat="1" applyFont="1" applyBorder="1" applyAlignment="1" applyProtection="1">
      <alignment horizontal="left" vertical="top"/>
      <protection locked="0"/>
    </xf>
    <xf numFmtId="0" fontId="8" fillId="0" borderId="50" xfId="0" applyFont="1" applyBorder="1" applyAlignment="1" applyProtection="1">
      <alignment horizontal="left"/>
      <protection locked="0"/>
    </xf>
    <xf numFmtId="0" fontId="8" fillId="0" borderId="51" xfId="0" applyFont="1" applyBorder="1" applyAlignment="1" applyProtection="1">
      <alignment horizontal="left"/>
      <protection locked="0"/>
    </xf>
    <xf numFmtId="0" fontId="8" fillId="5" borderId="4" xfId="3" applyFont="1" applyFill="1" applyBorder="1" applyAlignment="1" applyProtection="1">
      <alignment horizontal="center" vertical="top"/>
      <protection locked="0"/>
    </xf>
    <xf numFmtId="0" fontId="8" fillId="5" borderId="38" xfId="3" applyFont="1" applyFill="1" applyBorder="1" applyAlignment="1" applyProtection="1">
      <alignment horizontal="center" vertical="top"/>
      <protection locked="0"/>
    </xf>
    <xf numFmtId="0" fontId="8" fillId="0" borderId="47" xfId="3" applyFont="1" applyBorder="1" applyAlignment="1" applyProtection="1">
      <alignment horizontal="left" vertical="top"/>
      <protection locked="0"/>
    </xf>
    <xf numFmtId="0" fontId="8" fillId="0" borderId="28" xfId="3" applyFont="1" applyBorder="1" applyAlignment="1" applyProtection="1">
      <alignment horizontal="left" vertical="top"/>
      <protection locked="0"/>
    </xf>
    <xf numFmtId="0" fontId="8" fillId="5" borderId="24" xfId="3" applyFont="1" applyFill="1" applyBorder="1" applyAlignment="1" applyProtection="1">
      <alignment horizontal="center" vertical="top"/>
      <protection locked="0"/>
    </xf>
    <xf numFmtId="0" fontId="8" fillId="5" borderId="41" xfId="3" applyFont="1" applyFill="1" applyBorder="1" applyAlignment="1" applyProtection="1">
      <alignment horizontal="center" vertical="top"/>
      <protection locked="0"/>
    </xf>
    <xf numFmtId="49" fontId="4" fillId="0" borderId="72" xfId="0" applyNumberFormat="1" applyFont="1" applyBorder="1" applyAlignment="1" applyProtection="1">
      <alignment horizontal="left" vertical="top"/>
      <protection locked="0"/>
    </xf>
    <xf numFmtId="49" fontId="4" fillId="0" borderId="68" xfId="0" applyNumberFormat="1" applyFont="1" applyBorder="1" applyAlignment="1" applyProtection="1">
      <alignment horizontal="left" vertical="top"/>
      <protection locked="0"/>
    </xf>
    <xf numFmtId="49" fontId="4" fillId="0" borderId="69" xfId="0" applyNumberFormat="1" applyFont="1" applyBorder="1" applyAlignment="1" applyProtection="1">
      <alignment horizontal="left" vertical="top"/>
      <protection locked="0"/>
    </xf>
    <xf numFmtId="0" fontId="8" fillId="5" borderId="4" xfId="3" quotePrefix="1" applyFont="1" applyFill="1" applyBorder="1" applyAlignment="1" applyProtection="1">
      <alignment horizontal="center" vertical="center"/>
      <protection locked="0"/>
    </xf>
    <xf numFmtId="0" fontId="8" fillId="5" borderId="5" xfId="3" quotePrefix="1" applyFont="1" applyFill="1" applyBorder="1" applyAlignment="1" applyProtection="1">
      <alignment horizontal="center" vertical="center"/>
      <protection locked="0"/>
    </xf>
    <xf numFmtId="179" fontId="8" fillId="0" borderId="3" xfId="3" applyNumberFormat="1" applyFont="1" applyBorder="1" applyAlignment="1" applyProtection="1">
      <alignment horizontal="left" vertical="center"/>
      <protection locked="0"/>
    </xf>
    <xf numFmtId="179" fontId="8" fillId="0" borderId="38" xfId="3" applyNumberFormat="1" applyFont="1" applyBorder="1" applyAlignment="1" applyProtection="1">
      <alignment horizontal="left" vertical="center"/>
      <protection locked="0"/>
    </xf>
    <xf numFmtId="0" fontId="8" fillId="0" borderId="35" xfId="3" applyFont="1" applyBorder="1" applyAlignment="1" applyProtection="1">
      <alignment horizontal="left" vertical="top"/>
      <protection locked="0"/>
    </xf>
    <xf numFmtId="0" fontId="8" fillId="0" borderId="1" xfId="3" applyFont="1" applyBorder="1" applyAlignment="1" applyProtection="1">
      <alignment horizontal="left" vertical="top"/>
      <protection locked="0"/>
    </xf>
    <xf numFmtId="4" fontId="8" fillId="0" borderId="14" xfId="3" applyNumberFormat="1" applyFont="1" applyBorder="1" applyAlignment="1" applyProtection="1">
      <alignment horizontal="right" vertical="top"/>
      <protection locked="0"/>
    </xf>
    <xf numFmtId="0" fontId="8" fillId="12" borderId="14" xfId="3" applyFont="1" applyFill="1" applyBorder="1" applyAlignment="1">
      <alignment horizontal="center" vertical="top"/>
    </xf>
    <xf numFmtId="0" fontId="8" fillId="0" borderId="4" xfId="3" applyFont="1" applyBorder="1" applyAlignment="1" applyProtection="1">
      <alignment horizontal="left" vertical="top"/>
      <protection locked="0"/>
    </xf>
    <xf numFmtId="0" fontId="8" fillId="0" borderId="3" xfId="3" applyFont="1" applyBorder="1" applyAlignment="1" applyProtection="1">
      <alignment horizontal="left" vertical="top"/>
      <protection locked="0"/>
    </xf>
    <xf numFmtId="0" fontId="47" fillId="12" borderId="4" xfId="0" applyFont="1" applyFill="1" applyBorder="1" applyAlignment="1">
      <alignment horizontal="left"/>
    </xf>
    <xf numFmtId="0" fontId="47" fillId="12" borderId="38" xfId="0" applyFont="1" applyFill="1" applyBorder="1" applyAlignment="1">
      <alignment horizontal="left"/>
    </xf>
    <xf numFmtId="0" fontId="27" fillId="12" borderId="64" xfId="0" applyFont="1" applyFill="1" applyBorder="1" applyAlignment="1">
      <alignment horizontal="center" vertical="center"/>
    </xf>
    <xf numFmtId="0" fontId="8" fillId="0" borderId="37" xfId="3" applyFont="1" applyBorder="1" applyAlignment="1" applyProtection="1">
      <alignment horizontal="left" vertical="top"/>
      <protection locked="0"/>
    </xf>
    <xf numFmtId="0" fontId="8" fillId="0" borderId="5" xfId="3" applyFont="1" applyBorder="1" applyAlignment="1" applyProtection="1">
      <alignment horizontal="left" vertical="top"/>
      <protection locked="0"/>
    </xf>
    <xf numFmtId="0" fontId="0" fillId="12" borderId="4" xfId="0" applyFill="1" applyBorder="1" applyAlignment="1">
      <alignment horizontal="center"/>
    </xf>
    <xf numFmtId="0" fontId="0" fillId="12" borderId="5" xfId="0" applyFill="1" applyBorder="1" applyAlignment="1">
      <alignment horizontal="center"/>
    </xf>
    <xf numFmtId="0" fontId="8" fillId="12" borderId="35" xfId="3" applyFont="1" applyFill="1" applyBorder="1" applyAlignment="1">
      <alignment horizontal="center" vertical="top"/>
    </xf>
    <xf numFmtId="0" fontId="8" fillId="12" borderId="1" xfId="3" applyFont="1" applyFill="1" applyBorder="1" applyAlignment="1">
      <alignment horizontal="center" vertical="top"/>
    </xf>
    <xf numFmtId="0" fontId="8" fillId="12" borderId="39" xfId="3" applyFont="1" applyFill="1" applyBorder="1" applyAlignment="1">
      <alignment horizontal="center" vertical="top"/>
    </xf>
    <xf numFmtId="49" fontId="0" fillId="0" borderId="35" xfId="0" applyNumberFormat="1" applyBorder="1" applyAlignment="1" applyProtection="1">
      <alignment horizontal="left" vertical="top"/>
      <protection locked="0"/>
    </xf>
    <xf numFmtId="49" fontId="0" fillId="0" borderId="1" xfId="0" applyNumberFormat="1" applyBorder="1" applyAlignment="1" applyProtection="1">
      <alignment horizontal="left" vertical="top"/>
      <protection locked="0"/>
    </xf>
    <xf numFmtId="49" fontId="0" fillId="0" borderId="39" xfId="0" applyNumberFormat="1" applyBorder="1" applyAlignment="1" applyProtection="1">
      <alignment horizontal="left" vertical="top"/>
      <protection locked="0"/>
    </xf>
    <xf numFmtId="49" fontId="0" fillId="0" borderId="47" xfId="0" applyNumberFormat="1" applyBorder="1" applyAlignment="1" applyProtection="1">
      <alignment horizontal="left" vertical="top"/>
      <protection locked="0"/>
    </xf>
    <xf numFmtId="49" fontId="0" fillId="0" borderId="28" xfId="0" applyNumberFormat="1" applyBorder="1" applyAlignment="1" applyProtection="1">
      <alignment horizontal="left" vertical="top"/>
      <protection locked="0"/>
    </xf>
    <xf numFmtId="49" fontId="0" fillId="0" borderId="48" xfId="0" applyNumberFormat="1" applyBorder="1" applyAlignment="1" applyProtection="1">
      <alignment horizontal="left" vertical="top"/>
      <protection locked="0"/>
    </xf>
    <xf numFmtId="0" fontId="7" fillId="2" borderId="70" xfId="3" applyFont="1" applyFill="1" applyBorder="1" applyAlignment="1">
      <alignment horizontal="center" vertical="top"/>
    </xf>
    <xf numFmtId="0" fontId="7" fillId="2" borderId="22" xfId="3" applyFont="1" applyFill="1" applyBorder="1" applyAlignment="1">
      <alignment horizontal="center" vertical="top"/>
    </xf>
    <xf numFmtId="0" fontId="7" fillId="2" borderId="58" xfId="3" applyFont="1" applyFill="1" applyBorder="1" applyAlignment="1">
      <alignment horizontal="center" vertical="top"/>
    </xf>
    <xf numFmtId="0" fontId="8" fillId="0" borderId="0" xfId="3" applyFont="1" applyAlignment="1" applyProtection="1">
      <alignment horizontal="left" vertical="top"/>
      <protection locked="0"/>
    </xf>
    <xf numFmtId="49" fontId="8" fillId="0" borderId="50" xfId="0" applyNumberFormat="1" applyFont="1" applyBorder="1" applyAlignment="1" applyProtection="1">
      <alignment horizontal="left"/>
      <protection locked="0"/>
    </xf>
    <xf numFmtId="49" fontId="8" fillId="0" borderId="1" xfId="3" applyNumberFormat="1" applyFont="1" applyBorder="1" applyAlignment="1" applyProtection="1">
      <alignment horizontal="left" vertical="top" wrapText="1"/>
      <protection locked="0"/>
    </xf>
    <xf numFmtId="49" fontId="8" fillId="0" borderId="39" xfId="3" applyNumberFormat="1" applyFont="1" applyBorder="1" applyAlignment="1" applyProtection="1">
      <alignment horizontal="left" vertical="top" wrapText="1"/>
      <protection locked="0"/>
    </xf>
    <xf numFmtId="49" fontId="8" fillId="0" borderId="7" xfId="3" applyNumberFormat="1" applyFont="1" applyBorder="1" applyAlignment="1" applyProtection="1">
      <alignment horizontal="left" vertical="top" wrapText="1"/>
      <protection locked="0"/>
    </xf>
    <xf numFmtId="49" fontId="8" fillId="0" borderId="52" xfId="3" applyNumberFormat="1" applyFont="1" applyBorder="1" applyAlignment="1" applyProtection="1">
      <alignment horizontal="left" vertical="top" wrapText="1"/>
      <protection locked="0"/>
    </xf>
    <xf numFmtId="0" fontId="0" fillId="12" borderId="1" xfId="0" applyFill="1" applyBorder="1" applyAlignment="1">
      <alignment horizontal="center"/>
    </xf>
    <xf numFmtId="0" fontId="0" fillId="12" borderId="39" xfId="0" applyFill="1" applyBorder="1" applyAlignment="1">
      <alignment horizontal="center"/>
    </xf>
    <xf numFmtId="0" fontId="0" fillId="12" borderId="35" xfId="0" applyFill="1" applyBorder="1" applyAlignment="1">
      <alignment horizontal="center"/>
    </xf>
    <xf numFmtId="49" fontId="3" fillId="0" borderId="37" xfId="0" applyNumberFormat="1" applyFont="1" applyBorder="1" applyAlignment="1" applyProtection="1">
      <alignment horizontal="left"/>
      <protection locked="0"/>
    </xf>
    <xf numFmtId="49" fontId="3" fillId="0" borderId="3" xfId="0" applyNumberFormat="1" applyFont="1" applyBorder="1" applyAlignment="1" applyProtection="1">
      <alignment horizontal="left"/>
      <protection locked="0"/>
    </xf>
    <xf numFmtId="49" fontId="3" fillId="0" borderId="5" xfId="0" applyNumberFormat="1" applyFont="1" applyBorder="1" applyAlignment="1" applyProtection="1">
      <alignment horizontal="left"/>
      <protection locked="0"/>
    </xf>
    <xf numFmtId="0" fontId="18" fillId="12" borderId="35" xfId="10" applyFont="1" applyFill="1" applyBorder="1" applyAlignment="1">
      <alignment horizontal="center"/>
    </xf>
    <xf numFmtId="0" fontId="18" fillId="12" borderId="1" xfId="10" applyFont="1" applyFill="1" applyBorder="1" applyAlignment="1">
      <alignment horizontal="center"/>
    </xf>
    <xf numFmtId="0" fontId="7" fillId="2" borderId="56" xfId="3" applyFont="1" applyFill="1" applyBorder="1" applyAlignment="1">
      <alignment horizontal="center" vertical="top"/>
    </xf>
    <xf numFmtId="0" fontId="7" fillId="2" borderId="64" xfId="3" applyFont="1" applyFill="1" applyBorder="1" applyAlignment="1">
      <alignment horizontal="center" vertical="top"/>
    </xf>
    <xf numFmtId="0" fontId="7" fillId="2" borderId="57" xfId="3" applyFont="1" applyFill="1" applyBorder="1" applyAlignment="1">
      <alignment horizontal="center" vertical="top"/>
    </xf>
    <xf numFmtId="0" fontId="7" fillId="2" borderId="29" xfId="3" applyFont="1" applyFill="1" applyBorder="1" applyAlignment="1">
      <alignment horizontal="center" vertical="top"/>
    </xf>
    <xf numFmtId="0" fontId="7" fillId="2" borderId="19" xfId="3" applyFont="1" applyFill="1" applyBorder="1" applyAlignment="1">
      <alignment horizontal="center" vertical="top"/>
    </xf>
    <xf numFmtId="0" fontId="7" fillId="2" borderId="30" xfId="3" applyFont="1" applyFill="1" applyBorder="1" applyAlignment="1">
      <alignment horizontal="center" vertical="top"/>
    </xf>
    <xf numFmtId="0" fontId="8" fillId="12" borderId="46" xfId="3" applyFont="1" applyFill="1" applyBorder="1" applyAlignment="1">
      <alignment horizontal="center" vertical="top"/>
    </xf>
    <xf numFmtId="0" fontId="8" fillId="12" borderId="7" xfId="3" applyFont="1" applyFill="1" applyBorder="1" applyAlignment="1">
      <alignment horizontal="center" vertical="top"/>
    </xf>
    <xf numFmtId="0" fontId="7" fillId="2" borderId="31" xfId="3" applyFont="1" applyFill="1" applyBorder="1" applyAlignment="1">
      <alignment horizontal="center" vertical="top"/>
    </xf>
    <xf numFmtId="0" fontId="7" fillId="2" borderId="12" xfId="3" applyFont="1" applyFill="1" applyBorder="1" applyAlignment="1">
      <alignment horizontal="center" vertical="top"/>
    </xf>
    <xf numFmtId="0" fontId="7" fillId="2" borderId="32" xfId="3" applyFont="1" applyFill="1" applyBorder="1" applyAlignment="1">
      <alignment horizontal="center" vertical="top"/>
    </xf>
    <xf numFmtId="0" fontId="8" fillId="0" borderId="1" xfId="3" applyFont="1" applyBorder="1" applyAlignment="1" applyProtection="1">
      <alignment horizontal="left" vertical="top" wrapText="1"/>
      <protection locked="0"/>
    </xf>
    <xf numFmtId="0" fontId="8" fillId="0" borderId="39" xfId="3" applyFont="1" applyBorder="1" applyAlignment="1" applyProtection="1">
      <alignment horizontal="left" vertical="top" wrapText="1"/>
      <protection locked="0"/>
    </xf>
    <xf numFmtId="0" fontId="7" fillId="2" borderId="42" xfId="3" applyFont="1" applyFill="1" applyBorder="1" applyAlignment="1">
      <alignment horizontal="center" vertical="top"/>
    </xf>
    <xf numFmtId="0" fontId="7" fillId="2" borderId="27" xfId="3" applyFont="1" applyFill="1" applyBorder="1" applyAlignment="1">
      <alignment horizontal="center" vertical="top"/>
    </xf>
    <xf numFmtId="0" fontId="7" fillId="2" borderId="43" xfId="3" applyFont="1" applyFill="1" applyBorder="1" applyAlignment="1">
      <alignment horizontal="center" vertical="top"/>
    </xf>
    <xf numFmtId="49" fontId="18" fillId="0" borderId="29" xfId="10" applyNumberFormat="1" applyFont="1" applyBorder="1" applyAlignment="1" applyProtection="1">
      <alignment horizontal="left" vertical="top"/>
      <protection locked="0"/>
    </xf>
    <xf numFmtId="49" fontId="18" fillId="0" borderId="19" xfId="10" applyNumberFormat="1" applyFont="1" applyBorder="1" applyAlignment="1" applyProtection="1">
      <alignment horizontal="left" vertical="top"/>
      <protection locked="0"/>
    </xf>
    <xf numFmtId="49" fontId="18" fillId="0" borderId="30" xfId="10" applyNumberFormat="1" applyFont="1" applyBorder="1" applyAlignment="1" applyProtection="1">
      <alignment horizontal="left" vertical="top"/>
      <protection locked="0"/>
    </xf>
    <xf numFmtId="49" fontId="18" fillId="0" borderId="36" xfId="10" applyNumberFormat="1" applyFont="1" applyBorder="1" applyAlignment="1" applyProtection="1">
      <alignment horizontal="left" vertical="top"/>
      <protection locked="0"/>
    </xf>
    <xf numFmtId="49" fontId="18" fillId="0" borderId="0" xfId="10" applyNumberFormat="1" applyFont="1" applyAlignment="1" applyProtection="1">
      <alignment horizontal="left" vertical="top"/>
      <protection locked="0"/>
    </xf>
    <xf numFmtId="49" fontId="18" fillId="0" borderId="34" xfId="10" applyNumberFormat="1" applyFont="1" applyBorder="1" applyAlignment="1" applyProtection="1">
      <alignment horizontal="left" vertical="top"/>
      <protection locked="0"/>
    </xf>
    <xf numFmtId="49" fontId="8" fillId="0" borderId="14" xfId="3" applyNumberFormat="1" applyFont="1" applyBorder="1" applyAlignment="1" applyProtection="1">
      <alignment horizontal="left" vertical="top" wrapText="1"/>
      <protection locked="0"/>
    </xf>
    <xf numFmtId="49" fontId="8" fillId="0" borderId="53" xfId="3" applyNumberFormat="1" applyFont="1" applyBorder="1" applyAlignment="1" applyProtection="1">
      <alignment horizontal="left" vertical="top" wrapText="1"/>
      <protection locked="0"/>
    </xf>
    <xf numFmtId="0" fontId="7" fillId="3" borderId="29" xfId="3" applyFont="1" applyFill="1" applyBorder="1" applyAlignment="1">
      <alignment horizontal="center" vertical="top"/>
    </xf>
    <xf numFmtId="0" fontId="7" fillId="3" borderId="19" xfId="3" applyFont="1" applyFill="1" applyBorder="1" applyAlignment="1">
      <alignment horizontal="center" vertical="top"/>
    </xf>
    <xf numFmtId="0" fontId="7" fillId="3" borderId="30" xfId="3" applyFont="1" applyFill="1" applyBorder="1" applyAlignment="1">
      <alignment horizontal="center" vertical="top"/>
    </xf>
    <xf numFmtId="49" fontId="3" fillId="0" borderId="11" xfId="0" applyNumberFormat="1" applyFont="1" applyBorder="1" applyAlignment="1" applyProtection="1">
      <alignment horizontal="left"/>
      <protection locked="0"/>
    </xf>
    <xf numFmtId="49" fontId="3" fillId="0" borderId="12" xfId="0" applyNumberFormat="1" applyFont="1" applyBorder="1" applyAlignment="1" applyProtection="1">
      <alignment horizontal="left"/>
      <protection locked="0"/>
    </xf>
    <xf numFmtId="49" fontId="3" fillId="0" borderId="32" xfId="0" applyNumberFormat="1" applyFont="1" applyBorder="1" applyAlignment="1" applyProtection="1">
      <alignment horizontal="left"/>
      <protection locked="0"/>
    </xf>
    <xf numFmtId="37" fontId="4" fillId="12" borderId="72" xfId="1" applyNumberFormat="1" applyFont="1" applyFill="1" applyBorder="1" applyAlignment="1">
      <alignment horizontal="center"/>
    </xf>
    <xf numFmtId="37" fontId="4" fillId="12" borderId="68" xfId="1" applyNumberFormat="1" applyFont="1" applyFill="1" applyBorder="1" applyAlignment="1">
      <alignment horizontal="center"/>
    </xf>
    <xf numFmtId="37" fontId="4" fillId="12" borderId="71" xfId="1" applyNumberFormat="1" applyFont="1" applyFill="1" applyBorder="1" applyAlignment="1">
      <alignment horizontal="center"/>
    </xf>
    <xf numFmtId="0" fontId="3" fillId="0" borderId="11"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32" xfId="0" applyFont="1" applyBorder="1" applyAlignment="1" applyProtection="1">
      <alignment horizontal="center" vertical="center"/>
      <protection locked="0"/>
    </xf>
    <xf numFmtId="0" fontId="3" fillId="0" borderId="1" xfId="0" applyFont="1" applyBorder="1" applyAlignment="1" applyProtection="1">
      <alignment horizontal="left"/>
      <protection locked="0"/>
    </xf>
    <xf numFmtId="0" fontId="3" fillId="12" borderId="1" xfId="0" applyFont="1" applyFill="1" applyBorder="1" applyAlignment="1">
      <alignment horizontal="center"/>
    </xf>
    <xf numFmtId="10" fontId="3" fillId="5" borderId="4" xfId="2" applyNumberFormat="1" applyFont="1" applyFill="1" applyBorder="1" applyAlignment="1" applyProtection="1">
      <alignment horizontal="center" vertical="center"/>
      <protection locked="0"/>
    </xf>
    <xf numFmtId="10" fontId="3" fillId="5" borderId="5" xfId="2" applyNumberFormat="1" applyFont="1" applyFill="1" applyBorder="1" applyAlignment="1" applyProtection="1">
      <alignment horizontal="center" vertical="center"/>
      <protection locked="0"/>
    </xf>
    <xf numFmtId="0" fontId="0" fillId="0" borderId="4" xfId="0" applyBorder="1" applyAlignment="1" applyProtection="1">
      <alignment horizontal="left"/>
      <protection locked="0"/>
    </xf>
    <xf numFmtId="0" fontId="0" fillId="0" borderId="3" xfId="0" applyBorder="1" applyAlignment="1" applyProtection="1">
      <alignment horizontal="left"/>
      <protection locked="0"/>
    </xf>
    <xf numFmtId="0" fontId="0" fillId="0" borderId="38" xfId="0" applyBorder="1" applyAlignment="1" applyProtection="1">
      <alignment horizontal="left"/>
      <protection locked="0"/>
    </xf>
    <xf numFmtId="49" fontId="3" fillId="0" borderId="1" xfId="0" applyNumberFormat="1" applyFont="1" applyBorder="1" applyAlignment="1" applyProtection="1">
      <alignment horizontal="left"/>
      <protection locked="0"/>
    </xf>
    <xf numFmtId="49" fontId="3" fillId="0" borderId="4" xfId="0" applyNumberFormat="1" applyFont="1" applyBorder="1" applyAlignment="1" applyProtection="1">
      <alignment horizontal="left"/>
      <protection locked="0"/>
    </xf>
    <xf numFmtId="49" fontId="3" fillId="0" borderId="38" xfId="0" applyNumberFormat="1" applyFont="1" applyBorder="1" applyAlignment="1" applyProtection="1">
      <alignment horizontal="left"/>
      <protection locked="0"/>
    </xf>
    <xf numFmtId="0" fontId="0" fillId="12" borderId="46" xfId="0" applyFill="1" applyBorder="1" applyAlignment="1">
      <alignment horizontal="center" vertical="center"/>
    </xf>
    <xf numFmtId="0" fontId="0" fillId="12" borderId="55" xfId="0" applyFill="1" applyBorder="1" applyAlignment="1">
      <alignment horizontal="center" vertical="center"/>
    </xf>
    <xf numFmtId="0" fontId="0" fillId="12" borderId="33" xfId="0" applyFill="1" applyBorder="1" applyAlignment="1">
      <alignment horizontal="center" vertical="center"/>
    </xf>
    <xf numFmtId="0" fontId="47" fillId="12" borderId="7" xfId="0" applyFont="1" applyFill="1" applyBorder="1" applyAlignment="1">
      <alignment horizontal="center" wrapText="1"/>
    </xf>
    <xf numFmtId="0" fontId="47" fillId="12" borderId="14" xfId="0" applyFont="1" applyFill="1" applyBorder="1" applyAlignment="1">
      <alignment horizontal="center" wrapText="1"/>
    </xf>
    <xf numFmtId="0" fontId="3" fillId="5" borderId="7" xfId="0" applyFont="1" applyFill="1" applyBorder="1" applyAlignment="1" applyProtection="1">
      <alignment horizontal="center" vertical="center"/>
      <protection locked="0"/>
    </xf>
    <xf numFmtId="0" fontId="3" fillId="5" borderId="14" xfId="0" applyFont="1" applyFill="1" applyBorder="1" applyAlignment="1" applyProtection="1">
      <alignment horizontal="center" vertical="center"/>
      <protection locked="0"/>
    </xf>
    <xf numFmtId="0" fontId="3" fillId="12" borderId="7" xfId="0" applyFont="1" applyFill="1" applyBorder="1" applyAlignment="1">
      <alignment horizontal="center"/>
    </xf>
    <xf numFmtId="0" fontId="3" fillId="12" borderId="52" xfId="0" applyFont="1" applyFill="1" applyBorder="1" applyAlignment="1">
      <alignment horizontal="center"/>
    </xf>
    <xf numFmtId="0" fontId="0" fillId="12" borderId="2" xfId="0" applyFill="1" applyBorder="1" applyAlignment="1">
      <alignment horizontal="left"/>
    </xf>
    <xf numFmtId="0" fontId="0" fillId="12" borderId="0" xfId="0" applyFill="1" applyAlignment="1">
      <alignment horizontal="left"/>
    </xf>
    <xf numFmtId="0" fontId="0" fillId="12" borderId="6" xfId="0" applyFill="1" applyBorder="1" applyAlignment="1">
      <alignment horizontal="left"/>
    </xf>
    <xf numFmtId="0" fontId="28" fillId="12" borderId="2" xfId="0" applyFont="1" applyFill="1" applyBorder="1" applyAlignment="1">
      <alignment horizontal="left"/>
    </xf>
    <xf numFmtId="0" fontId="28" fillId="12" borderId="0" xfId="0" applyFont="1" applyFill="1" applyAlignment="1">
      <alignment horizontal="left"/>
    </xf>
    <xf numFmtId="0" fontId="28" fillId="12" borderId="6" xfId="0" applyFont="1" applyFill="1" applyBorder="1" applyAlignment="1">
      <alignment horizontal="left"/>
    </xf>
    <xf numFmtId="0" fontId="0" fillId="12" borderId="11" xfId="0" applyFill="1" applyBorder="1" applyAlignment="1">
      <alignment horizontal="left" wrapText="1"/>
    </xf>
    <xf numFmtId="0" fontId="0" fillId="12" borderId="12" xfId="0" applyFill="1" applyBorder="1" applyAlignment="1">
      <alignment horizontal="left" wrapText="1"/>
    </xf>
    <xf numFmtId="0" fontId="0" fillId="12" borderId="13" xfId="0" applyFill="1" applyBorder="1" applyAlignment="1">
      <alignment horizontal="left" wrapText="1"/>
    </xf>
    <xf numFmtId="0" fontId="3" fillId="0" borderId="4" xfId="0" applyFont="1" applyBorder="1" applyAlignment="1" applyProtection="1">
      <alignment horizontal="left" wrapText="1"/>
      <protection locked="0"/>
    </xf>
    <xf numFmtId="0" fontId="3" fillId="0" borderId="3" xfId="0" applyFont="1" applyBorder="1" applyAlignment="1" applyProtection="1">
      <alignment horizontal="left" wrapText="1"/>
      <protection locked="0"/>
    </xf>
    <xf numFmtId="0" fontId="3" fillId="0" borderId="38" xfId="0" applyFont="1" applyBorder="1" applyAlignment="1" applyProtection="1">
      <alignment horizontal="left" wrapText="1"/>
      <protection locked="0"/>
    </xf>
    <xf numFmtId="49" fontId="3" fillId="0" borderId="4" xfId="0" applyNumberFormat="1" applyFont="1" applyBorder="1" applyAlignment="1" applyProtection="1">
      <alignment horizontal="left" wrapText="1"/>
      <protection locked="0"/>
    </xf>
    <xf numFmtId="49" fontId="3" fillId="0" borderId="3" xfId="0" applyNumberFormat="1" applyFont="1" applyBorder="1" applyAlignment="1" applyProtection="1">
      <alignment horizontal="left" wrapText="1"/>
      <protection locked="0"/>
    </xf>
    <xf numFmtId="49" fontId="3" fillId="0" borderId="38" xfId="0" applyNumberFormat="1" applyFont="1" applyBorder="1" applyAlignment="1" applyProtection="1">
      <alignment horizontal="left" wrapText="1"/>
      <protection locked="0"/>
    </xf>
    <xf numFmtId="0" fontId="3" fillId="0" borderId="5" xfId="0" applyFont="1" applyBorder="1" applyAlignment="1" applyProtection="1">
      <alignment horizontal="left" wrapText="1"/>
      <protection locked="0"/>
    </xf>
    <xf numFmtId="0" fontId="3" fillId="12" borderId="39" xfId="0" applyFont="1" applyFill="1" applyBorder="1" applyAlignment="1">
      <alignment horizontal="center"/>
    </xf>
    <xf numFmtId="0" fontId="8" fillId="12" borderId="4" xfId="3" applyFont="1" applyFill="1" applyBorder="1" applyAlignment="1" applyProtection="1">
      <alignment horizontal="center" vertical="top" wrapText="1"/>
      <protection locked="0"/>
    </xf>
    <xf numFmtId="0" fontId="8" fillId="12" borderId="5" xfId="3" applyFont="1" applyFill="1" applyBorder="1" applyAlignment="1" applyProtection="1">
      <alignment horizontal="center" vertical="top" wrapText="1"/>
      <protection locked="0"/>
    </xf>
    <xf numFmtId="0" fontId="12" fillId="0" borderId="0" xfId="4" applyFont="1" applyFill="1" applyAlignment="1">
      <alignment horizontal="left"/>
    </xf>
    <xf numFmtId="49" fontId="8" fillId="0" borderId="50" xfId="3" applyNumberFormat="1" applyFont="1" applyBorder="1" applyAlignment="1" applyProtection="1">
      <alignment horizontal="center" vertical="top"/>
      <protection locked="0"/>
    </xf>
    <xf numFmtId="49" fontId="8" fillId="0" borderId="51" xfId="3" applyNumberFormat="1" applyFont="1" applyBorder="1" applyAlignment="1" applyProtection="1">
      <alignment horizontal="center" vertical="top"/>
      <protection locked="0"/>
    </xf>
    <xf numFmtId="1" fontId="8" fillId="0" borderId="4" xfId="3" applyNumberFormat="1" applyFont="1" applyBorder="1" applyAlignment="1" applyProtection="1">
      <alignment horizontal="center" vertical="top" wrapText="1"/>
      <protection locked="0"/>
    </xf>
    <xf numFmtId="1" fontId="8" fillId="0" borderId="5" xfId="3" applyNumberFormat="1" applyFont="1" applyBorder="1" applyAlignment="1" applyProtection="1">
      <alignment horizontal="center" vertical="top" wrapText="1"/>
      <protection locked="0"/>
    </xf>
    <xf numFmtId="49" fontId="8" fillId="5" borderId="4" xfId="3" applyNumberFormat="1" applyFont="1" applyFill="1" applyBorder="1" applyAlignment="1" applyProtection="1">
      <alignment horizontal="center" vertical="top"/>
      <protection locked="0"/>
    </xf>
    <xf numFmtId="49" fontId="8" fillId="5" borderId="38" xfId="3" applyNumberFormat="1" applyFont="1" applyFill="1" applyBorder="1" applyAlignment="1" applyProtection="1">
      <alignment horizontal="center" vertical="top"/>
      <protection locked="0"/>
    </xf>
    <xf numFmtId="49" fontId="8" fillId="0" borderId="4" xfId="3" applyNumberFormat="1" applyFont="1" applyBorder="1" applyAlignment="1" applyProtection="1">
      <alignment horizontal="left" vertical="top" wrapText="1"/>
      <protection locked="0"/>
    </xf>
    <xf numFmtId="49" fontId="8" fillId="0" borderId="3" xfId="3" applyNumberFormat="1" applyFont="1" applyBorder="1" applyAlignment="1" applyProtection="1">
      <alignment horizontal="left" vertical="top" wrapText="1"/>
      <protection locked="0"/>
    </xf>
    <xf numFmtId="49" fontId="8" fillId="0" borderId="5" xfId="3" applyNumberFormat="1" applyFont="1" applyBorder="1" applyAlignment="1" applyProtection="1">
      <alignment horizontal="left" vertical="top" wrapText="1"/>
      <protection locked="0"/>
    </xf>
    <xf numFmtId="183" fontId="8" fillId="0" borderId="4" xfId="3" applyNumberFormat="1" applyFont="1" applyBorder="1" applyAlignment="1" applyProtection="1">
      <alignment horizontal="left" vertical="top" wrapText="1"/>
      <protection locked="0"/>
    </xf>
    <xf numFmtId="183" fontId="8" fillId="0" borderId="3" xfId="3" applyNumberFormat="1" applyFont="1" applyBorder="1" applyAlignment="1" applyProtection="1">
      <alignment horizontal="left" vertical="top" wrapText="1"/>
      <protection locked="0"/>
    </xf>
    <xf numFmtId="183" fontId="8" fillId="0" borderId="38" xfId="3" applyNumberFormat="1" applyFont="1" applyBorder="1" applyAlignment="1" applyProtection="1">
      <alignment horizontal="left" vertical="top" wrapText="1"/>
      <protection locked="0"/>
    </xf>
    <xf numFmtId="0" fontId="8" fillId="5" borderId="1" xfId="3" applyFont="1" applyFill="1" applyBorder="1" applyAlignment="1" applyProtection="1">
      <alignment horizontal="left" vertical="top"/>
      <protection locked="0"/>
    </xf>
    <xf numFmtId="49" fontId="8" fillId="0" borderId="1" xfId="4" applyNumberFormat="1" applyFont="1" applyBorder="1" applyAlignment="1" applyProtection="1">
      <alignment horizontal="left" vertical="top" wrapText="1"/>
      <protection locked="0"/>
    </xf>
    <xf numFmtId="0" fontId="0" fillId="0" borderId="35" xfId="0" applyBorder="1" applyAlignment="1" applyProtection="1">
      <alignment horizontal="left" vertical="top"/>
      <protection locked="0"/>
    </xf>
    <xf numFmtId="0" fontId="0" fillId="0" borderId="1" xfId="0" applyBorder="1" applyAlignment="1" applyProtection="1">
      <alignment horizontal="left" vertical="top"/>
      <protection locked="0"/>
    </xf>
    <xf numFmtId="0" fontId="0" fillId="0" borderId="39" xfId="0" applyBorder="1" applyAlignment="1" applyProtection="1">
      <alignment horizontal="left" vertical="top"/>
      <protection locked="0"/>
    </xf>
    <xf numFmtId="49" fontId="8" fillId="5" borderId="1" xfId="3" applyNumberFormat="1" applyFont="1" applyFill="1" applyBorder="1" applyAlignment="1" applyProtection="1">
      <alignment horizontal="center" vertical="top"/>
      <protection locked="0"/>
    </xf>
    <xf numFmtId="49" fontId="8" fillId="5" borderId="39" xfId="3" applyNumberFormat="1" applyFont="1" applyFill="1" applyBorder="1" applyAlignment="1" applyProtection="1">
      <alignment horizontal="center" vertical="top"/>
      <protection locked="0"/>
    </xf>
    <xf numFmtId="0" fontId="63" fillId="12" borderId="49" xfId="0" applyFont="1" applyFill="1" applyBorder="1" applyAlignment="1">
      <alignment horizontal="center" vertical="center"/>
    </xf>
    <xf numFmtId="0" fontId="63" fillId="12" borderId="8" xfId="0" applyFont="1" applyFill="1" applyBorder="1" applyAlignment="1">
      <alignment horizontal="center" vertical="center"/>
    </xf>
    <xf numFmtId="0" fontId="63" fillId="12" borderId="45" xfId="0" applyFont="1" applyFill="1" applyBorder="1" applyAlignment="1">
      <alignment horizontal="center" vertical="center"/>
    </xf>
    <xf numFmtId="0" fontId="10" fillId="12" borderId="36" xfId="0" applyFont="1" applyFill="1" applyBorder="1" applyAlignment="1">
      <alignment horizontal="center" wrapText="1"/>
    </xf>
    <xf numFmtId="0" fontId="10" fillId="12" borderId="0" xfId="0" applyFont="1" applyFill="1" applyAlignment="1">
      <alignment horizontal="center" wrapText="1"/>
    </xf>
    <xf numFmtId="0" fontId="10" fillId="12" borderId="34" xfId="0" applyFont="1" applyFill="1" applyBorder="1" applyAlignment="1">
      <alignment horizontal="center" wrapText="1"/>
    </xf>
    <xf numFmtId="0" fontId="10" fillId="12" borderId="31" xfId="0" applyFont="1" applyFill="1" applyBorder="1" applyAlignment="1">
      <alignment horizontal="center" wrapText="1"/>
    </xf>
    <xf numFmtId="0" fontId="0" fillId="12" borderId="49" xfId="0" applyFill="1" applyBorder="1" applyAlignment="1">
      <alignment horizontal="left"/>
    </xf>
    <xf numFmtId="0" fontId="0" fillId="12" borderId="8" xfId="0" applyFill="1" applyBorder="1" applyAlignment="1">
      <alignment horizontal="left"/>
    </xf>
    <xf numFmtId="0" fontId="0" fillId="12" borderId="10" xfId="0" applyFill="1" applyBorder="1" applyAlignment="1">
      <alignment horizontal="left"/>
    </xf>
    <xf numFmtId="0" fontId="0" fillId="12" borderId="36" xfId="0" applyFill="1" applyBorder="1" applyAlignment="1">
      <alignment horizontal="left" wrapText="1"/>
    </xf>
    <xf numFmtId="0" fontId="0" fillId="12" borderId="0" xfId="0" applyFill="1" applyAlignment="1">
      <alignment horizontal="left" wrapText="1"/>
    </xf>
    <xf numFmtId="0" fontId="0" fillId="12" borderId="6" xfId="0" applyFill="1" applyBorder="1" applyAlignment="1">
      <alignment horizontal="left" wrapText="1"/>
    </xf>
    <xf numFmtId="0" fontId="3" fillId="5" borderId="39" xfId="0" applyFont="1" applyFill="1" applyBorder="1" applyAlignment="1" applyProtection="1">
      <alignment horizontal="center" vertical="center"/>
      <protection locked="0"/>
    </xf>
    <xf numFmtId="0" fontId="3" fillId="0" borderId="4" xfId="0" applyFont="1" applyBorder="1" applyAlignment="1" applyProtection="1">
      <alignment horizontal="left"/>
      <protection locked="0"/>
    </xf>
    <xf numFmtId="0" fontId="3" fillId="0" borderId="3" xfId="0" applyFont="1" applyBorder="1" applyAlignment="1" applyProtection="1">
      <alignment horizontal="left"/>
      <protection locked="0"/>
    </xf>
    <xf numFmtId="0" fontId="3" fillId="0" borderId="5" xfId="0" applyFont="1" applyBorder="1" applyAlignment="1" applyProtection="1">
      <alignment horizontal="left"/>
      <protection locked="0"/>
    </xf>
    <xf numFmtId="0" fontId="3" fillId="0" borderId="38" xfId="0" applyFont="1" applyBorder="1" applyAlignment="1" applyProtection="1">
      <alignment horizontal="left"/>
      <protection locked="0"/>
    </xf>
    <xf numFmtId="0" fontId="3" fillId="12" borderId="46" xfId="0" applyFont="1" applyFill="1" applyBorder="1" applyAlignment="1">
      <alignment horizontal="center"/>
    </xf>
    <xf numFmtId="0" fontId="3" fillId="12" borderId="55" xfId="0" applyFont="1" applyFill="1" applyBorder="1" applyAlignment="1">
      <alignment horizontal="center"/>
    </xf>
    <xf numFmtId="0" fontId="3" fillId="12" borderId="33" xfId="0" applyFont="1" applyFill="1" applyBorder="1" applyAlignment="1">
      <alignment horizontal="center"/>
    </xf>
    <xf numFmtId="0" fontId="0" fillId="12" borderId="9" xfId="0" applyFill="1" applyBorder="1" applyAlignment="1">
      <alignment horizontal="left"/>
    </xf>
    <xf numFmtId="0" fontId="9" fillId="19" borderId="56" xfId="4" applyFill="1" applyBorder="1" applyAlignment="1">
      <alignment horizontal="center"/>
    </xf>
    <xf numFmtId="0" fontId="9" fillId="19" borderId="64" xfId="4" applyFill="1" applyBorder="1" applyAlignment="1">
      <alignment horizontal="center"/>
    </xf>
    <xf numFmtId="0" fontId="9" fillId="19" borderId="57" xfId="4" applyFill="1" applyBorder="1" applyAlignment="1">
      <alignment horizontal="center"/>
    </xf>
    <xf numFmtId="0" fontId="28" fillId="12" borderId="36" xfId="0" applyFont="1" applyFill="1" applyBorder="1" applyAlignment="1">
      <alignment horizontal="left" vertical="center" wrapText="1"/>
    </xf>
    <xf numFmtId="0" fontId="28" fillId="12" borderId="0" xfId="0" applyFont="1" applyFill="1" applyAlignment="1">
      <alignment horizontal="left" vertical="center" wrapText="1"/>
    </xf>
    <xf numFmtId="0" fontId="28" fillId="12" borderId="6" xfId="0" applyFont="1" applyFill="1" applyBorder="1" applyAlignment="1">
      <alignment horizontal="left" vertical="center" wrapText="1"/>
    </xf>
    <xf numFmtId="0" fontId="8" fillId="12" borderId="4" xfId="3" applyFont="1" applyFill="1" applyBorder="1" applyAlignment="1" applyProtection="1">
      <alignment horizontal="center" vertical="top"/>
      <protection locked="0"/>
    </xf>
    <xf numFmtId="0" fontId="8" fillId="12" borderId="5" xfId="3" applyFont="1" applyFill="1" applyBorder="1" applyAlignment="1" applyProtection="1">
      <alignment horizontal="center" vertical="top"/>
      <protection locked="0"/>
    </xf>
    <xf numFmtId="39" fontId="3" fillId="0" borderId="4" xfId="6" applyNumberFormat="1" applyFont="1" applyBorder="1" applyAlignment="1" applyProtection="1">
      <alignment horizontal="center"/>
      <protection locked="0"/>
    </xf>
    <xf numFmtId="39" fontId="3" fillId="0" borderId="5" xfId="6" applyNumberFormat="1" applyFont="1" applyBorder="1" applyAlignment="1" applyProtection="1">
      <alignment horizontal="center"/>
      <protection locked="0"/>
    </xf>
    <xf numFmtId="0" fontId="4" fillId="0" borderId="56" xfId="0" applyFont="1" applyBorder="1" applyAlignment="1">
      <alignment horizontal="center"/>
    </xf>
    <xf numFmtId="0" fontId="4" fillId="0" borderId="64" xfId="0" applyFont="1" applyBorder="1" applyAlignment="1">
      <alignment horizontal="center"/>
    </xf>
    <xf numFmtId="0" fontId="4" fillId="0" borderId="57" xfId="0" applyFont="1" applyBorder="1" applyAlignment="1">
      <alignment horizontal="center"/>
    </xf>
    <xf numFmtId="0" fontId="4" fillId="0" borderId="19" xfId="0" applyFont="1" applyBorder="1" applyAlignment="1">
      <alignment horizontal="center"/>
    </xf>
    <xf numFmtId="42" fontId="3" fillId="0" borderId="9" xfId="0" applyNumberFormat="1" applyFont="1" applyBorder="1" applyAlignment="1">
      <alignment horizontal="center"/>
    </xf>
    <xf numFmtId="0" fontId="3" fillId="0" borderId="10" xfId="0" applyFont="1" applyBorder="1" applyAlignment="1">
      <alignment horizontal="center"/>
    </xf>
    <xf numFmtId="42" fontId="3" fillId="0" borderId="2" xfId="0" applyNumberFormat="1" applyFont="1" applyBorder="1" applyAlignment="1">
      <alignment horizontal="center"/>
    </xf>
    <xf numFmtId="0" fontId="3" fillId="0" borderId="6" xfId="0" applyFont="1" applyBorder="1" applyAlignment="1">
      <alignment horizontal="center"/>
    </xf>
    <xf numFmtId="0" fontId="8" fillId="0" borderId="37" xfId="3" applyFont="1" applyBorder="1" applyAlignment="1" applyProtection="1">
      <alignment horizontal="right" vertical="top"/>
      <protection locked="0"/>
    </xf>
    <xf numFmtId="0" fontId="8" fillId="0" borderId="5" xfId="3" applyFont="1" applyBorder="1" applyAlignment="1" applyProtection="1">
      <alignment horizontal="right" vertical="top"/>
      <protection locked="0"/>
    </xf>
    <xf numFmtId="42" fontId="3" fillId="0" borderId="23" xfId="0" applyNumberFormat="1" applyFont="1" applyBorder="1" applyAlignment="1">
      <alignment horizontal="center"/>
    </xf>
    <xf numFmtId="0" fontId="3" fillId="0" borderId="61" xfId="0" applyFont="1" applyBorder="1" applyAlignment="1">
      <alignment horizontal="center"/>
    </xf>
    <xf numFmtId="0" fontId="8" fillId="0" borderId="49" xfId="3" applyFont="1" applyBorder="1" applyAlignment="1" applyProtection="1">
      <alignment horizontal="right" vertical="top"/>
      <protection locked="0"/>
    </xf>
    <xf numFmtId="0" fontId="8" fillId="0" borderId="10" xfId="3" applyFont="1" applyBorder="1" applyAlignment="1" applyProtection="1">
      <alignment horizontal="right" vertical="top"/>
      <protection locked="0"/>
    </xf>
    <xf numFmtId="0" fontId="8" fillId="12" borderId="46" xfId="5" applyFont="1" applyFill="1" applyBorder="1" applyAlignment="1">
      <alignment horizontal="right"/>
    </xf>
    <xf numFmtId="0" fontId="8" fillId="12" borderId="7" xfId="5" applyFont="1" applyFill="1" applyBorder="1" applyAlignment="1">
      <alignment horizontal="right"/>
    </xf>
    <xf numFmtId="0" fontId="10" fillId="12" borderId="36" xfId="5" applyFont="1" applyFill="1" applyBorder="1" applyAlignment="1">
      <alignment horizontal="center" wrapText="1"/>
    </xf>
    <xf numFmtId="0" fontId="10" fillId="12" borderId="0" xfId="5" applyFont="1" applyFill="1" applyAlignment="1">
      <alignment horizontal="center" wrapText="1"/>
    </xf>
    <xf numFmtId="0" fontId="10" fillId="12" borderId="34" xfId="5" applyFont="1" applyFill="1" applyBorder="1" applyAlignment="1">
      <alignment horizontal="center" wrapText="1"/>
    </xf>
    <xf numFmtId="0" fontId="8" fillId="12" borderId="36" xfId="5" applyFont="1" applyFill="1" applyBorder="1" applyAlignment="1">
      <alignment horizontal="right" wrapText="1"/>
    </xf>
    <xf numFmtId="0" fontId="8" fillId="12" borderId="0" xfId="5" applyFont="1" applyFill="1" applyAlignment="1">
      <alignment horizontal="right" wrapText="1"/>
    </xf>
    <xf numFmtId="0" fontId="15" fillId="7" borderId="28" xfId="3" applyFont="1" applyFill="1" applyBorder="1" applyAlignment="1" applyProtection="1">
      <alignment horizontal="left" vertical="top"/>
      <protection locked="0"/>
    </xf>
    <xf numFmtId="0" fontId="15" fillId="7" borderId="48" xfId="3" applyFont="1" applyFill="1" applyBorder="1" applyAlignment="1" applyProtection="1">
      <alignment horizontal="left" vertical="top"/>
      <protection locked="0"/>
    </xf>
    <xf numFmtId="0" fontId="8" fillId="12" borderId="28" xfId="3" applyFont="1" applyFill="1" applyBorder="1" applyAlignment="1">
      <alignment horizontal="right" vertical="top"/>
    </xf>
    <xf numFmtId="0" fontId="16" fillId="3" borderId="67" xfId="5" applyFont="1" applyFill="1" applyBorder="1" applyAlignment="1">
      <alignment horizontal="center" wrapText="1"/>
    </xf>
    <xf numFmtId="0" fontId="16" fillId="3" borderId="68" xfId="5" applyFont="1" applyFill="1" applyBorder="1" applyAlignment="1">
      <alignment horizontal="center" wrapText="1"/>
    </xf>
    <xf numFmtId="0" fontId="16" fillId="3" borderId="69" xfId="5" applyFont="1" applyFill="1" applyBorder="1" applyAlignment="1">
      <alignment horizontal="center" wrapText="1"/>
    </xf>
    <xf numFmtId="0" fontId="10" fillId="12" borderId="40" xfId="5" applyFont="1" applyFill="1" applyBorder="1" applyAlignment="1">
      <alignment horizontal="right"/>
    </xf>
    <xf numFmtId="0" fontId="10" fillId="12" borderId="25" xfId="5" applyFont="1" applyFill="1" applyBorder="1" applyAlignment="1">
      <alignment horizontal="right"/>
    </xf>
    <xf numFmtId="0" fontId="10" fillId="12" borderId="26" xfId="5" applyFont="1" applyFill="1" applyBorder="1" applyAlignment="1">
      <alignment horizontal="right"/>
    </xf>
    <xf numFmtId="0" fontId="8" fillId="12" borderId="36" xfId="5" applyFont="1" applyFill="1" applyBorder="1" applyAlignment="1">
      <alignment horizontal="center" wrapText="1"/>
    </xf>
    <xf numFmtId="0" fontId="8" fillId="12" borderId="0" xfId="5" applyFont="1" applyFill="1" applyAlignment="1">
      <alignment horizontal="center" wrapText="1"/>
    </xf>
    <xf numFmtId="0" fontId="8" fillId="12" borderId="34" xfId="5" applyFont="1" applyFill="1" applyBorder="1" applyAlignment="1">
      <alignment horizontal="center" wrapText="1"/>
    </xf>
    <xf numFmtId="0" fontId="10" fillId="12" borderId="56" xfId="5" applyFont="1" applyFill="1" applyBorder="1" applyAlignment="1">
      <alignment horizontal="center"/>
    </xf>
    <xf numFmtId="0" fontId="10" fillId="12" borderId="64" xfId="5" applyFont="1" applyFill="1" applyBorder="1" applyAlignment="1">
      <alignment horizontal="center"/>
    </xf>
    <xf numFmtId="0" fontId="10" fillId="12" borderId="57" xfId="5" applyFont="1" applyFill="1" applyBorder="1" applyAlignment="1">
      <alignment horizontal="center"/>
    </xf>
    <xf numFmtId="44" fontId="8" fillId="0" borderId="4" xfId="9" applyFont="1" applyFill="1" applyBorder="1" applyAlignment="1" applyProtection="1">
      <alignment horizontal="left"/>
      <protection locked="0"/>
    </xf>
    <xf numFmtId="44" fontId="8" fillId="0" borderId="5" xfId="9" applyFont="1" applyFill="1" applyBorder="1" applyAlignment="1" applyProtection="1">
      <alignment horizontal="left"/>
      <protection locked="0"/>
    </xf>
    <xf numFmtId="0" fontId="8" fillId="0" borderId="0" xfId="3" applyFont="1" applyAlignment="1" applyProtection="1">
      <alignment horizontal="center" vertical="top"/>
      <protection locked="0"/>
    </xf>
    <xf numFmtId="4" fontId="0" fillId="0" borderId="0" xfId="2" applyNumberFormat="1" applyFont="1" applyFill="1" applyBorder="1" applyAlignment="1">
      <alignment horizontal="center"/>
    </xf>
    <xf numFmtId="0" fontId="8" fillId="12" borderId="2" xfId="4" applyFont="1" applyFill="1" applyBorder="1" applyAlignment="1">
      <alignment horizontal="right"/>
    </xf>
    <xf numFmtId="0" fontId="8" fillId="12" borderId="0" xfId="4" applyFont="1" applyFill="1" applyBorder="1" applyAlignment="1">
      <alignment horizontal="right"/>
    </xf>
    <xf numFmtId="0" fontId="8" fillId="12" borderId="11" xfId="4" applyFont="1" applyFill="1" applyBorder="1" applyAlignment="1">
      <alignment horizontal="right"/>
    </xf>
    <xf numFmtId="0" fontId="8" fillId="12" borderId="12" xfId="4" applyFont="1" applyFill="1" applyBorder="1" applyAlignment="1">
      <alignment horizontal="right"/>
    </xf>
    <xf numFmtId="40" fontId="8" fillId="12" borderId="1" xfId="4" applyNumberFormat="1" applyFont="1" applyFill="1" applyBorder="1" applyAlignment="1">
      <alignment horizontal="center"/>
    </xf>
    <xf numFmtId="0" fontId="8" fillId="0" borderId="1" xfId="4" applyNumberFormat="1" applyFont="1" applyFill="1" applyBorder="1" applyAlignment="1" applyProtection="1">
      <alignment horizontal="center"/>
      <protection locked="0"/>
    </xf>
    <xf numFmtId="0" fontId="8" fillId="12" borderId="6" xfId="4" applyFont="1" applyFill="1" applyBorder="1" applyAlignment="1">
      <alignment horizontal="right"/>
    </xf>
    <xf numFmtId="9" fontId="8" fillId="0" borderId="4" xfId="2" applyFont="1" applyFill="1" applyBorder="1" applyAlignment="1" applyProtection="1">
      <alignment horizontal="center"/>
      <protection locked="0"/>
    </xf>
    <xf numFmtId="9" fontId="8" fillId="0" borderId="5" xfId="2" applyFont="1" applyFill="1" applyBorder="1" applyAlignment="1" applyProtection="1">
      <alignment horizontal="center"/>
      <protection locked="0"/>
    </xf>
    <xf numFmtId="0" fontId="3" fillId="5" borderId="1" xfId="0" applyFont="1" applyFill="1" applyBorder="1" applyAlignment="1" applyProtection="1">
      <alignment horizontal="center" vertical="center"/>
      <protection locked="0"/>
    </xf>
    <xf numFmtId="37" fontId="8" fillId="0" borderId="1" xfId="6" applyNumberFormat="1" applyFont="1" applyBorder="1" applyAlignment="1" applyProtection="1">
      <alignment horizontal="center"/>
      <protection locked="0"/>
    </xf>
    <xf numFmtId="0" fontId="4" fillId="12" borderId="8" xfId="0" applyFont="1" applyFill="1" applyBorder="1" applyAlignment="1">
      <alignment horizontal="center" vertical="center" wrapText="1"/>
    </xf>
    <xf numFmtId="0" fontId="4" fillId="12" borderId="12" xfId="0" applyFont="1" applyFill="1" applyBorder="1" applyAlignment="1">
      <alignment horizontal="center" vertical="center" wrapText="1"/>
    </xf>
    <xf numFmtId="0" fontId="16" fillId="3" borderId="36" xfId="0" applyFont="1" applyFill="1" applyBorder="1" applyAlignment="1">
      <alignment horizontal="center"/>
    </xf>
    <xf numFmtId="0" fontId="16" fillId="3" borderId="0" xfId="0" applyFont="1" applyFill="1" applyAlignment="1">
      <alignment horizontal="center"/>
    </xf>
    <xf numFmtId="0" fontId="16" fillId="3" borderId="34" xfId="0" applyFont="1" applyFill="1" applyBorder="1" applyAlignment="1">
      <alignment horizontal="center"/>
    </xf>
    <xf numFmtId="0" fontId="16" fillId="3" borderId="40" xfId="3" applyFont="1" applyFill="1" applyBorder="1" applyAlignment="1">
      <alignment horizontal="center" vertical="top"/>
    </xf>
    <xf numFmtId="0" fontId="16" fillId="3" borderId="25" xfId="3" applyFont="1" applyFill="1" applyBorder="1" applyAlignment="1">
      <alignment horizontal="center" vertical="top"/>
    </xf>
    <xf numFmtId="0" fontId="16" fillId="3" borderId="41" xfId="3" applyFont="1" applyFill="1" applyBorder="1" applyAlignment="1">
      <alignment horizontal="center" vertical="top"/>
    </xf>
    <xf numFmtId="0" fontId="10" fillId="12" borderId="36" xfId="5" applyFont="1" applyFill="1" applyBorder="1" applyAlignment="1">
      <alignment horizontal="center"/>
    </xf>
    <xf numFmtId="0" fontId="10" fillId="12" borderId="0" xfId="5" applyFont="1" applyFill="1" applyAlignment="1">
      <alignment horizontal="center"/>
    </xf>
    <xf numFmtId="0" fontId="10" fillId="12" borderId="34" xfId="5" applyFont="1" applyFill="1" applyBorder="1" applyAlignment="1">
      <alignment horizontal="center"/>
    </xf>
    <xf numFmtId="0" fontId="8" fillId="12" borderId="67" xfId="5" applyFont="1" applyFill="1" applyBorder="1" applyAlignment="1">
      <alignment horizontal="right"/>
    </xf>
    <xf numFmtId="0" fontId="8" fillId="12" borderId="68" xfId="5" applyFont="1" applyFill="1" applyBorder="1" applyAlignment="1">
      <alignment horizontal="right"/>
    </xf>
    <xf numFmtId="0" fontId="8" fillId="12" borderId="71" xfId="5" applyFont="1" applyFill="1" applyBorder="1" applyAlignment="1">
      <alignment horizontal="right"/>
    </xf>
    <xf numFmtId="0" fontId="8" fillId="12" borderId="40" xfId="5" applyFont="1" applyFill="1" applyBorder="1" applyAlignment="1">
      <alignment horizontal="right"/>
    </xf>
    <xf numFmtId="0" fontId="8" fillId="12" borderId="25" xfId="5" applyFont="1" applyFill="1" applyBorder="1" applyAlignment="1">
      <alignment horizontal="right"/>
    </xf>
    <xf numFmtId="0" fontId="8" fillId="12" borderId="26" xfId="5" applyFont="1" applyFill="1" applyBorder="1" applyAlignment="1">
      <alignment horizontal="right"/>
    </xf>
    <xf numFmtId="0" fontId="8" fillId="12" borderId="36" xfId="5" applyFont="1" applyFill="1" applyBorder="1" applyAlignment="1">
      <alignment horizontal="right"/>
    </xf>
    <xf numFmtId="0" fontId="8" fillId="12" borderId="0" xfId="5" applyFont="1" applyFill="1" applyAlignment="1">
      <alignment horizontal="right"/>
    </xf>
    <xf numFmtId="0" fontId="8" fillId="12" borderId="49" xfId="3" applyFont="1" applyFill="1" applyBorder="1" applyAlignment="1">
      <alignment horizontal="right" vertical="top" wrapText="1"/>
    </xf>
    <xf numFmtId="0" fontId="8" fillId="12" borderId="10" xfId="3" applyFont="1" applyFill="1" applyBorder="1" applyAlignment="1">
      <alignment horizontal="right" vertical="top" wrapText="1"/>
    </xf>
    <xf numFmtId="0" fontId="8" fillId="12" borderId="42" xfId="3" applyFont="1" applyFill="1" applyBorder="1" applyAlignment="1">
      <alignment horizontal="right" vertical="top" wrapText="1"/>
    </xf>
    <xf numFmtId="0" fontId="8" fillId="12" borderId="61" xfId="3" applyFont="1" applyFill="1" applyBorder="1" applyAlignment="1">
      <alignment horizontal="right" vertical="top" wrapText="1"/>
    </xf>
    <xf numFmtId="0" fontId="8" fillId="12" borderId="0" xfId="5" applyFont="1" applyFill="1" applyAlignment="1">
      <alignment horizontal="center"/>
    </xf>
    <xf numFmtId="0" fontId="8" fillId="12" borderId="34" xfId="5" applyFont="1" applyFill="1" applyBorder="1" applyAlignment="1">
      <alignment horizontal="center"/>
    </xf>
    <xf numFmtId="9" fontId="10" fillId="12" borderId="8" xfId="2" applyFont="1" applyFill="1" applyBorder="1" applyAlignment="1" applyProtection="1">
      <alignment horizontal="center" vertical="center"/>
    </xf>
    <xf numFmtId="9" fontId="10" fillId="12" borderId="12" xfId="2" applyFont="1" applyFill="1" applyBorder="1" applyAlignment="1" applyProtection="1">
      <alignment horizontal="center" vertical="center"/>
    </xf>
    <xf numFmtId="0" fontId="15" fillId="7" borderId="1" xfId="3" applyFont="1" applyFill="1" applyBorder="1" applyAlignment="1" applyProtection="1">
      <alignment horizontal="left" vertical="top"/>
      <protection locked="0"/>
    </xf>
    <xf numFmtId="0" fontId="15" fillId="7" borderId="39" xfId="3" applyFont="1" applyFill="1" applyBorder="1" applyAlignment="1" applyProtection="1">
      <alignment horizontal="left" vertical="top"/>
      <protection locked="0"/>
    </xf>
    <xf numFmtId="37" fontId="8" fillId="17" borderId="1" xfId="6" applyNumberFormat="1" applyFont="1" applyFill="1" applyBorder="1" applyAlignment="1" applyProtection="1">
      <alignment horizontal="center"/>
      <protection locked="0"/>
    </xf>
    <xf numFmtId="178" fontId="8" fillId="0" borderId="1" xfId="6" applyNumberFormat="1" applyFont="1" applyBorder="1" applyAlignment="1" applyProtection="1">
      <alignment horizontal="center"/>
      <protection locked="0"/>
    </xf>
    <xf numFmtId="10" fontId="8" fillId="0" borderId="1" xfId="2" applyNumberFormat="1" applyFont="1" applyBorder="1" applyAlignment="1" applyProtection="1">
      <alignment horizontal="center"/>
      <protection locked="0"/>
    </xf>
    <xf numFmtId="10" fontId="8" fillId="12" borderId="1" xfId="2" applyNumberFormat="1" applyFont="1" applyFill="1" applyBorder="1" applyAlignment="1">
      <alignment horizontal="center"/>
    </xf>
    <xf numFmtId="0" fontId="10" fillId="12" borderId="37" xfId="3" applyFont="1" applyFill="1" applyBorder="1" applyAlignment="1">
      <alignment horizontal="right" vertical="top"/>
    </xf>
    <xf numFmtId="0" fontId="10" fillId="12" borderId="5" xfId="3" applyFont="1" applyFill="1" applyBorder="1" applyAlignment="1">
      <alignment horizontal="right" vertical="top"/>
    </xf>
    <xf numFmtId="0" fontId="8" fillId="0" borderId="0" xfId="3" applyFont="1" applyAlignment="1" applyProtection="1">
      <alignment horizontal="right" vertical="top"/>
      <protection locked="0"/>
    </xf>
    <xf numFmtId="0" fontId="8" fillId="12" borderId="37" xfId="3" applyFont="1" applyFill="1" applyBorder="1" applyAlignment="1">
      <alignment horizontal="right" vertical="top"/>
    </xf>
    <xf numFmtId="0" fontId="8" fillId="12" borderId="5" xfId="3" applyFont="1" applyFill="1" applyBorder="1" applyAlignment="1">
      <alignment horizontal="right" vertical="top"/>
    </xf>
    <xf numFmtId="9" fontId="8" fillId="0" borderId="4" xfId="7" applyFont="1" applyFill="1" applyBorder="1" applyAlignment="1" applyProtection="1">
      <alignment horizontal="left"/>
      <protection locked="0"/>
    </xf>
    <xf numFmtId="9" fontId="8" fillId="0" borderId="5" xfId="7" applyFont="1" applyFill="1" applyBorder="1" applyAlignment="1" applyProtection="1">
      <alignment horizontal="left"/>
      <protection locked="0"/>
    </xf>
    <xf numFmtId="0" fontId="4" fillId="12" borderId="8" xfId="0" applyFont="1" applyFill="1" applyBorder="1" applyAlignment="1">
      <alignment horizontal="center" vertical="center"/>
    </xf>
    <xf numFmtId="0" fontId="4" fillId="12" borderId="12" xfId="0" applyFont="1" applyFill="1" applyBorder="1" applyAlignment="1">
      <alignment horizontal="center" vertical="center"/>
    </xf>
    <xf numFmtId="0" fontId="8" fillId="5" borderId="1" xfId="3" applyFont="1" applyFill="1" applyBorder="1" applyAlignment="1" applyProtection="1">
      <alignment horizontal="center" vertical="top"/>
      <protection locked="0"/>
    </xf>
    <xf numFmtId="0" fontId="8" fillId="12" borderId="9" xfId="4" applyFont="1" applyFill="1" applyBorder="1" applyAlignment="1">
      <alignment horizontal="center"/>
    </xf>
    <xf numFmtId="0" fontId="8" fillId="12" borderId="8" xfId="4" applyFont="1" applyFill="1" applyBorder="1" applyAlignment="1">
      <alignment horizontal="center"/>
    </xf>
    <xf numFmtId="181" fontId="0" fillId="0" borderId="1" xfId="0" applyNumberFormat="1" applyBorder="1" applyAlignment="1" applyProtection="1">
      <alignment horizontal="center"/>
      <protection locked="0"/>
    </xf>
    <xf numFmtId="0" fontId="10" fillId="0" borderId="37" xfId="5" applyFont="1" applyBorder="1" applyAlignment="1">
      <alignment horizontal="center"/>
    </xf>
    <xf numFmtId="0" fontId="10" fillId="0" borderId="3" xfId="5" applyFont="1" applyBorder="1" applyAlignment="1">
      <alignment horizontal="center"/>
    </xf>
    <xf numFmtId="0" fontId="10" fillId="0" borderId="38" xfId="5" applyFont="1" applyBorder="1" applyAlignment="1">
      <alignment horizontal="center"/>
    </xf>
    <xf numFmtId="0" fontId="10" fillId="12" borderId="37" xfId="3" applyFont="1" applyFill="1" applyBorder="1" applyAlignment="1">
      <alignment horizontal="left" vertical="top"/>
    </xf>
    <xf numFmtId="0" fontId="10" fillId="12" borderId="3" xfId="3" applyFont="1" applyFill="1" applyBorder="1" applyAlignment="1">
      <alignment horizontal="left" vertical="top"/>
    </xf>
    <xf numFmtId="0" fontId="10" fillId="12" borderId="8" xfId="3" applyFont="1" applyFill="1" applyBorder="1" applyAlignment="1">
      <alignment horizontal="left" vertical="top"/>
    </xf>
    <xf numFmtId="0" fontId="10" fillId="12" borderId="38" xfId="3" applyFont="1" applyFill="1" applyBorder="1" applyAlignment="1">
      <alignment horizontal="left" vertical="top"/>
    </xf>
    <xf numFmtId="0" fontId="8" fillId="0" borderId="3" xfId="3" applyFont="1" applyBorder="1" applyAlignment="1" applyProtection="1">
      <alignment horizontal="right" vertical="top"/>
      <protection locked="0"/>
    </xf>
    <xf numFmtId="42" fontId="8" fillId="3" borderId="4" xfId="1" applyNumberFormat="1" applyFont="1" applyFill="1" applyBorder="1" applyAlignment="1" applyProtection="1">
      <alignment horizontal="center" vertical="top"/>
    </xf>
    <xf numFmtId="42" fontId="8" fillId="3" borderId="5" xfId="1" applyNumberFormat="1" applyFont="1" applyFill="1" applyBorder="1" applyAlignment="1" applyProtection="1">
      <alignment horizontal="center" vertical="top"/>
    </xf>
    <xf numFmtId="0" fontId="8" fillId="5" borderId="1" xfId="2" applyNumberFormat="1" applyFont="1" applyFill="1" applyBorder="1" applyAlignment="1" applyProtection="1">
      <alignment horizontal="center"/>
      <protection locked="0"/>
    </xf>
    <xf numFmtId="0" fontId="8" fillId="5" borderId="1" xfId="6" applyNumberFormat="1" applyFont="1" applyFill="1" applyBorder="1" applyAlignment="1" applyProtection="1">
      <alignment horizontal="center"/>
      <protection locked="0"/>
    </xf>
    <xf numFmtId="0" fontId="7" fillId="2" borderId="44" xfId="3" applyFont="1" applyFill="1" applyBorder="1" applyAlignment="1">
      <alignment horizontal="center" vertical="top"/>
    </xf>
    <xf numFmtId="0" fontId="7" fillId="2" borderId="71" xfId="3" applyFont="1" applyFill="1" applyBorder="1" applyAlignment="1">
      <alignment horizontal="center" vertical="top"/>
    </xf>
    <xf numFmtId="0" fontId="7" fillId="2" borderId="50" xfId="3" applyFont="1" applyFill="1" applyBorder="1" applyAlignment="1">
      <alignment horizontal="center" vertical="top"/>
    </xf>
    <xf numFmtId="0" fontId="7" fillId="2" borderId="51" xfId="3" applyFont="1" applyFill="1" applyBorder="1" applyAlignment="1">
      <alignment horizontal="center" vertical="top"/>
    </xf>
    <xf numFmtId="0" fontId="10" fillId="12" borderId="37" xfId="5" applyFont="1" applyFill="1" applyBorder="1" applyAlignment="1">
      <alignment horizontal="left"/>
    </xf>
    <xf numFmtId="0" fontId="10" fillId="12" borderId="3" xfId="5" applyFont="1" applyFill="1" applyBorder="1" applyAlignment="1">
      <alignment horizontal="left"/>
    </xf>
    <xf numFmtId="0" fontId="10" fillId="12" borderId="8" xfId="5" applyFont="1" applyFill="1" applyBorder="1" applyAlignment="1">
      <alignment horizontal="left"/>
    </xf>
    <xf numFmtId="0" fontId="10" fillId="12" borderId="38" xfId="5" applyFont="1" applyFill="1" applyBorder="1" applyAlignment="1">
      <alignment horizontal="left"/>
    </xf>
    <xf numFmtId="0" fontId="10" fillId="0" borderId="37" xfId="3" applyFont="1" applyBorder="1" applyAlignment="1">
      <alignment horizontal="center" vertical="top"/>
    </xf>
    <xf numFmtId="0" fontId="10" fillId="0" borderId="3" xfId="3" applyFont="1" applyBorder="1" applyAlignment="1">
      <alignment horizontal="center" vertical="top"/>
    </xf>
    <xf numFmtId="0" fontId="10" fillId="0" borderId="38" xfId="3" applyFont="1" applyBorder="1" applyAlignment="1">
      <alignment horizontal="center" vertical="top"/>
    </xf>
    <xf numFmtId="0" fontId="8" fillId="12" borderId="31" xfId="3" applyFont="1" applyFill="1" applyBorder="1" applyAlignment="1">
      <alignment horizontal="center" vertical="top" wrapText="1"/>
    </xf>
    <xf numFmtId="0" fontId="8" fillId="12" borderId="13" xfId="3" applyFont="1" applyFill="1" applyBorder="1" applyAlignment="1">
      <alignment horizontal="center" vertical="top" wrapText="1"/>
    </xf>
    <xf numFmtId="0" fontId="8" fillId="12" borderId="49" xfId="3" applyFont="1" applyFill="1" applyBorder="1" applyAlignment="1">
      <alignment horizontal="center" vertical="top" wrapText="1"/>
    </xf>
    <xf numFmtId="0" fontId="8" fillId="12" borderId="10" xfId="3" applyFont="1" applyFill="1" applyBorder="1" applyAlignment="1">
      <alignment horizontal="center" vertical="top" wrapText="1"/>
    </xf>
    <xf numFmtId="0" fontId="8" fillId="12" borderId="1" xfId="3" applyFont="1" applyFill="1" applyBorder="1" applyAlignment="1">
      <alignment horizontal="right" vertical="top"/>
    </xf>
    <xf numFmtId="0" fontId="16" fillId="3" borderId="56" xfId="3" applyFont="1" applyFill="1" applyBorder="1" applyAlignment="1">
      <alignment horizontal="center" vertical="top"/>
    </xf>
    <xf numFmtId="0" fontId="16" fillId="3" borderId="64" xfId="3" applyFont="1" applyFill="1" applyBorder="1" applyAlignment="1">
      <alignment horizontal="center" vertical="top"/>
    </xf>
    <xf numFmtId="0" fontId="16" fillId="3" borderId="57" xfId="3" applyFont="1" applyFill="1" applyBorder="1" applyAlignment="1">
      <alignment horizontal="center" vertical="top"/>
    </xf>
    <xf numFmtId="0" fontId="8" fillId="12" borderId="36" xfId="3" applyFont="1" applyFill="1" applyBorder="1" applyAlignment="1">
      <alignment horizontal="center" vertical="top" wrapText="1"/>
    </xf>
    <xf numFmtId="0" fontId="8" fillId="12" borderId="6" xfId="3" applyFont="1" applyFill="1" applyBorder="1" applyAlignment="1">
      <alignment horizontal="center" vertical="top" wrapText="1"/>
    </xf>
    <xf numFmtId="0" fontId="16" fillId="3" borderId="42" xfId="0" applyFont="1" applyFill="1" applyBorder="1" applyAlignment="1">
      <alignment horizontal="center"/>
    </xf>
    <xf numFmtId="0" fontId="16" fillId="3" borderId="27" xfId="0" applyFont="1" applyFill="1" applyBorder="1" applyAlignment="1">
      <alignment horizontal="center"/>
    </xf>
    <xf numFmtId="0" fontId="16" fillId="3" borderId="43" xfId="0" applyFont="1" applyFill="1" applyBorder="1" applyAlignment="1">
      <alignment horizontal="center"/>
    </xf>
    <xf numFmtId="0" fontId="8" fillId="0" borderId="1" xfId="6" applyNumberFormat="1" applyFont="1" applyBorder="1" applyAlignment="1" applyProtection="1">
      <alignment horizontal="center"/>
      <protection locked="0"/>
    </xf>
    <xf numFmtId="4" fontId="8" fillId="0" borderId="24" xfId="3" applyNumberFormat="1" applyFont="1" applyBorder="1" applyAlignment="1">
      <alignment horizontal="center" vertical="top"/>
    </xf>
    <xf numFmtId="4" fontId="8" fillId="0" borderId="41" xfId="3" applyNumberFormat="1" applyFont="1" applyBorder="1" applyAlignment="1">
      <alignment horizontal="center" vertical="top"/>
    </xf>
    <xf numFmtId="3" fontId="8" fillId="0" borderId="4" xfId="3" applyNumberFormat="1" applyFont="1" applyBorder="1" applyAlignment="1">
      <alignment horizontal="center" vertical="top"/>
    </xf>
    <xf numFmtId="3" fontId="8" fillId="0" borderId="38" xfId="3" applyNumberFormat="1" applyFont="1" applyBorder="1" applyAlignment="1">
      <alignment horizontal="center" vertical="top"/>
    </xf>
    <xf numFmtId="0" fontId="8" fillId="12" borderId="36" xfId="4" applyFont="1" applyFill="1" applyBorder="1" applyAlignment="1">
      <alignment horizontal="right"/>
    </xf>
    <xf numFmtId="4" fontId="8" fillId="0" borderId="4" xfId="3" applyNumberFormat="1" applyFont="1" applyBorder="1" applyAlignment="1">
      <alignment horizontal="center" vertical="top"/>
    </xf>
    <xf numFmtId="4" fontId="8" fillId="0" borderId="38" xfId="3" applyNumberFormat="1" applyFont="1" applyBorder="1" applyAlignment="1">
      <alignment horizontal="center" vertical="top"/>
    </xf>
    <xf numFmtId="0" fontId="8" fillId="0" borderId="4" xfId="3" applyFont="1" applyBorder="1" applyAlignment="1">
      <alignment horizontal="center" vertical="top"/>
    </xf>
    <xf numFmtId="0" fontId="8" fillId="0" borderId="38" xfId="3" applyFont="1" applyBorder="1" applyAlignment="1">
      <alignment horizontal="center" vertical="top"/>
    </xf>
    <xf numFmtId="9" fontId="8" fillId="0" borderId="4" xfId="2" applyFont="1" applyFill="1" applyBorder="1" applyAlignment="1" applyProtection="1">
      <alignment horizontal="center" vertical="top"/>
    </xf>
    <xf numFmtId="9" fontId="8" fillId="0" borderId="38" xfId="2" applyFont="1" applyFill="1" applyBorder="1" applyAlignment="1" applyProtection="1">
      <alignment horizontal="center" vertical="top"/>
    </xf>
    <xf numFmtId="181" fontId="8" fillId="0" borderId="4" xfId="3" applyNumberFormat="1" applyFont="1" applyBorder="1" applyAlignment="1">
      <alignment horizontal="center" vertical="top"/>
    </xf>
    <xf numFmtId="181" fontId="8" fillId="0" borderId="38" xfId="3" applyNumberFormat="1" applyFont="1" applyBorder="1" applyAlignment="1">
      <alignment horizontal="center" vertical="top"/>
    </xf>
    <xf numFmtId="178" fontId="8" fillId="0" borderId="4" xfId="3" applyNumberFormat="1" applyFont="1" applyBorder="1" applyAlignment="1">
      <alignment horizontal="center" vertical="top"/>
    </xf>
    <xf numFmtId="178" fontId="8" fillId="0" borderId="38" xfId="3" applyNumberFormat="1" applyFont="1" applyBorder="1" applyAlignment="1">
      <alignment horizontal="center" vertical="top"/>
    </xf>
    <xf numFmtId="0" fontId="8" fillId="0" borderId="4" xfId="2" applyNumberFormat="1" applyFont="1" applyFill="1" applyBorder="1" applyAlignment="1" applyProtection="1">
      <alignment horizontal="center" vertical="top"/>
    </xf>
    <xf numFmtId="0" fontId="8" fillId="0" borderId="38" xfId="2" applyNumberFormat="1" applyFont="1" applyFill="1" applyBorder="1" applyAlignment="1" applyProtection="1">
      <alignment horizontal="center" vertical="top"/>
    </xf>
    <xf numFmtId="0" fontId="8" fillId="0" borderId="1" xfId="3" applyFont="1" applyBorder="1" applyAlignment="1">
      <alignment horizontal="center" vertical="top"/>
    </xf>
    <xf numFmtId="0" fontId="8" fillId="0" borderId="39" xfId="3" applyFont="1" applyBorder="1" applyAlignment="1">
      <alignment horizontal="center" vertical="top"/>
    </xf>
    <xf numFmtId="9" fontId="8" fillId="0" borderId="1" xfId="2" applyFont="1" applyFill="1" applyBorder="1" applyAlignment="1" applyProtection="1">
      <alignment horizontal="center" vertical="top"/>
    </xf>
    <xf numFmtId="9" fontId="8" fillId="0" borderId="39" xfId="2" applyFont="1" applyFill="1" applyBorder="1" applyAlignment="1" applyProtection="1">
      <alignment horizontal="center" vertical="top"/>
    </xf>
    <xf numFmtId="0" fontId="8" fillId="12" borderId="42" xfId="4" applyFont="1" applyFill="1" applyBorder="1" applyAlignment="1">
      <alignment horizontal="right"/>
    </xf>
    <xf numFmtId="4" fontId="8" fillId="0" borderId="28" xfId="3" applyNumberFormat="1" applyFont="1" applyBorder="1" applyAlignment="1">
      <alignment horizontal="center" vertical="top"/>
    </xf>
    <xf numFmtId="4" fontId="8" fillId="0" borderId="48" xfId="3" applyNumberFormat="1" applyFont="1" applyBorder="1" applyAlignment="1">
      <alignment horizontal="center" vertical="top"/>
    </xf>
    <xf numFmtId="0" fontId="8" fillId="12" borderId="29" xfId="4" applyFont="1" applyFill="1" applyBorder="1" applyAlignment="1">
      <alignment horizontal="center"/>
    </xf>
    <xf numFmtId="0" fontId="8" fillId="12" borderId="19" xfId="4" applyFont="1" applyFill="1" applyBorder="1" applyAlignment="1">
      <alignment horizontal="center"/>
    </xf>
    <xf numFmtId="0" fontId="8" fillId="0" borderId="50" xfId="3" applyFont="1" applyBorder="1" applyAlignment="1">
      <alignment horizontal="center" vertical="top"/>
    </xf>
    <xf numFmtId="0" fontId="8" fillId="0" borderId="51" xfId="3" applyFont="1" applyBorder="1" applyAlignment="1">
      <alignment horizontal="center" vertical="top"/>
    </xf>
    <xf numFmtId="0" fontId="8" fillId="12" borderId="3" xfId="3" applyFont="1" applyFill="1" applyBorder="1" applyAlignment="1">
      <alignment horizontal="right" vertical="top"/>
    </xf>
    <xf numFmtId="0" fontId="39" fillId="2" borderId="29" xfId="3" applyFont="1" applyFill="1" applyBorder="1" applyAlignment="1">
      <alignment horizontal="center" vertical="top"/>
    </xf>
    <xf numFmtId="0" fontId="39" fillId="2" borderId="19" xfId="3" applyFont="1" applyFill="1" applyBorder="1" applyAlignment="1">
      <alignment horizontal="center" vertical="top"/>
    </xf>
    <xf numFmtId="0" fontId="39" fillId="2" borderId="30" xfId="3" applyFont="1" applyFill="1" applyBorder="1" applyAlignment="1">
      <alignment horizontal="center" vertical="top"/>
    </xf>
    <xf numFmtId="0" fontId="39" fillId="2" borderId="36" xfId="3" applyFont="1" applyFill="1" applyBorder="1" applyAlignment="1">
      <alignment horizontal="center" vertical="top"/>
    </xf>
    <xf numFmtId="0" fontId="39" fillId="2" borderId="0" xfId="3" applyFont="1" applyFill="1" applyAlignment="1">
      <alignment horizontal="center" vertical="top"/>
    </xf>
    <xf numFmtId="0" fontId="39" fillId="2" borderId="34" xfId="3" applyFont="1" applyFill="1" applyBorder="1" applyAlignment="1">
      <alignment horizontal="center" vertical="top"/>
    </xf>
    <xf numFmtId="0" fontId="8" fillId="8" borderId="31" xfId="3" applyFont="1" applyFill="1" applyBorder="1" applyAlignment="1">
      <alignment horizontal="right" vertical="top"/>
    </xf>
    <xf numFmtId="0" fontId="8" fillId="8" borderId="13" xfId="3" applyFont="1" applyFill="1" applyBorder="1" applyAlignment="1">
      <alignment horizontal="right" vertical="top"/>
    </xf>
    <xf numFmtId="0" fontId="12" fillId="0" borderId="0" xfId="4" applyFont="1" applyFill="1" applyAlignment="1" applyProtection="1">
      <alignment horizontal="left"/>
    </xf>
    <xf numFmtId="0" fontId="8" fillId="0" borderId="50" xfId="3" applyFont="1" applyBorder="1" applyAlignment="1" applyProtection="1">
      <alignment horizontal="center" vertical="top"/>
      <protection locked="0"/>
    </xf>
    <xf numFmtId="0" fontId="8" fillId="0" borderId="51" xfId="3" applyFont="1" applyBorder="1" applyAlignment="1" applyProtection="1">
      <alignment horizontal="center" vertical="top"/>
      <protection locked="0"/>
    </xf>
    <xf numFmtId="4" fontId="8" fillId="0" borderId="1" xfId="3" applyNumberFormat="1" applyFont="1" applyBorder="1" applyAlignment="1">
      <alignment horizontal="center" vertical="top"/>
    </xf>
    <xf numFmtId="4" fontId="8" fillId="0" borderId="39" xfId="3" applyNumberFormat="1" applyFont="1" applyBorder="1" applyAlignment="1">
      <alignment horizontal="center" vertical="top"/>
    </xf>
    <xf numFmtId="178" fontId="8" fillId="0" borderId="1" xfId="3" applyNumberFormat="1" applyFont="1" applyBorder="1" applyAlignment="1">
      <alignment horizontal="center" vertical="top"/>
    </xf>
    <xf numFmtId="0" fontId="8" fillId="0" borderId="1" xfId="2" applyNumberFormat="1" applyFont="1" applyFill="1" applyBorder="1" applyAlignment="1" applyProtection="1">
      <alignment horizontal="center" vertical="top"/>
    </xf>
    <xf numFmtId="0" fontId="8" fillId="0" borderId="39" xfId="2" applyNumberFormat="1" applyFont="1" applyFill="1" applyBorder="1" applyAlignment="1" applyProtection="1">
      <alignment horizontal="center" vertical="top"/>
    </xf>
    <xf numFmtId="10" fontId="8" fillId="0" borderId="1" xfId="2" applyNumberFormat="1" applyFont="1" applyFill="1" applyBorder="1" applyAlignment="1" applyProtection="1">
      <alignment horizontal="center" vertical="top"/>
    </xf>
    <xf numFmtId="10" fontId="8" fillId="0" borderId="39" xfId="2" applyNumberFormat="1" applyFont="1" applyFill="1" applyBorder="1" applyAlignment="1" applyProtection="1">
      <alignment horizontal="center" vertical="top"/>
    </xf>
    <xf numFmtId="0" fontId="8" fillId="8" borderId="37" xfId="3" applyFont="1" applyFill="1" applyBorder="1" applyAlignment="1">
      <alignment horizontal="right" vertical="top"/>
    </xf>
    <xf numFmtId="0" fontId="8" fillId="8" borderId="5" xfId="3" applyFont="1" applyFill="1" applyBorder="1" applyAlignment="1">
      <alignment horizontal="right" vertical="top"/>
    </xf>
    <xf numFmtId="3" fontId="8" fillId="0" borderId="1" xfId="3" applyNumberFormat="1" applyFont="1" applyBorder="1" applyAlignment="1">
      <alignment horizontal="center" vertical="top"/>
    </xf>
    <xf numFmtId="3" fontId="8" fillId="0" borderId="39" xfId="3" applyNumberFormat="1" applyFont="1" applyBorder="1" applyAlignment="1">
      <alignment horizontal="center" vertical="top"/>
    </xf>
    <xf numFmtId="181" fontId="8" fillId="0" borderId="1" xfId="3" applyNumberFormat="1" applyFont="1" applyBorder="1" applyAlignment="1">
      <alignment horizontal="center" vertical="top"/>
    </xf>
    <xf numFmtId="181" fontId="8" fillId="0" borderId="39" xfId="3" applyNumberFormat="1" applyFont="1" applyBorder="1" applyAlignment="1">
      <alignment horizontal="center" vertical="top"/>
    </xf>
    <xf numFmtId="0" fontId="8" fillId="12" borderId="37" xfId="5" applyFont="1" applyFill="1" applyBorder="1" applyAlignment="1">
      <alignment horizontal="right"/>
    </xf>
    <xf numFmtId="0" fontId="8" fillId="12" borderId="5" xfId="5" applyFont="1" applyFill="1" applyBorder="1" applyAlignment="1">
      <alignment horizontal="right"/>
    </xf>
    <xf numFmtId="0" fontId="10" fillId="12" borderId="40" xfId="3" applyFont="1" applyFill="1" applyBorder="1" applyAlignment="1">
      <alignment horizontal="right" vertical="top"/>
    </xf>
    <xf numFmtId="0" fontId="10" fillId="12" borderId="26" xfId="3" applyFont="1" applyFill="1" applyBorder="1" applyAlignment="1">
      <alignment horizontal="right" vertical="top"/>
    </xf>
    <xf numFmtId="0" fontId="0" fillId="0" borderId="0" xfId="0" applyAlignment="1">
      <alignment horizontal="left"/>
    </xf>
    <xf numFmtId="0" fontId="0" fillId="0" borderId="0" xfId="0" applyAlignment="1">
      <alignment horizontal="left" wrapText="1"/>
    </xf>
    <xf numFmtId="0" fontId="55" fillId="0" borderId="0" xfId="0" applyFont="1" applyAlignment="1">
      <alignment horizontal="center" wrapText="1"/>
    </xf>
    <xf numFmtId="0" fontId="55" fillId="0" borderId="0" xfId="0" applyFont="1" applyAlignment="1">
      <alignment horizontal="center"/>
    </xf>
    <xf numFmtId="6" fontId="65" fillId="12" borderId="0" xfId="0" applyNumberFormat="1" applyFont="1" applyFill="1" applyAlignment="1">
      <alignment horizontal="center" vertical="center"/>
    </xf>
    <xf numFmtId="0" fontId="65" fillId="12" borderId="0" xfId="0" applyFont="1" applyFill="1" applyAlignment="1">
      <alignment horizontal="center" vertical="center"/>
    </xf>
    <xf numFmtId="0" fontId="65" fillId="12" borderId="34" xfId="0" applyFont="1" applyFill="1" applyBorder="1" applyAlignment="1">
      <alignment horizontal="center" vertical="center"/>
    </xf>
    <xf numFmtId="0" fontId="4" fillId="12" borderId="56" xfId="0" applyFont="1" applyFill="1" applyBorder="1" applyAlignment="1">
      <alignment horizontal="center"/>
    </xf>
    <xf numFmtId="0" fontId="4" fillId="12" borderId="57" xfId="0" applyFont="1" applyFill="1" applyBorder="1" applyAlignment="1">
      <alignment horizontal="center"/>
    </xf>
    <xf numFmtId="0" fontId="0" fillId="12" borderId="34" xfId="0" applyFill="1" applyBorder="1" applyAlignment="1">
      <alignment horizontal="center"/>
    </xf>
    <xf numFmtId="0" fontId="8" fillId="12" borderId="36" xfId="0" applyFont="1" applyFill="1" applyBorder="1" applyAlignment="1">
      <alignment horizontal="center"/>
    </xf>
    <xf numFmtId="0" fontId="8" fillId="12" borderId="0" xfId="0" applyFont="1" applyFill="1" applyAlignment="1">
      <alignment horizontal="center"/>
    </xf>
    <xf numFmtId="0" fontId="8" fillId="12" borderId="34" xfId="0" applyFont="1" applyFill="1" applyBorder="1" applyAlignment="1">
      <alignment horizontal="center"/>
    </xf>
    <xf numFmtId="0" fontId="18" fillId="12" borderId="4" xfId="5" applyFont="1" applyFill="1" applyBorder="1" applyAlignment="1">
      <alignment horizontal="left"/>
    </xf>
    <xf numFmtId="0" fontId="18" fillId="12" borderId="5" xfId="5" applyFont="1" applyFill="1" applyBorder="1" applyAlignment="1">
      <alignment horizontal="left"/>
    </xf>
    <xf numFmtId="0" fontId="18" fillId="0" borderId="29" xfId="5" applyFont="1" applyBorder="1" applyAlignment="1" applyProtection="1">
      <alignment horizontal="left" wrapText="1"/>
      <protection locked="0"/>
    </xf>
    <xf numFmtId="0" fontId="18" fillId="0" borderId="19" xfId="5" applyFont="1" applyBorder="1" applyAlignment="1" applyProtection="1">
      <alignment horizontal="left" wrapText="1"/>
      <protection locked="0"/>
    </xf>
    <xf numFmtId="0" fontId="18" fillId="0" borderId="30" xfId="5" applyFont="1" applyBorder="1" applyAlignment="1" applyProtection="1">
      <alignment horizontal="left" wrapText="1"/>
      <protection locked="0"/>
    </xf>
    <xf numFmtId="165" fontId="18" fillId="12" borderId="0" xfId="9" applyNumberFormat="1" applyFont="1" applyFill="1" applyBorder="1" applyAlignment="1">
      <alignment horizontal="center" wrapText="1"/>
    </xf>
    <xf numFmtId="0" fontId="25" fillId="0" borderId="37" xfId="5" applyFont="1" applyBorder="1" applyAlignment="1" applyProtection="1">
      <alignment horizontal="left" wrapText="1"/>
      <protection locked="0"/>
    </xf>
    <xf numFmtId="0" fontId="25" fillId="0" borderId="3" xfId="5" applyFont="1" applyBorder="1" applyAlignment="1" applyProtection="1">
      <alignment horizontal="left" wrapText="1"/>
      <protection locked="0"/>
    </xf>
    <xf numFmtId="0" fontId="25" fillId="0" borderId="38" xfId="5" applyFont="1" applyBorder="1" applyAlignment="1" applyProtection="1">
      <alignment horizontal="left" wrapText="1"/>
      <protection locked="0"/>
    </xf>
    <xf numFmtId="0" fontId="29" fillId="3" borderId="29" xfId="5" applyFont="1" applyFill="1" applyBorder="1" applyAlignment="1">
      <alignment horizontal="center" wrapText="1"/>
    </xf>
    <xf numFmtId="0" fontId="29" fillId="3" borderId="19" xfId="5" applyFont="1" applyFill="1" applyBorder="1" applyAlignment="1">
      <alignment horizontal="center" wrapText="1"/>
    </xf>
    <xf numFmtId="0" fontId="29" fillId="3" borderId="30" xfId="5" applyFont="1" applyFill="1" applyBorder="1" applyAlignment="1">
      <alignment horizontal="center" wrapText="1"/>
    </xf>
    <xf numFmtId="0" fontId="20" fillId="2" borderId="36" xfId="5" applyFont="1" applyFill="1" applyBorder="1" applyAlignment="1">
      <alignment horizontal="center" wrapText="1"/>
    </xf>
    <xf numFmtId="0" fontId="20" fillId="2" borderId="0" xfId="5" applyFont="1" applyFill="1" applyAlignment="1">
      <alignment horizontal="center" wrapText="1"/>
    </xf>
    <xf numFmtId="0" fontId="20" fillId="2" borderId="34" xfId="5" applyFont="1" applyFill="1" applyBorder="1" applyAlignment="1">
      <alignment horizontal="center" wrapText="1"/>
    </xf>
    <xf numFmtId="0" fontId="24" fillId="12" borderId="0" xfId="5" applyFont="1" applyFill="1" applyAlignment="1">
      <alignment horizontal="right" wrapText="1"/>
    </xf>
    <xf numFmtId="165" fontId="18" fillId="9" borderId="27" xfId="9" applyNumberFormat="1" applyFont="1" applyFill="1" applyBorder="1" applyAlignment="1">
      <alignment horizontal="center" wrapText="1"/>
    </xf>
    <xf numFmtId="0" fontId="18" fillId="0" borderId="42" xfId="5" applyFont="1" applyBorder="1" applyAlignment="1" applyProtection="1">
      <alignment horizontal="left" vertical="top" wrapText="1"/>
      <protection locked="0"/>
    </xf>
    <xf numFmtId="0" fontId="18" fillId="0" borderId="27" xfId="5" applyFont="1" applyBorder="1" applyAlignment="1" applyProtection="1">
      <alignment horizontal="left" vertical="top" wrapText="1"/>
      <protection locked="0"/>
    </xf>
    <xf numFmtId="0" fontId="18" fillId="0" borderId="43" xfId="5" applyFont="1" applyBorder="1" applyAlignment="1" applyProtection="1">
      <alignment horizontal="left" vertical="top" wrapText="1"/>
      <protection locked="0"/>
    </xf>
    <xf numFmtId="0" fontId="18" fillId="0" borderId="4" xfId="7" applyNumberFormat="1" applyFont="1" applyBorder="1" applyAlignment="1" applyProtection="1">
      <alignment horizontal="left"/>
      <protection locked="0"/>
    </xf>
    <xf numFmtId="0" fontId="18" fillId="0" borderId="5" xfId="7" applyNumberFormat="1" applyFont="1" applyBorder="1" applyAlignment="1" applyProtection="1">
      <alignment horizontal="left"/>
      <protection locked="0"/>
    </xf>
    <xf numFmtId="0" fontId="18" fillId="0" borderId="4" xfId="5" applyFont="1" applyBorder="1" applyAlignment="1" applyProtection="1">
      <alignment horizontal="left" vertical="top" wrapText="1"/>
      <protection locked="0"/>
    </xf>
    <xf numFmtId="0" fontId="18" fillId="0" borderId="3" xfId="5" applyFont="1" applyBorder="1" applyAlignment="1" applyProtection="1">
      <alignment horizontal="left" vertical="top" wrapText="1"/>
      <protection locked="0"/>
    </xf>
    <xf numFmtId="0" fontId="18" fillId="0" borderId="5" xfId="5" applyFont="1" applyBorder="1" applyAlignment="1" applyProtection="1">
      <alignment horizontal="left" vertical="top" wrapText="1"/>
      <protection locked="0"/>
    </xf>
    <xf numFmtId="0" fontId="20" fillId="2" borderId="56" xfId="5" applyFont="1" applyFill="1" applyBorder="1" applyAlignment="1">
      <alignment horizontal="center" wrapText="1"/>
    </xf>
    <xf numFmtId="0" fontId="20" fillId="2" borderId="64" xfId="5" applyFont="1" applyFill="1" applyBorder="1" applyAlignment="1">
      <alignment horizontal="center" wrapText="1"/>
    </xf>
    <xf numFmtId="0" fontId="20" fillId="2" borderId="57" xfId="5" applyFont="1" applyFill="1" applyBorder="1" applyAlignment="1">
      <alignment horizontal="center" wrapText="1"/>
    </xf>
    <xf numFmtId="0" fontId="17" fillId="0" borderId="4" xfId="5" applyFont="1" applyBorder="1" applyAlignment="1" applyProtection="1">
      <alignment horizontal="left" wrapText="1"/>
      <protection locked="0"/>
    </xf>
    <xf numFmtId="0" fontId="17" fillId="0" borderId="3" xfId="5" applyFont="1" applyBorder="1" applyAlignment="1" applyProtection="1">
      <alignment horizontal="left" wrapText="1"/>
      <protection locked="0"/>
    </xf>
    <xf numFmtId="0" fontId="17" fillId="0" borderId="38" xfId="5" applyFont="1" applyBorder="1" applyAlignment="1" applyProtection="1">
      <alignment horizontal="left" wrapText="1"/>
      <protection locked="0"/>
    </xf>
    <xf numFmtId="165" fontId="18" fillId="12" borderId="2" xfId="9" applyNumberFormat="1" applyFont="1" applyFill="1" applyBorder="1" applyAlignment="1" applyProtection="1">
      <alignment horizontal="right"/>
      <protection locked="0"/>
    </xf>
    <xf numFmtId="165" fontId="18" fillId="12" borderId="6" xfId="9" applyNumberFormat="1" applyFont="1" applyFill="1" applyBorder="1" applyAlignment="1" applyProtection="1">
      <alignment horizontal="right"/>
      <protection locked="0"/>
    </xf>
    <xf numFmtId="0" fontId="18" fillId="0" borderId="56" xfId="5" applyFont="1" applyBorder="1" applyAlignment="1" applyProtection="1">
      <alignment horizontal="left" vertical="top" wrapText="1"/>
      <protection locked="0"/>
    </xf>
    <xf numFmtId="0" fontId="18" fillId="0" borderId="64" xfId="5" quotePrefix="1" applyFont="1" applyBorder="1" applyAlignment="1" applyProtection="1">
      <alignment horizontal="left" vertical="top" wrapText="1"/>
      <protection locked="0"/>
    </xf>
    <xf numFmtId="0" fontId="18" fillId="0" borderId="57" xfId="5" quotePrefix="1" applyFont="1" applyBorder="1" applyAlignment="1" applyProtection="1">
      <alignment horizontal="left" vertical="top" wrapText="1"/>
      <protection locked="0"/>
    </xf>
    <xf numFmtId="0" fontId="18" fillId="0" borderId="72" xfId="5" applyFont="1" applyBorder="1" applyAlignment="1" applyProtection="1">
      <alignment horizontal="left" vertical="top" wrapText="1"/>
      <protection locked="0"/>
    </xf>
    <xf numFmtId="0" fontId="18" fillId="0" borderId="68" xfId="5" applyFont="1" applyBorder="1" applyAlignment="1" applyProtection="1">
      <alignment horizontal="left" vertical="top" wrapText="1"/>
      <protection locked="0"/>
    </xf>
    <xf numFmtId="0" fontId="18" fillId="0" borderId="71" xfId="5" applyFont="1" applyBorder="1" applyAlignment="1" applyProtection="1">
      <alignment horizontal="left" vertical="top" wrapText="1"/>
      <protection locked="0"/>
    </xf>
    <xf numFmtId="0" fontId="18" fillId="12" borderId="19" xfId="5" applyFont="1" applyFill="1" applyBorder="1" applyAlignment="1">
      <alignment horizontal="left"/>
    </xf>
    <xf numFmtId="0" fontId="20" fillId="2" borderId="31" xfId="5" applyFont="1" applyFill="1" applyBorder="1" applyAlignment="1">
      <alignment horizontal="center" wrapText="1"/>
    </xf>
    <xf numFmtId="0" fontId="20" fillId="2" borderId="12" xfId="5" applyFont="1" applyFill="1" applyBorder="1" applyAlignment="1">
      <alignment horizontal="center" wrapText="1"/>
    </xf>
    <xf numFmtId="0" fontId="20" fillId="2" borderId="32" xfId="5" applyFont="1" applyFill="1" applyBorder="1" applyAlignment="1">
      <alignment horizontal="center" wrapText="1"/>
    </xf>
    <xf numFmtId="0" fontId="18" fillId="5" borderId="4" xfId="5" applyFont="1" applyFill="1" applyBorder="1" applyAlignment="1" applyProtection="1">
      <alignment horizontal="center"/>
      <protection locked="0"/>
    </xf>
    <xf numFmtId="0" fontId="18" fillId="5" borderId="3" xfId="5" applyFont="1" applyFill="1" applyBorder="1" applyAlignment="1" applyProtection="1">
      <alignment horizontal="center"/>
      <protection locked="0"/>
    </xf>
    <xf numFmtId="0" fontId="18" fillId="5" borderId="5" xfId="5" applyFont="1" applyFill="1" applyBorder="1" applyAlignment="1" applyProtection="1">
      <alignment horizontal="center"/>
      <protection locked="0"/>
    </xf>
    <xf numFmtId="6" fontId="65" fillId="12" borderId="2" xfId="0" applyNumberFormat="1" applyFont="1" applyFill="1" applyBorder="1" applyAlignment="1">
      <alignment horizontal="center" vertical="center"/>
    </xf>
    <xf numFmtId="6" fontId="65" fillId="12" borderId="34" xfId="0" applyNumberFormat="1" applyFont="1" applyFill="1" applyBorder="1" applyAlignment="1">
      <alignment horizontal="center" vertical="center"/>
    </xf>
    <xf numFmtId="0" fontId="18" fillId="0" borderId="42" xfId="5" applyFont="1" applyBorder="1" applyAlignment="1">
      <alignment horizontal="left" vertical="top" wrapText="1"/>
    </xf>
    <xf numFmtId="0" fontId="18" fillId="0" borderId="27" xfId="5" applyFont="1" applyBorder="1" applyAlignment="1">
      <alignment horizontal="left" vertical="top" wrapText="1"/>
    </xf>
    <xf numFmtId="0" fontId="18" fillId="0" borderId="43" xfId="5" applyFont="1" applyBorder="1" applyAlignment="1">
      <alignment horizontal="left" vertical="top" wrapText="1"/>
    </xf>
    <xf numFmtId="0" fontId="18" fillId="12" borderId="37" xfId="10" applyFont="1" applyFill="1" applyBorder="1" applyAlignment="1">
      <alignment horizontal="center" vertical="top"/>
    </xf>
    <xf numFmtId="0" fontId="18" fillId="12" borderId="3" xfId="10" applyFont="1" applyFill="1" applyBorder="1" applyAlignment="1">
      <alignment horizontal="center" vertical="top"/>
    </xf>
    <xf numFmtId="0" fontId="18" fillId="12" borderId="38" xfId="10" applyFont="1" applyFill="1" applyBorder="1" applyAlignment="1">
      <alignment horizontal="center" vertical="top"/>
    </xf>
    <xf numFmtId="0" fontId="18" fillId="12" borderId="31" xfId="10" applyFont="1" applyFill="1" applyBorder="1" applyAlignment="1">
      <alignment horizontal="center" vertical="top"/>
    </xf>
    <xf numFmtId="0" fontId="18" fillId="12" borderId="12" xfId="10" applyFont="1" applyFill="1" applyBorder="1" applyAlignment="1">
      <alignment horizontal="center" vertical="top"/>
    </xf>
    <xf numFmtId="0" fontId="18" fillId="12" borderId="32" xfId="10" applyFont="1" applyFill="1" applyBorder="1" applyAlignment="1">
      <alignment horizontal="center" vertical="top"/>
    </xf>
    <xf numFmtId="0" fontId="18" fillId="0" borderId="37" xfId="10" applyFont="1" applyBorder="1" applyAlignment="1" applyProtection="1">
      <alignment vertical="top" wrapText="1"/>
      <protection locked="0"/>
    </xf>
    <xf numFmtId="0" fontId="18" fillId="0" borderId="3" xfId="10" applyFont="1" applyBorder="1" applyAlignment="1" applyProtection="1">
      <alignment vertical="top" wrapText="1"/>
      <protection locked="0"/>
    </xf>
    <xf numFmtId="0" fontId="18" fillId="0" borderId="38" xfId="10" applyFont="1" applyBorder="1" applyAlignment="1" applyProtection="1">
      <alignment vertical="top" wrapText="1"/>
      <protection locked="0"/>
    </xf>
    <xf numFmtId="0" fontId="20" fillId="2" borderId="37" xfId="10" applyFont="1" applyFill="1" applyBorder="1" applyAlignment="1">
      <alignment horizontal="center" vertical="top"/>
    </xf>
    <xf numFmtId="0" fontId="20" fillId="2" borderId="3" xfId="10" applyFont="1" applyFill="1" applyBorder="1" applyAlignment="1">
      <alignment horizontal="center" vertical="top"/>
    </xf>
    <xf numFmtId="0" fontId="20" fillId="2" borderId="38" xfId="10" applyFont="1" applyFill="1" applyBorder="1" applyAlignment="1">
      <alignment horizontal="center" vertical="top"/>
    </xf>
    <xf numFmtId="0" fontId="17" fillId="12" borderId="0" xfId="10" applyFont="1" applyFill="1" applyAlignment="1">
      <alignment horizontal="center" vertical="top" wrapText="1"/>
    </xf>
    <xf numFmtId="0" fontId="17" fillId="12" borderId="34" xfId="10" applyFont="1" applyFill="1" applyBorder="1" applyAlignment="1">
      <alignment horizontal="center" vertical="top" wrapText="1"/>
    </xf>
    <xf numFmtId="0" fontId="18" fillId="0" borderId="40" xfId="10" applyFont="1" applyBorder="1" applyAlignment="1" applyProtection="1">
      <alignment vertical="top" wrapText="1"/>
      <protection locked="0"/>
    </xf>
    <xf numFmtId="0" fontId="18" fillId="0" borderId="25" xfId="10" applyFont="1" applyBorder="1" applyAlignment="1" applyProtection="1">
      <alignment vertical="top" wrapText="1"/>
      <protection locked="0"/>
    </xf>
    <xf numFmtId="0" fontId="18" fillId="0" borderId="41" xfId="10" applyFont="1" applyBorder="1" applyAlignment="1" applyProtection="1">
      <alignment vertical="top" wrapText="1"/>
      <protection locked="0"/>
    </xf>
    <xf numFmtId="0" fontId="18" fillId="0" borderId="4" xfId="10" applyFont="1" applyBorder="1" applyAlignment="1" applyProtection="1">
      <alignment horizontal="center" vertical="top"/>
      <protection locked="0"/>
    </xf>
    <xf numFmtId="0" fontId="18" fillId="0" borderId="3" xfId="10" applyFont="1" applyBorder="1" applyAlignment="1" applyProtection="1">
      <alignment horizontal="center" vertical="top"/>
      <protection locked="0"/>
    </xf>
    <xf numFmtId="0" fontId="18" fillId="0" borderId="5" xfId="10" applyFont="1" applyBorder="1" applyAlignment="1" applyProtection="1">
      <alignment horizontal="center" vertical="top"/>
      <protection locked="0"/>
    </xf>
    <xf numFmtId="0" fontId="22" fillId="3" borderId="29" xfId="10" applyFont="1" applyFill="1" applyBorder="1" applyAlignment="1">
      <alignment horizontal="center" vertical="top"/>
    </xf>
    <xf numFmtId="0" fontId="22" fillId="3" borderId="19" xfId="10" applyFont="1" applyFill="1" applyBorder="1" applyAlignment="1">
      <alignment horizontal="center" vertical="top"/>
    </xf>
    <xf numFmtId="0" fontId="22" fillId="3" borderId="30" xfId="10" applyFont="1" applyFill="1" applyBorder="1" applyAlignment="1">
      <alignment horizontal="center" vertical="top"/>
    </xf>
    <xf numFmtId="0" fontId="20" fillId="2" borderId="31" xfId="10" applyFont="1" applyFill="1" applyBorder="1" applyAlignment="1">
      <alignment horizontal="center" vertical="top"/>
    </xf>
    <xf numFmtId="0" fontId="20" fillId="2" borderId="12" xfId="10" applyFont="1" applyFill="1" applyBorder="1" applyAlignment="1">
      <alignment horizontal="center" vertical="top"/>
    </xf>
    <xf numFmtId="0" fontId="20" fillId="2" borderId="32" xfId="10" applyFont="1" applyFill="1" applyBorder="1" applyAlignment="1">
      <alignment horizontal="center" vertical="top"/>
    </xf>
    <xf numFmtId="0" fontId="18" fillId="12" borderId="33" xfId="10" applyFont="1" applyFill="1" applyBorder="1" applyAlignment="1">
      <alignment vertical="top" wrapText="1"/>
    </xf>
    <xf numFmtId="0" fontId="18" fillId="12" borderId="35" xfId="10" applyFont="1" applyFill="1" applyBorder="1" applyAlignment="1">
      <alignment vertical="top" wrapText="1"/>
    </xf>
    <xf numFmtId="0" fontId="18" fillId="12" borderId="36" xfId="10" applyFont="1" applyFill="1" applyBorder="1" applyAlignment="1">
      <alignment vertical="top" wrapText="1"/>
    </xf>
    <xf numFmtId="0" fontId="18" fillId="12" borderId="0" xfId="10" applyFont="1" applyFill="1" applyAlignment="1">
      <alignment vertical="top" wrapText="1"/>
    </xf>
    <xf numFmtId="0" fontId="18" fillId="12" borderId="34" xfId="10" applyFont="1" applyFill="1" applyBorder="1" applyAlignment="1">
      <alignment horizontal="center" wrapText="1"/>
    </xf>
    <xf numFmtId="0" fontId="18" fillId="12" borderId="15" xfId="10" applyFont="1" applyFill="1" applyBorder="1" applyAlignment="1">
      <alignment horizontal="center" wrapText="1"/>
    </xf>
    <xf numFmtId="0" fontId="18" fillId="12" borderId="14" xfId="10" applyFont="1" applyFill="1" applyBorder="1" applyAlignment="1">
      <alignment horizontal="center" wrapText="1"/>
    </xf>
    <xf numFmtId="6" fontId="18" fillId="12" borderId="7" xfId="10" applyNumberFormat="1" applyFont="1" applyFill="1" applyBorder="1" applyAlignment="1">
      <alignment horizontal="center" vertical="top" wrapText="1"/>
    </xf>
    <xf numFmtId="6" fontId="18" fillId="12" borderId="15" xfId="10" applyNumberFormat="1" applyFont="1" applyFill="1" applyBorder="1" applyAlignment="1">
      <alignment horizontal="center" vertical="top" wrapText="1"/>
    </xf>
    <xf numFmtId="6" fontId="18" fillId="12" borderId="14" xfId="10" applyNumberFormat="1" applyFont="1" applyFill="1" applyBorder="1" applyAlignment="1">
      <alignment horizontal="center" vertical="top" wrapText="1"/>
    </xf>
    <xf numFmtId="0" fontId="18" fillId="12" borderId="7" xfId="10" applyFont="1" applyFill="1" applyBorder="1" applyAlignment="1">
      <alignment horizontal="center" vertical="top"/>
    </xf>
    <xf numFmtId="0" fontId="18" fillId="12" borderId="15" xfId="10" applyFont="1" applyFill="1" applyBorder="1" applyAlignment="1">
      <alignment horizontal="center" vertical="top"/>
    </xf>
    <xf numFmtId="0" fontId="18" fillId="12" borderId="14" xfId="10" applyFont="1" applyFill="1" applyBorder="1" applyAlignment="1">
      <alignment horizontal="center" vertical="top"/>
    </xf>
    <xf numFmtId="0" fontId="0" fillId="0" borderId="19" xfId="0" applyBorder="1" applyAlignment="1">
      <alignment horizontal="center" wrapText="1"/>
    </xf>
    <xf numFmtId="0" fontId="22" fillId="3" borderId="29" xfId="10" applyFont="1" applyFill="1" applyBorder="1" applyAlignment="1">
      <alignment horizontal="center"/>
    </xf>
    <xf numFmtId="0" fontId="22" fillId="3" borderId="19" xfId="10" applyFont="1" applyFill="1" applyBorder="1" applyAlignment="1">
      <alignment horizontal="center"/>
    </xf>
    <xf numFmtId="0" fontId="22" fillId="3" borderId="30" xfId="10" applyFont="1" applyFill="1" applyBorder="1" applyAlignment="1">
      <alignment horizontal="center"/>
    </xf>
    <xf numFmtId="0" fontId="17" fillId="12" borderId="37" xfId="10" applyFont="1" applyFill="1" applyBorder="1" applyAlignment="1">
      <alignment horizontal="center"/>
    </xf>
    <xf numFmtId="0" fontId="17" fillId="12" borderId="3" xfId="10" applyFont="1" applyFill="1" applyBorder="1" applyAlignment="1">
      <alignment horizontal="center"/>
    </xf>
    <xf numFmtId="0" fontId="17" fillId="12" borderId="38" xfId="10" applyFont="1" applyFill="1" applyBorder="1" applyAlignment="1">
      <alignment horizontal="center"/>
    </xf>
    <xf numFmtId="0" fontId="16" fillId="3" borderId="56" xfId="0" applyFont="1" applyFill="1" applyBorder="1" applyAlignment="1">
      <alignment horizontal="center"/>
    </xf>
    <xf numFmtId="0" fontId="16" fillId="3" borderId="64" xfId="0" applyFont="1" applyFill="1" applyBorder="1" applyAlignment="1">
      <alignment horizontal="center"/>
    </xf>
    <xf numFmtId="0" fontId="16" fillId="3" borderId="57" xfId="0" applyFont="1" applyFill="1" applyBorder="1" applyAlignment="1">
      <alignment horizontal="center"/>
    </xf>
    <xf numFmtId="166" fontId="18" fillId="0" borderId="7" xfId="10" applyNumberFormat="1" applyFont="1" applyBorder="1" applyAlignment="1" applyProtection="1">
      <alignment horizontal="center" wrapText="1"/>
      <protection locked="0"/>
    </xf>
    <xf numFmtId="166" fontId="18" fillId="0" borderId="14" xfId="10" applyNumberFormat="1" applyFont="1" applyBorder="1" applyAlignment="1" applyProtection="1">
      <alignment horizontal="center" wrapText="1"/>
      <protection locked="0"/>
    </xf>
    <xf numFmtId="166" fontId="18" fillId="0" borderId="7" xfId="10" applyNumberFormat="1" applyFont="1" applyBorder="1" applyAlignment="1" applyProtection="1">
      <alignment horizontal="center" vertical="center" wrapText="1"/>
      <protection locked="0"/>
    </xf>
    <xf numFmtId="166" fontId="18" fillId="0" borderId="14" xfId="10" applyNumberFormat="1" applyFont="1" applyBorder="1" applyAlignment="1" applyProtection="1">
      <alignment horizontal="center" vertical="center" wrapText="1"/>
      <protection locked="0"/>
    </xf>
    <xf numFmtId="166" fontId="18" fillId="9" borderId="7" xfId="10" applyNumberFormat="1" applyFont="1" applyFill="1" applyBorder="1" applyAlignment="1" applyProtection="1">
      <alignment horizontal="center"/>
      <protection locked="0"/>
    </xf>
    <xf numFmtId="166" fontId="18" fillId="9" borderId="14" xfId="10" applyNumberFormat="1" applyFont="1" applyFill="1" applyBorder="1" applyAlignment="1" applyProtection="1">
      <alignment horizontal="center"/>
      <protection locked="0"/>
    </xf>
    <xf numFmtId="0" fontId="3" fillId="0" borderId="0" xfId="0" applyFont="1" applyAlignment="1">
      <alignment horizontal="left" wrapText="1"/>
    </xf>
    <xf numFmtId="0" fontId="22" fillId="3" borderId="56" xfId="0" applyFont="1" applyFill="1" applyBorder="1" applyAlignment="1">
      <alignment horizontal="center"/>
    </xf>
    <xf numFmtId="0" fontId="22" fillId="3" borderId="27" xfId="0" applyFont="1" applyFill="1" applyBorder="1" applyAlignment="1">
      <alignment horizontal="center"/>
    </xf>
    <xf numFmtId="0" fontId="22" fillId="3" borderId="64" xfId="0" applyFont="1" applyFill="1" applyBorder="1" applyAlignment="1">
      <alignment horizontal="center"/>
    </xf>
    <xf numFmtId="0" fontId="22" fillId="3" borderId="57" xfId="0" applyFont="1" applyFill="1" applyBorder="1" applyAlignment="1">
      <alignment horizontal="center"/>
    </xf>
    <xf numFmtId="0" fontId="3" fillId="0" borderId="0" xfId="0" applyFont="1" applyAlignment="1">
      <alignment horizontal="center" wrapText="1"/>
    </xf>
    <xf numFmtId="0" fontId="9" fillId="0" borderId="0" xfId="4" applyAlignment="1" applyProtection="1">
      <alignment horizontal="left"/>
    </xf>
    <xf numFmtId="0" fontId="18" fillId="0" borderId="0" xfId="10" applyFont="1" applyAlignment="1" applyProtection="1">
      <alignment horizontal="center" vertical="top" wrapText="1"/>
      <protection locked="0"/>
    </xf>
    <xf numFmtId="0" fontId="18" fillId="12" borderId="56" xfId="10" applyFont="1" applyFill="1" applyBorder="1" applyAlignment="1">
      <alignment horizontal="center"/>
    </xf>
    <xf numFmtId="0" fontId="18" fillId="12" borderId="57" xfId="10" applyFont="1" applyFill="1" applyBorder="1" applyAlignment="1">
      <alignment horizontal="center"/>
    </xf>
    <xf numFmtId="0" fontId="22" fillId="3" borderId="56" xfId="10" applyFont="1" applyFill="1" applyBorder="1" applyAlignment="1" applyProtection="1">
      <alignment horizontal="center"/>
      <protection locked="0"/>
    </xf>
    <xf numFmtId="0" fontId="22" fillId="3" borderId="64" xfId="10" applyFont="1" applyFill="1" applyBorder="1" applyAlignment="1" applyProtection="1">
      <alignment horizontal="center"/>
      <protection locked="0"/>
    </xf>
    <xf numFmtId="0" fontId="22" fillId="3" borderId="57" xfId="10" applyFont="1" applyFill="1" applyBorder="1" applyAlignment="1" applyProtection="1">
      <alignment horizontal="center"/>
      <protection locked="0"/>
    </xf>
    <xf numFmtId="0" fontId="17" fillId="12" borderId="67" xfId="10" applyFont="1" applyFill="1" applyBorder="1" applyAlignment="1">
      <alignment horizontal="center"/>
    </xf>
    <xf numFmtId="0" fontId="17" fillId="12" borderId="68" xfId="10" applyFont="1" applyFill="1" applyBorder="1" applyAlignment="1">
      <alignment horizontal="center"/>
    </xf>
    <xf numFmtId="0" fontId="17" fillId="12" borderId="69" xfId="10" applyFont="1" applyFill="1" applyBorder="1" applyAlignment="1">
      <alignment horizontal="center"/>
    </xf>
    <xf numFmtId="0" fontId="17" fillId="12" borderId="42" xfId="10" quotePrefix="1" applyFont="1" applyFill="1" applyBorder="1" applyAlignment="1">
      <alignment horizontal="center"/>
    </xf>
    <xf numFmtId="0" fontId="17" fillId="12" borderId="27" xfId="10" quotePrefix="1" applyFont="1" applyFill="1" applyBorder="1" applyAlignment="1">
      <alignment horizontal="center"/>
    </xf>
    <xf numFmtId="0" fontId="17" fillId="12" borderId="43" xfId="10" quotePrefix="1" applyFont="1" applyFill="1" applyBorder="1" applyAlignment="1">
      <alignment horizontal="center"/>
    </xf>
    <xf numFmtId="0" fontId="8" fillId="0" borderId="0" xfId="4" applyFont="1" applyAlignment="1" applyProtection="1">
      <alignment horizontal="left"/>
    </xf>
    <xf numFmtId="0" fontId="9" fillId="0" borderId="0" xfId="4" applyAlignment="1" applyProtection="1"/>
    <xf numFmtId="166" fontId="18" fillId="12" borderId="18" xfId="10" applyNumberFormat="1" applyFont="1" applyFill="1" applyBorder="1" applyAlignment="1">
      <alignment horizontal="center" vertical="center"/>
    </xf>
    <xf numFmtId="166" fontId="18" fillId="12" borderId="14" xfId="10" applyNumberFormat="1" applyFont="1" applyFill="1" applyBorder="1" applyAlignment="1">
      <alignment horizontal="center" vertical="center"/>
    </xf>
    <xf numFmtId="0" fontId="17" fillId="12" borderId="18" xfId="10" applyFont="1" applyFill="1" applyBorder="1" applyAlignment="1" applyProtection="1">
      <alignment horizontal="center" wrapText="1"/>
      <protection locked="0"/>
    </xf>
    <xf numFmtId="0" fontId="17" fillId="12" borderId="14" xfId="10" applyFont="1" applyFill="1" applyBorder="1" applyAlignment="1" applyProtection="1">
      <alignment horizontal="center" wrapText="1"/>
      <protection locked="0"/>
    </xf>
    <xf numFmtId="0" fontId="78" fillId="20" borderId="64" xfId="0" applyFont="1" applyFill="1" applyBorder="1" applyAlignment="1">
      <alignment horizontal="center" vertical="center"/>
    </xf>
    <xf numFmtId="0" fontId="78" fillId="20" borderId="57" xfId="0" applyFont="1" applyFill="1" applyBorder="1" applyAlignment="1">
      <alignment horizontal="center" vertical="center"/>
    </xf>
    <xf numFmtId="0" fontId="22" fillId="3" borderId="29" xfId="13" applyFont="1" applyFill="1" applyBorder="1" applyAlignment="1">
      <alignment horizontal="center"/>
    </xf>
    <xf numFmtId="0" fontId="22" fillId="3" borderId="19" xfId="13" applyFont="1" applyFill="1" applyBorder="1" applyAlignment="1">
      <alignment horizontal="center"/>
    </xf>
    <xf numFmtId="0" fontId="22" fillId="3" borderId="30" xfId="13" applyFont="1" applyFill="1" applyBorder="1" applyAlignment="1">
      <alignment horizontal="center"/>
    </xf>
    <xf numFmtId="0" fontId="40" fillId="12" borderId="17" xfId="13" applyFont="1" applyFill="1" applyBorder="1" applyAlignment="1">
      <alignment horizontal="center"/>
    </xf>
    <xf numFmtId="0" fontId="40" fillId="12" borderId="64" xfId="13" applyFont="1" applyFill="1" applyBorder="1" applyAlignment="1">
      <alignment horizontal="center"/>
    </xf>
    <xf numFmtId="0" fontId="17" fillId="12" borderId="37" xfId="13" applyFont="1" applyFill="1" applyBorder="1" applyAlignment="1">
      <alignment horizontal="center"/>
    </xf>
    <xf numFmtId="0" fontId="17" fillId="12" borderId="3" xfId="13" applyFont="1" applyFill="1" applyBorder="1" applyAlignment="1">
      <alignment horizontal="center"/>
    </xf>
    <xf numFmtId="0" fontId="22" fillId="3" borderId="67" xfId="13" applyFont="1" applyFill="1" applyBorder="1" applyAlignment="1">
      <alignment horizontal="center"/>
    </xf>
    <xf numFmtId="0" fontId="22" fillId="3" borderId="68" xfId="13" applyFont="1" applyFill="1" applyBorder="1" applyAlignment="1">
      <alignment horizontal="center"/>
    </xf>
    <xf numFmtId="0" fontId="22" fillId="3" borderId="69" xfId="13" applyFont="1" applyFill="1" applyBorder="1" applyAlignment="1">
      <alignment horizontal="center"/>
    </xf>
    <xf numFmtId="0" fontId="10" fillId="12" borderId="28" xfId="0" applyFont="1" applyFill="1" applyBorder="1" applyAlignment="1">
      <alignment horizontal="left"/>
    </xf>
    <xf numFmtId="0" fontId="4" fillId="0" borderId="56" xfId="0" applyFont="1" applyBorder="1" applyAlignment="1" applyProtection="1">
      <alignment horizontal="left" vertical="top"/>
      <protection locked="0"/>
    </xf>
    <xf numFmtId="0" fontId="4" fillId="0" borderId="64" xfId="0" applyFont="1" applyBorder="1" applyAlignment="1" applyProtection="1">
      <alignment horizontal="left" vertical="top"/>
      <protection locked="0"/>
    </xf>
    <xf numFmtId="0" fontId="4" fillId="0" borderId="57" xfId="0" applyFont="1" applyBorder="1" applyAlignment="1" applyProtection="1">
      <alignment horizontal="left" vertical="top"/>
      <protection locked="0"/>
    </xf>
    <xf numFmtId="0" fontId="17" fillId="12" borderId="56" xfId="0" applyFont="1" applyFill="1" applyBorder="1" applyAlignment="1">
      <alignment horizontal="left"/>
    </xf>
    <xf numFmtId="0" fontId="17" fillId="12" borderId="64" xfId="0" applyFont="1" applyFill="1" applyBorder="1" applyAlignment="1">
      <alignment horizontal="left"/>
    </xf>
    <xf numFmtId="0" fontId="17" fillId="12" borderId="57" xfId="0" applyFont="1" applyFill="1" applyBorder="1" applyAlignment="1">
      <alignment horizontal="left"/>
    </xf>
    <xf numFmtId="0" fontId="54" fillId="12" borderId="29" xfId="0" applyFont="1" applyFill="1" applyBorder="1" applyAlignment="1">
      <alignment horizontal="left"/>
    </xf>
    <xf numFmtId="0" fontId="54" fillId="12" borderId="19" xfId="0" applyFont="1" applyFill="1" applyBorder="1" applyAlignment="1">
      <alignment horizontal="left"/>
    </xf>
    <xf numFmtId="0" fontId="54" fillId="12" borderId="36" xfId="0" applyFont="1" applyFill="1" applyBorder="1" applyAlignment="1">
      <alignment horizontal="left"/>
    </xf>
    <xf numFmtId="0" fontId="54" fillId="12" borderId="0" xfId="0" applyFont="1" applyFill="1" applyAlignment="1">
      <alignment horizontal="left"/>
    </xf>
    <xf numFmtId="0" fontId="17" fillId="12" borderId="56" xfId="0" applyFont="1" applyFill="1" applyBorder="1" applyAlignment="1">
      <alignment horizontal="center"/>
    </xf>
    <xf numFmtId="0" fontId="17" fillId="12" borderId="64" xfId="0" applyFont="1" applyFill="1" applyBorder="1" applyAlignment="1">
      <alignment horizontal="center"/>
    </xf>
    <xf numFmtId="0" fontId="17" fillId="12" borderId="57" xfId="0" applyFont="1" applyFill="1" applyBorder="1" applyAlignment="1">
      <alignment horizontal="center"/>
    </xf>
    <xf numFmtId="0" fontId="22" fillId="3" borderId="36" xfId="0" applyFont="1" applyFill="1" applyBorder="1" applyAlignment="1">
      <alignment horizontal="center"/>
    </xf>
    <xf numFmtId="0" fontId="22" fillId="3" borderId="0" xfId="0" applyFont="1" applyFill="1" applyAlignment="1">
      <alignment horizontal="center"/>
    </xf>
    <xf numFmtId="0" fontId="22" fillId="3" borderId="34" xfId="0" applyFont="1" applyFill="1" applyBorder="1" applyAlignment="1">
      <alignment horizontal="center"/>
    </xf>
    <xf numFmtId="14" fontId="17" fillId="12" borderId="27" xfId="0" applyNumberFormat="1" applyFont="1" applyFill="1" applyBorder="1" applyAlignment="1">
      <alignment horizontal="left"/>
    </xf>
    <xf numFmtId="14" fontId="17" fillId="12" borderId="43" xfId="0" applyNumberFormat="1" applyFont="1" applyFill="1" applyBorder="1" applyAlignment="1">
      <alignment horizontal="left"/>
    </xf>
    <xf numFmtId="0" fontId="17" fillId="12" borderId="42" xfId="0" applyFont="1" applyFill="1" applyBorder="1" applyAlignment="1">
      <alignment horizontal="right"/>
    </xf>
    <xf numFmtId="0" fontId="17" fillId="12" borderId="27" xfId="0" applyFont="1" applyFill="1" applyBorder="1" applyAlignment="1">
      <alignment horizontal="right"/>
    </xf>
    <xf numFmtId="0" fontId="22" fillId="3" borderId="56" xfId="10" applyFont="1" applyFill="1" applyBorder="1" applyAlignment="1">
      <alignment horizontal="center"/>
    </xf>
    <xf numFmtId="0" fontId="22" fillId="3" borderId="64" xfId="10" applyFont="1" applyFill="1" applyBorder="1" applyAlignment="1">
      <alignment horizontal="center"/>
    </xf>
    <xf numFmtId="0" fontId="22" fillId="3" borderId="57" xfId="10" applyFont="1" applyFill="1" applyBorder="1" applyAlignment="1">
      <alignment horizontal="center"/>
    </xf>
    <xf numFmtId="14" fontId="19" fillId="12" borderId="1" xfId="10" applyNumberFormat="1" applyFont="1" applyFill="1" applyBorder="1" applyAlignment="1">
      <alignment horizontal="center" vertical="center" wrapText="1"/>
    </xf>
    <xf numFmtId="0" fontId="54" fillId="12" borderId="36" xfId="0" applyFont="1" applyFill="1" applyBorder="1" applyAlignment="1">
      <alignment horizontal="center" wrapText="1"/>
    </xf>
    <xf numFmtId="0" fontId="54" fillId="12" borderId="0" xfId="0" applyFont="1" applyFill="1" applyAlignment="1">
      <alignment horizontal="center" wrapText="1"/>
    </xf>
    <xf numFmtId="0" fontId="54" fillId="12" borderId="34" xfId="0" applyFont="1" applyFill="1" applyBorder="1" applyAlignment="1">
      <alignment horizontal="center" wrapText="1"/>
    </xf>
    <xf numFmtId="0" fontId="54" fillId="12" borderId="42" xfId="0" applyFont="1" applyFill="1" applyBorder="1" applyAlignment="1">
      <alignment horizontal="center" wrapText="1"/>
    </xf>
    <xf numFmtId="0" fontId="54" fillId="12" borderId="27" xfId="0" applyFont="1" applyFill="1" applyBorder="1" applyAlignment="1">
      <alignment horizontal="center" wrapText="1"/>
    </xf>
    <xf numFmtId="0" fontId="54" fillId="12" borderId="43" xfId="0" applyFont="1" applyFill="1" applyBorder="1" applyAlignment="1">
      <alignment horizontal="center" wrapText="1"/>
    </xf>
    <xf numFmtId="0" fontId="0" fillId="0" borderId="27" xfId="0" applyBorder="1" applyAlignment="1">
      <alignment horizontal="center"/>
    </xf>
    <xf numFmtId="0" fontId="18" fillId="0" borderId="19" xfId="10" applyFont="1" applyBorder="1" applyAlignment="1" applyProtection="1">
      <alignment horizontal="center" vertical="top" wrapText="1"/>
      <protection locked="0"/>
    </xf>
    <xf numFmtId="0" fontId="18" fillId="12" borderId="29" xfId="10" applyFont="1" applyFill="1" applyBorder="1" applyAlignment="1">
      <alignment horizontal="center"/>
    </xf>
    <xf numFmtId="0" fontId="18" fillId="12" borderId="30" xfId="10" applyFont="1" applyFill="1" applyBorder="1" applyAlignment="1">
      <alignment horizontal="center"/>
    </xf>
    <xf numFmtId="0" fontId="3" fillId="11" borderId="29" xfId="0" applyFont="1" applyFill="1" applyBorder="1" applyAlignment="1">
      <alignment horizontal="left"/>
    </xf>
    <xf numFmtId="0" fontId="3" fillId="11" borderId="19" xfId="0" applyFont="1" applyFill="1" applyBorder="1" applyAlignment="1">
      <alignment horizontal="left"/>
    </xf>
    <xf numFmtId="0" fontId="3" fillId="11" borderId="30" xfId="0" applyFont="1" applyFill="1" applyBorder="1" applyAlignment="1">
      <alignment horizontal="left"/>
    </xf>
    <xf numFmtId="0" fontId="3" fillId="11" borderId="36" xfId="0" applyFont="1" applyFill="1" applyBorder="1" applyAlignment="1">
      <alignment horizontal="left"/>
    </xf>
    <xf numFmtId="0" fontId="3" fillId="11" borderId="0" xfId="0" applyFont="1" applyFill="1" applyAlignment="1">
      <alignment horizontal="left"/>
    </xf>
    <xf numFmtId="0" fontId="3" fillId="11" borderId="34" xfId="0" applyFont="1" applyFill="1" applyBorder="1" applyAlignment="1">
      <alignment horizontal="left"/>
    </xf>
    <xf numFmtId="0" fontId="3" fillId="11" borderId="42" xfId="0" applyFont="1" applyFill="1" applyBorder="1" applyAlignment="1">
      <alignment horizontal="left"/>
    </xf>
    <xf numFmtId="0" fontId="3" fillId="11" borderId="27" xfId="0" applyFont="1" applyFill="1" applyBorder="1" applyAlignment="1">
      <alignment horizontal="left"/>
    </xf>
    <xf numFmtId="0" fontId="3" fillId="11" borderId="43" xfId="0" applyFont="1" applyFill="1" applyBorder="1" applyAlignment="1">
      <alignment horizontal="left"/>
    </xf>
    <xf numFmtId="0" fontId="17" fillId="12" borderId="18" xfId="10" applyFont="1" applyFill="1" applyBorder="1" applyAlignment="1">
      <alignment horizontal="center" vertical="center" wrapText="1"/>
    </xf>
    <xf numFmtId="0" fontId="17" fillId="12" borderId="14" xfId="10" applyFont="1" applyFill="1" applyBorder="1" applyAlignment="1">
      <alignment horizontal="center" vertical="center" wrapText="1"/>
    </xf>
    <xf numFmtId="0" fontId="3" fillId="0" borderId="0" xfId="0" applyFont="1" applyAlignment="1">
      <alignment horizontal="left"/>
    </xf>
    <xf numFmtId="0" fontId="0" fillId="12" borderId="56" xfId="0" applyFill="1" applyBorder="1" applyAlignment="1">
      <alignment horizontal="center" wrapText="1"/>
    </xf>
    <xf numFmtId="0" fontId="0" fillId="12" borderId="64" xfId="0" applyFill="1" applyBorder="1" applyAlignment="1">
      <alignment horizontal="center" wrapText="1"/>
    </xf>
    <xf numFmtId="0" fontId="0" fillId="12" borderId="57" xfId="0" applyFill="1" applyBorder="1" applyAlignment="1">
      <alignment horizontal="center" wrapText="1"/>
    </xf>
    <xf numFmtId="0" fontId="0" fillId="0" borderId="42" xfId="0" applyBorder="1" applyAlignment="1">
      <alignment horizontal="left" wrapText="1"/>
    </xf>
    <xf numFmtId="0" fontId="0" fillId="0" borderId="27" xfId="0" applyBorder="1" applyAlignment="1">
      <alignment horizontal="left" wrapText="1"/>
    </xf>
    <xf numFmtId="0" fontId="0" fillId="0" borderId="43" xfId="0" applyBorder="1" applyAlignment="1">
      <alignment horizontal="left" wrapText="1"/>
    </xf>
    <xf numFmtId="0" fontId="0" fillId="0" borderId="36" xfId="0" applyBorder="1" applyAlignment="1">
      <alignment horizontal="left" wrapText="1"/>
    </xf>
    <xf numFmtId="0" fontId="0" fillId="0" borderId="34" xfId="0" applyBorder="1" applyAlignment="1">
      <alignment horizontal="left" wrapText="1"/>
    </xf>
    <xf numFmtId="0" fontId="0" fillId="0" borderId="29" xfId="0" applyBorder="1" applyAlignment="1">
      <alignment horizontal="center" wrapText="1"/>
    </xf>
    <xf numFmtId="0" fontId="0" fillId="0" borderId="30" xfId="0" applyBorder="1" applyAlignment="1">
      <alignment horizontal="center" wrapText="1"/>
    </xf>
    <xf numFmtId="0" fontId="17" fillId="12" borderId="38" xfId="13" applyFont="1" applyFill="1" applyBorder="1" applyAlignment="1">
      <alignment horizontal="center"/>
    </xf>
    <xf numFmtId="0" fontId="22" fillId="3" borderId="42" xfId="13" applyFont="1" applyFill="1" applyBorder="1" applyAlignment="1">
      <alignment horizontal="center"/>
    </xf>
    <xf numFmtId="0" fontId="22" fillId="3" borderId="27" xfId="13" applyFont="1" applyFill="1" applyBorder="1" applyAlignment="1">
      <alignment horizontal="center"/>
    </xf>
    <xf numFmtId="0" fontId="22" fillId="3" borderId="43" xfId="13" applyFont="1" applyFill="1" applyBorder="1" applyAlignment="1">
      <alignment horizontal="center"/>
    </xf>
    <xf numFmtId="0" fontId="0" fillId="0" borderId="0" xfId="0" applyAlignment="1">
      <alignment horizontal="left" vertical="top" wrapText="1"/>
    </xf>
    <xf numFmtId="0" fontId="17" fillId="5" borderId="4" xfId="13" applyFont="1" applyFill="1" applyBorder="1" applyAlignment="1" applyProtection="1">
      <alignment horizontal="center"/>
      <protection locked="0"/>
    </xf>
    <xf numFmtId="0" fontId="17" fillId="5" borderId="5" xfId="13" applyFont="1" applyFill="1" applyBorder="1" applyAlignment="1" applyProtection="1">
      <alignment horizontal="center"/>
      <protection locked="0"/>
    </xf>
    <xf numFmtId="0" fontId="0" fillId="0" borderId="0" xfId="0" applyAlignment="1">
      <alignment horizontal="right"/>
    </xf>
    <xf numFmtId="0" fontId="0" fillId="0" borderId="0" xfId="0" applyAlignment="1">
      <alignment horizontal="center" vertical="top" wrapText="1"/>
    </xf>
    <xf numFmtId="0" fontId="5" fillId="3" borderId="29" xfId="0" applyFont="1" applyFill="1" applyBorder="1" applyAlignment="1">
      <alignment horizontal="center"/>
    </xf>
    <xf numFmtId="0" fontId="5" fillId="3" borderId="19" xfId="0" applyFont="1" applyFill="1" applyBorder="1" applyAlignment="1">
      <alignment horizontal="center"/>
    </xf>
    <xf numFmtId="0" fontId="5" fillId="3" borderId="30" xfId="0" applyFont="1" applyFill="1" applyBorder="1" applyAlignment="1">
      <alignment horizontal="center"/>
    </xf>
    <xf numFmtId="0" fontId="0" fillId="12" borderId="3" xfId="0" applyFill="1" applyBorder="1" applyAlignment="1">
      <alignment horizontal="center"/>
    </xf>
    <xf numFmtId="0" fontId="0" fillId="12" borderId="38" xfId="0" applyFill="1" applyBorder="1" applyAlignment="1">
      <alignment horizontal="center"/>
    </xf>
    <xf numFmtId="0" fontId="74" fillId="3" borderId="29" xfId="0" applyFont="1" applyFill="1" applyBorder="1" applyAlignment="1">
      <alignment horizontal="center"/>
    </xf>
    <xf numFmtId="0" fontId="74" fillId="3" borderId="19" xfId="0" applyFont="1" applyFill="1" applyBorder="1" applyAlignment="1">
      <alignment horizontal="center"/>
    </xf>
    <xf numFmtId="0" fontId="74" fillId="3" borderId="30" xfId="0" applyFont="1" applyFill="1" applyBorder="1" applyAlignment="1">
      <alignment horizontal="center"/>
    </xf>
    <xf numFmtId="0" fontId="16" fillId="3" borderId="29" xfId="0" applyFont="1" applyFill="1" applyBorder="1" applyAlignment="1">
      <alignment horizontal="center"/>
    </xf>
    <xf numFmtId="0" fontId="16" fillId="3" borderId="19" xfId="0" applyFont="1" applyFill="1" applyBorder="1" applyAlignment="1">
      <alignment horizontal="center"/>
    </xf>
    <xf numFmtId="0" fontId="16" fillId="3" borderId="30" xfId="0" applyFont="1" applyFill="1" applyBorder="1" applyAlignment="1">
      <alignment horizontal="center"/>
    </xf>
    <xf numFmtId="0" fontId="0" fillId="0" borderId="29" xfId="0" applyBorder="1" applyAlignment="1" applyProtection="1">
      <alignment horizontal="left" vertical="top"/>
      <protection locked="0"/>
    </xf>
    <xf numFmtId="0" fontId="0" fillId="0" borderId="19" xfId="0" applyBorder="1" applyAlignment="1" applyProtection="1">
      <alignment horizontal="left" vertical="top"/>
      <protection locked="0"/>
    </xf>
    <xf numFmtId="0" fontId="0" fillId="0" borderId="30"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34"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27" xfId="0" applyBorder="1" applyAlignment="1" applyProtection="1">
      <alignment horizontal="left" vertical="top"/>
      <protection locked="0"/>
    </xf>
    <xf numFmtId="0" fontId="0" fillId="0" borderId="43" xfId="0" applyBorder="1" applyAlignment="1" applyProtection="1">
      <alignment horizontal="left" vertical="top"/>
      <protection locked="0"/>
    </xf>
    <xf numFmtId="0" fontId="22" fillId="3" borderId="56" xfId="5" applyFont="1" applyFill="1" applyBorder="1" applyAlignment="1">
      <alignment horizontal="center"/>
    </xf>
    <xf numFmtId="0" fontId="22" fillId="3" borderId="64" xfId="5" applyFont="1" applyFill="1" applyBorder="1" applyAlignment="1">
      <alignment horizontal="center"/>
    </xf>
    <xf numFmtId="0" fontId="22" fillId="3" borderId="57" xfId="5" applyFont="1" applyFill="1" applyBorder="1" applyAlignment="1">
      <alignment horizontal="center"/>
    </xf>
    <xf numFmtId="166" fontId="18" fillId="12" borderId="7" xfId="10" applyNumberFormat="1" applyFont="1" applyFill="1" applyBorder="1" applyAlignment="1" applyProtection="1">
      <alignment horizontal="center"/>
      <protection locked="0"/>
    </xf>
    <xf numFmtId="166" fontId="18" fillId="12" borderId="14" xfId="10" applyNumberFormat="1" applyFont="1" applyFill="1" applyBorder="1" applyAlignment="1" applyProtection="1">
      <alignment horizontal="center"/>
      <protection locked="0"/>
    </xf>
    <xf numFmtId="0" fontId="0" fillId="0" borderId="0" xfId="0" applyAlignment="1">
      <alignment horizontal="center" wrapText="1"/>
    </xf>
    <xf numFmtId="0" fontId="8" fillId="0" borderId="0" xfId="0" applyFont="1" applyAlignment="1">
      <alignment horizontal="left"/>
    </xf>
    <xf numFmtId="0" fontId="17" fillId="12" borderId="40" xfId="10" quotePrefix="1" applyFont="1" applyFill="1" applyBorder="1" applyAlignment="1">
      <alignment horizontal="center"/>
    </xf>
    <xf numFmtId="0" fontId="17" fillId="12" borderId="25" xfId="10" quotePrefix="1" applyFont="1" applyFill="1" applyBorder="1" applyAlignment="1">
      <alignment horizontal="center"/>
    </xf>
    <xf numFmtId="0" fontId="17" fillId="12" borderId="41" xfId="10" quotePrefix="1" applyFont="1" applyFill="1" applyBorder="1" applyAlignment="1">
      <alignment horizontal="center"/>
    </xf>
    <xf numFmtId="0" fontId="18" fillId="0" borderId="4" xfId="10" applyFont="1" applyBorder="1" applyAlignment="1" applyProtection="1">
      <alignment horizontal="center" wrapText="1"/>
      <protection locked="0"/>
    </xf>
    <xf numFmtId="0" fontId="18" fillId="0" borderId="3" xfId="10" applyFont="1" applyBorder="1" applyAlignment="1" applyProtection="1">
      <alignment horizontal="center" wrapText="1"/>
      <protection locked="0"/>
    </xf>
    <xf numFmtId="0" fontId="18" fillId="0" borderId="8" xfId="10" applyFont="1" applyBorder="1" applyAlignment="1" applyProtection="1">
      <alignment horizontal="center" wrapText="1"/>
      <protection locked="0"/>
    </xf>
    <xf numFmtId="0" fontId="18" fillId="0" borderId="10" xfId="10" applyFont="1" applyBorder="1" applyAlignment="1" applyProtection="1">
      <alignment horizontal="center" wrapText="1"/>
      <protection locked="0"/>
    </xf>
    <xf numFmtId="0" fontId="54" fillId="0" borderId="12" xfId="0" applyFont="1" applyBorder="1" applyAlignment="1">
      <alignment horizontal="center"/>
    </xf>
    <xf numFmtId="0" fontId="18" fillId="7" borderId="29" xfId="10" applyFont="1" applyFill="1" applyBorder="1" applyAlignment="1" applyProtection="1">
      <alignment horizontal="left" vertical="top" wrapText="1"/>
      <protection locked="0"/>
    </xf>
    <xf numFmtId="0" fontId="18" fillId="7" borderId="19" xfId="10" applyFont="1" applyFill="1" applyBorder="1" applyAlignment="1" applyProtection="1">
      <alignment horizontal="left" vertical="top" wrapText="1"/>
      <protection locked="0"/>
    </xf>
    <xf numFmtId="0" fontId="18" fillId="7" borderId="30" xfId="10" applyFont="1" applyFill="1" applyBorder="1" applyAlignment="1" applyProtection="1">
      <alignment horizontal="left" vertical="top" wrapText="1"/>
      <protection locked="0"/>
    </xf>
    <xf numFmtId="0" fontId="18" fillId="7" borderId="36" xfId="10" applyFont="1" applyFill="1" applyBorder="1" applyAlignment="1" applyProtection="1">
      <alignment horizontal="left" vertical="top" wrapText="1"/>
      <protection locked="0"/>
    </xf>
    <xf numFmtId="0" fontId="18" fillId="7" borderId="0" xfId="10" applyFont="1" applyFill="1" applyAlignment="1" applyProtection="1">
      <alignment horizontal="left" vertical="top" wrapText="1"/>
      <protection locked="0"/>
    </xf>
    <xf numFmtId="0" fontId="18" fillId="7" borderId="34" xfId="10" applyFont="1" applyFill="1" applyBorder="1" applyAlignment="1" applyProtection="1">
      <alignment horizontal="left" vertical="top" wrapText="1"/>
      <protection locked="0"/>
    </xf>
    <xf numFmtId="0" fontId="18" fillId="7" borderId="42" xfId="10" applyFont="1" applyFill="1" applyBorder="1" applyAlignment="1" applyProtection="1">
      <alignment horizontal="left" vertical="top" wrapText="1"/>
      <protection locked="0"/>
    </xf>
    <xf numFmtId="0" fontId="18" fillId="7" borderId="27" xfId="10" applyFont="1" applyFill="1" applyBorder="1" applyAlignment="1" applyProtection="1">
      <alignment horizontal="left" vertical="top" wrapText="1"/>
      <protection locked="0"/>
    </xf>
    <xf numFmtId="0" fontId="18" fillId="7" borderId="43" xfId="10" applyFont="1" applyFill="1" applyBorder="1" applyAlignment="1" applyProtection="1">
      <alignment horizontal="left" vertical="top" wrapText="1"/>
      <protection locked="0"/>
    </xf>
    <xf numFmtId="0" fontId="18" fillId="12" borderId="8" xfId="10" applyFont="1" applyFill="1" applyBorder="1" applyAlignment="1">
      <alignment horizontal="center" vertical="center"/>
    </xf>
    <xf numFmtId="0" fontId="18" fillId="12" borderId="0" xfId="10" applyFont="1" applyFill="1" applyAlignment="1">
      <alignment horizontal="center" vertical="center"/>
    </xf>
    <xf numFmtId="0" fontId="18" fillId="12" borderId="8" xfId="10" applyFont="1" applyFill="1" applyBorder="1" applyAlignment="1">
      <alignment horizontal="center"/>
    </xf>
    <xf numFmtId="0" fontId="18" fillId="12" borderId="0" xfId="10" applyFont="1" applyFill="1" applyAlignment="1">
      <alignment horizontal="center"/>
    </xf>
    <xf numFmtId="0" fontId="18" fillId="12" borderId="1" xfId="10" applyFont="1" applyFill="1" applyBorder="1" applyAlignment="1">
      <alignment horizontal="center" vertical="top" wrapText="1"/>
    </xf>
    <xf numFmtId="0" fontId="55" fillId="12" borderId="28" xfId="0" applyFont="1" applyFill="1" applyBorder="1" applyAlignment="1">
      <alignment horizontal="center"/>
    </xf>
    <xf numFmtId="0" fontId="18" fillId="0" borderId="29" xfId="13" applyFont="1" applyBorder="1" applyAlignment="1" applyProtection="1">
      <alignment horizontal="center" vertical="top" wrapText="1"/>
      <protection locked="0"/>
    </xf>
    <xf numFmtId="0" fontId="18" fillId="0" borderId="19" xfId="13" applyFont="1" applyBorder="1" applyAlignment="1" applyProtection="1">
      <alignment horizontal="center" vertical="top" wrapText="1"/>
      <protection locked="0"/>
    </xf>
    <xf numFmtId="0" fontId="18" fillId="0" borderId="30" xfId="13" applyFont="1" applyBorder="1" applyAlignment="1" applyProtection="1">
      <alignment horizontal="center" vertical="top" wrapText="1"/>
      <protection locked="0"/>
    </xf>
    <xf numFmtId="0" fontId="18" fillId="0" borderId="36" xfId="13" applyFont="1" applyBorder="1" applyAlignment="1" applyProtection="1">
      <alignment horizontal="center" vertical="top" wrapText="1"/>
      <protection locked="0"/>
    </xf>
    <xf numFmtId="0" fontId="18" fillId="0" borderId="0" xfId="13" applyFont="1" applyAlignment="1" applyProtection="1">
      <alignment horizontal="center" vertical="top" wrapText="1"/>
      <protection locked="0"/>
    </xf>
    <xf numFmtId="0" fontId="18" fillId="0" borderId="34" xfId="13" applyFont="1" applyBorder="1" applyAlignment="1" applyProtection="1">
      <alignment horizontal="center" vertical="top" wrapText="1"/>
      <protection locked="0"/>
    </xf>
    <xf numFmtId="0" fontId="18" fillId="0" borderId="42" xfId="13" applyFont="1" applyBorder="1" applyAlignment="1" applyProtection="1">
      <alignment horizontal="center" vertical="top" wrapText="1"/>
      <protection locked="0"/>
    </xf>
    <xf numFmtId="0" fontId="18" fillId="0" borderId="27" xfId="13" applyFont="1" applyBorder="1" applyAlignment="1" applyProtection="1">
      <alignment horizontal="center" vertical="top" wrapText="1"/>
      <protection locked="0"/>
    </xf>
    <xf numFmtId="0" fontId="18" fillId="0" borderId="43" xfId="13" applyFont="1" applyBorder="1" applyAlignment="1" applyProtection="1">
      <alignment horizontal="center" vertical="top" wrapText="1"/>
      <protection locked="0"/>
    </xf>
    <xf numFmtId="0" fontId="54" fillId="0" borderId="36" xfId="0" applyFont="1" applyBorder="1" applyAlignment="1">
      <alignment horizontal="center"/>
    </xf>
    <xf numFmtId="0" fontId="54" fillId="0" borderId="0" xfId="0" applyFont="1" applyAlignment="1">
      <alignment horizontal="center"/>
    </xf>
    <xf numFmtId="0" fontId="54" fillId="0" borderId="36" xfId="0" applyFont="1" applyBorder="1" applyAlignment="1">
      <alignment horizontal="center" vertical="center"/>
    </xf>
    <xf numFmtId="0" fontId="54" fillId="0" borderId="42" xfId="0" applyFont="1" applyBorder="1" applyAlignment="1">
      <alignment horizontal="center" vertical="center"/>
    </xf>
    <xf numFmtId="0" fontId="54" fillId="0" borderId="29" xfId="0" applyFont="1" applyBorder="1" applyAlignment="1">
      <alignment horizontal="center"/>
    </xf>
    <xf numFmtId="0" fontId="54" fillId="0" borderId="19" xfId="0" applyFont="1" applyBorder="1" applyAlignment="1">
      <alignment horizontal="center"/>
    </xf>
    <xf numFmtId="0" fontId="17" fillId="12" borderId="36" xfId="13" applyFont="1" applyFill="1" applyBorder="1" applyAlignment="1">
      <alignment horizontal="center"/>
    </xf>
    <xf numFmtId="0" fontId="17" fillId="12" borderId="0" xfId="13" applyFont="1" applyFill="1" applyAlignment="1">
      <alignment horizontal="center"/>
    </xf>
    <xf numFmtId="0" fontId="17" fillId="12" borderId="34" xfId="13" applyFont="1" applyFill="1" applyBorder="1" applyAlignment="1">
      <alignment horizontal="center"/>
    </xf>
    <xf numFmtId="0" fontId="22" fillId="3" borderId="56" xfId="13" applyFont="1" applyFill="1" applyBorder="1" applyAlignment="1">
      <alignment horizontal="center"/>
    </xf>
    <xf numFmtId="0" fontId="22" fillId="3" borderId="64" xfId="13" applyFont="1" applyFill="1" applyBorder="1" applyAlignment="1">
      <alignment horizontal="center"/>
    </xf>
    <xf numFmtId="0" fontId="22" fillId="3" borderId="57" xfId="13" applyFont="1" applyFill="1" applyBorder="1" applyAlignment="1">
      <alignment horizontal="center"/>
    </xf>
    <xf numFmtId="0" fontId="18" fillId="12" borderId="4" xfId="13" applyFont="1" applyFill="1" applyBorder="1" applyAlignment="1">
      <alignment horizontal="center" wrapText="1"/>
    </xf>
    <xf numFmtId="0" fontId="18" fillId="12" borderId="3" xfId="13" applyFont="1" applyFill="1" applyBorder="1" applyAlignment="1">
      <alignment horizontal="center" wrapText="1"/>
    </xf>
    <xf numFmtId="0" fontId="18" fillId="12" borderId="5" xfId="13" applyFont="1" applyFill="1" applyBorder="1" applyAlignment="1">
      <alignment horizontal="center" wrapText="1"/>
    </xf>
    <xf numFmtId="167" fontId="54" fillId="12" borderId="1" xfId="0" applyNumberFormat="1" applyFont="1" applyFill="1" applyBorder="1" applyAlignment="1">
      <alignment horizontal="center"/>
    </xf>
    <xf numFmtId="167" fontId="54" fillId="12" borderId="39" xfId="0" applyNumberFormat="1" applyFont="1" applyFill="1" applyBorder="1" applyAlignment="1">
      <alignment horizontal="center"/>
    </xf>
    <xf numFmtId="9" fontId="54" fillId="12" borderId="1" xfId="0" applyNumberFormat="1" applyFont="1" applyFill="1" applyBorder="1" applyAlignment="1">
      <alignment horizontal="center"/>
    </xf>
    <xf numFmtId="0" fontId="54" fillId="12" borderId="1" xfId="0" applyFont="1" applyFill="1" applyBorder="1" applyAlignment="1">
      <alignment horizontal="center"/>
    </xf>
    <xf numFmtId="9" fontId="54" fillId="0" borderId="1" xfId="2" applyFont="1" applyFill="1" applyBorder="1" applyAlignment="1" applyProtection="1">
      <alignment horizontal="center"/>
      <protection locked="0"/>
    </xf>
    <xf numFmtId="9" fontId="54" fillId="0" borderId="39" xfId="2" applyFont="1" applyFill="1" applyBorder="1" applyAlignment="1" applyProtection="1">
      <alignment horizontal="center"/>
      <protection locked="0"/>
    </xf>
    <xf numFmtId="167" fontId="18" fillId="0" borderId="1" xfId="13" applyNumberFormat="1" applyFont="1" applyBorder="1" applyAlignment="1" applyProtection="1">
      <alignment horizontal="center"/>
      <protection locked="0"/>
    </xf>
    <xf numFmtId="167" fontId="18" fillId="0" borderId="39" xfId="13" applyNumberFormat="1" applyFont="1" applyBorder="1" applyAlignment="1" applyProtection="1">
      <alignment horizontal="center"/>
      <protection locked="0"/>
    </xf>
    <xf numFmtId="167" fontId="18" fillId="12" borderId="1" xfId="13" applyNumberFormat="1" applyFont="1" applyFill="1" applyBorder="1" applyAlignment="1">
      <alignment horizontal="center"/>
    </xf>
    <xf numFmtId="167" fontId="18" fillId="12" borderId="39" xfId="13" applyNumberFormat="1" applyFont="1" applyFill="1" applyBorder="1" applyAlignment="1">
      <alignment horizontal="center"/>
    </xf>
    <xf numFmtId="0" fontId="54" fillId="0" borderId="42" xfId="0" applyFont="1" applyBorder="1" applyAlignment="1" applyProtection="1">
      <alignment horizontal="left" vertical="top" wrapText="1"/>
      <protection locked="0"/>
    </xf>
    <xf numFmtId="0" fontId="54" fillId="0" borderId="27" xfId="0" applyFont="1" applyBorder="1" applyAlignment="1" applyProtection="1">
      <alignment horizontal="left" vertical="top" wrapText="1"/>
      <protection locked="0"/>
    </xf>
    <xf numFmtId="0" fontId="54" fillId="0" borderId="43" xfId="0" applyFont="1" applyBorder="1" applyAlignment="1" applyProtection="1">
      <alignment horizontal="left" vertical="top" wrapText="1"/>
      <protection locked="0"/>
    </xf>
    <xf numFmtId="0" fontId="54" fillId="0" borderId="36" xfId="0" applyFont="1" applyBorder="1" applyAlignment="1" applyProtection="1">
      <alignment horizontal="left" vertical="top" wrapText="1"/>
      <protection locked="0"/>
    </xf>
    <xf numFmtId="0" fontId="54" fillId="0" borderId="0" xfId="0" applyFont="1" applyAlignment="1" applyProtection="1">
      <alignment horizontal="left" vertical="top" wrapText="1"/>
      <protection locked="0"/>
    </xf>
    <xf numFmtId="0" fontId="54" fillId="0" borderId="34" xfId="0" applyFont="1" applyBorder="1" applyAlignment="1" applyProtection="1">
      <alignment horizontal="left" vertical="top" wrapText="1"/>
      <protection locked="0"/>
    </xf>
    <xf numFmtId="0" fontId="54" fillId="0" borderId="29" xfId="0" applyFont="1" applyBorder="1" applyAlignment="1" applyProtection="1">
      <alignment horizontal="left" vertical="top" wrapText="1"/>
      <protection locked="0"/>
    </xf>
    <xf numFmtId="0" fontId="54" fillId="0" borderId="19" xfId="0" applyFont="1" applyBorder="1" applyAlignment="1" applyProtection="1">
      <alignment horizontal="left" vertical="top" wrapText="1"/>
      <protection locked="0"/>
    </xf>
    <xf numFmtId="0" fontId="54" fillId="0" borderId="30" xfId="0" applyFont="1" applyBorder="1" applyAlignment="1" applyProtection="1">
      <alignment horizontal="left" vertical="top" wrapText="1"/>
      <protection locked="0"/>
    </xf>
    <xf numFmtId="9" fontId="18" fillId="12" borderId="1" xfId="13" applyNumberFormat="1" applyFont="1" applyFill="1" applyBorder="1" applyAlignment="1">
      <alignment horizontal="center"/>
    </xf>
    <xf numFmtId="0" fontId="18" fillId="12" borderId="39" xfId="13" applyFont="1" applyFill="1" applyBorder="1" applyAlignment="1">
      <alignment horizontal="center"/>
    </xf>
    <xf numFmtId="0" fontId="54" fillId="12" borderId="42" xfId="0" applyFont="1" applyFill="1" applyBorder="1" applyAlignment="1">
      <alignment horizontal="left"/>
    </xf>
    <xf numFmtId="0" fontId="54" fillId="12" borderId="27" xfId="0" applyFont="1" applyFill="1" applyBorder="1" applyAlignment="1">
      <alignment horizontal="left"/>
    </xf>
    <xf numFmtId="0" fontId="54" fillId="12" borderId="43" xfId="0" applyFont="1" applyFill="1" applyBorder="1" applyAlignment="1">
      <alignment horizontal="left"/>
    </xf>
    <xf numFmtId="0" fontId="18" fillId="0" borderId="1" xfId="13" applyFont="1" applyBorder="1" applyAlignment="1" applyProtection="1">
      <alignment horizontal="center"/>
      <protection locked="0"/>
    </xf>
    <xf numFmtId="0" fontId="18" fillId="0" borderId="39" xfId="13" applyFont="1" applyBorder="1" applyAlignment="1" applyProtection="1">
      <alignment horizontal="center"/>
      <protection locked="0"/>
    </xf>
    <xf numFmtId="0" fontId="18" fillId="5" borderId="1" xfId="13" applyFont="1" applyFill="1" applyBorder="1" applyAlignment="1" applyProtection="1">
      <alignment horizontal="center"/>
      <protection locked="0"/>
    </xf>
    <xf numFmtId="0" fontId="18" fillId="5" borderId="39" xfId="13" applyFont="1" applyFill="1" applyBorder="1" applyAlignment="1" applyProtection="1">
      <alignment horizontal="center"/>
      <protection locked="0"/>
    </xf>
    <xf numFmtId="178" fontId="18" fillId="0" borderId="1" xfId="13" applyNumberFormat="1" applyFont="1" applyBorder="1" applyAlignment="1" applyProtection="1">
      <alignment horizontal="center"/>
      <protection locked="0"/>
    </xf>
    <xf numFmtId="178" fontId="18" fillId="0" borderId="39" xfId="13" applyNumberFormat="1" applyFont="1" applyBorder="1" applyAlignment="1" applyProtection="1">
      <alignment horizontal="center"/>
      <protection locked="0"/>
    </xf>
    <xf numFmtId="9" fontId="18" fillId="0" borderId="1" xfId="2" applyFont="1" applyFill="1" applyBorder="1" applyAlignment="1" applyProtection="1">
      <alignment horizontal="center"/>
      <protection locked="0"/>
    </xf>
    <xf numFmtId="9" fontId="18" fillId="0" borderId="39" xfId="2" applyFont="1" applyFill="1" applyBorder="1" applyAlignment="1" applyProtection="1">
      <alignment horizontal="center"/>
      <protection locked="0"/>
    </xf>
    <xf numFmtId="0" fontId="18" fillId="12" borderId="13" xfId="13" applyFont="1" applyFill="1" applyBorder="1" applyAlignment="1">
      <alignment horizontal="center"/>
    </xf>
    <xf numFmtId="0" fontId="18" fillId="12" borderId="53" xfId="13" applyFont="1" applyFill="1" applyBorder="1" applyAlignment="1">
      <alignment horizontal="center"/>
    </xf>
    <xf numFmtId="0" fontId="18" fillId="12" borderId="11" xfId="13" applyFont="1" applyFill="1" applyBorder="1" applyAlignment="1">
      <alignment horizontal="center"/>
    </xf>
    <xf numFmtId="0" fontId="18" fillId="12" borderId="1" xfId="13" applyFont="1" applyFill="1" applyBorder="1" applyAlignment="1">
      <alignment horizontal="center"/>
    </xf>
    <xf numFmtId="0" fontId="18" fillId="12" borderId="4" xfId="13" applyFont="1" applyFill="1" applyBorder="1" applyAlignment="1">
      <alignment horizontal="left"/>
    </xf>
    <xf numFmtId="0" fontId="18" fillId="12" borderId="3" xfId="13" applyFont="1" applyFill="1" applyBorder="1" applyAlignment="1">
      <alignment horizontal="left"/>
    </xf>
    <xf numFmtId="0" fontId="18" fillId="12" borderId="38" xfId="13" applyFont="1" applyFill="1" applyBorder="1" applyAlignment="1">
      <alignment horizontal="left"/>
    </xf>
    <xf numFmtId="0" fontId="17" fillId="12" borderId="36" xfId="10" applyFont="1" applyFill="1" applyBorder="1" applyAlignment="1">
      <alignment horizontal="left" vertical="top" wrapText="1"/>
    </xf>
    <xf numFmtId="0" fontId="17" fillId="12" borderId="0" xfId="10" applyFont="1" applyFill="1" applyAlignment="1">
      <alignment horizontal="left" vertical="top" wrapText="1"/>
    </xf>
    <xf numFmtId="0" fontId="18" fillId="0" borderId="36" xfId="13" applyFont="1" applyBorder="1" applyAlignment="1" applyProtection="1">
      <alignment horizontal="left" vertical="top" wrapText="1"/>
      <protection locked="0"/>
    </xf>
    <xf numFmtId="0" fontId="18" fillId="0" borderId="0" xfId="13" applyFont="1" applyAlignment="1" applyProtection="1">
      <alignment horizontal="left" vertical="top" wrapText="1"/>
      <protection locked="0"/>
    </xf>
    <xf numFmtId="0" fontId="18" fillId="0" borderId="34" xfId="13" applyFont="1" applyBorder="1" applyAlignment="1" applyProtection="1">
      <alignment horizontal="left" vertical="top" wrapText="1"/>
      <protection locked="0"/>
    </xf>
    <xf numFmtId="0" fontId="18" fillId="0" borderId="29" xfId="13" applyFont="1" applyBorder="1" applyAlignment="1" applyProtection="1">
      <alignment horizontal="left" vertical="top" wrapText="1"/>
      <protection locked="0"/>
    </xf>
    <xf numFmtId="0" fontId="18" fillId="0" borderId="19" xfId="13" applyFont="1" applyBorder="1" applyAlignment="1" applyProtection="1">
      <alignment horizontal="left" vertical="top" wrapText="1"/>
      <protection locked="0"/>
    </xf>
    <xf numFmtId="0" fontId="18" fillId="0" borderId="30" xfId="13" applyFont="1" applyBorder="1" applyAlignment="1" applyProtection="1">
      <alignment horizontal="left" vertical="top" wrapText="1"/>
      <protection locked="0"/>
    </xf>
    <xf numFmtId="0" fontId="18" fillId="0" borderId="42" xfId="13" applyFont="1" applyBorder="1" applyAlignment="1" applyProtection="1">
      <alignment horizontal="left" vertical="top" wrapText="1"/>
      <protection locked="0"/>
    </xf>
    <xf numFmtId="0" fontId="18" fillId="0" borderId="27" xfId="13" applyFont="1" applyBorder="1" applyAlignment="1" applyProtection="1">
      <alignment horizontal="left" vertical="top" wrapText="1"/>
      <protection locked="0"/>
    </xf>
    <xf numFmtId="0" fontId="18" fillId="0" borderId="43" xfId="13" applyFont="1" applyBorder="1" applyAlignment="1" applyProtection="1">
      <alignment horizontal="left" vertical="top" wrapText="1"/>
      <protection locked="0"/>
    </xf>
    <xf numFmtId="0" fontId="36" fillId="9" borderId="0" xfId="5" applyFont="1" applyFill="1" applyAlignment="1">
      <alignment horizontal="left" vertical="top" wrapText="1"/>
    </xf>
    <xf numFmtId="44" fontId="36" fillId="0" borderId="1" xfId="1" applyFont="1" applyBorder="1" applyAlignment="1" applyProtection="1">
      <alignment horizontal="right" vertical="top" wrapText="1"/>
      <protection locked="0"/>
    </xf>
    <xf numFmtId="0" fontId="35" fillId="9" borderId="0" xfId="0" applyFont="1" applyFill="1" applyAlignment="1">
      <alignment horizontal="left" wrapText="1"/>
    </xf>
    <xf numFmtId="0" fontId="35" fillId="9" borderId="0" xfId="0" applyFont="1" applyFill="1" applyAlignment="1">
      <alignment horizontal="left"/>
    </xf>
    <xf numFmtId="0" fontId="35" fillId="9" borderId="6" xfId="0" applyFont="1" applyFill="1" applyBorder="1" applyAlignment="1">
      <alignment horizontal="left"/>
    </xf>
    <xf numFmtId="0" fontId="37" fillId="9" borderId="0" xfId="0" applyFont="1" applyFill="1" applyAlignment="1">
      <alignment horizontal="left"/>
    </xf>
    <xf numFmtId="0" fontId="37" fillId="9" borderId="6" xfId="0" applyFont="1" applyFill="1" applyBorder="1" applyAlignment="1">
      <alignment horizontal="left"/>
    </xf>
    <xf numFmtId="0" fontId="35" fillId="9" borderId="0" xfId="0" applyFont="1" applyFill="1" applyAlignment="1">
      <alignment horizontal="center"/>
    </xf>
    <xf numFmtId="0" fontId="35" fillId="0" borderId="9" xfId="0" applyFont="1" applyBorder="1" applyAlignment="1" applyProtection="1">
      <alignment horizontal="left" wrapText="1"/>
      <protection locked="0"/>
    </xf>
    <xf numFmtId="0" fontId="35" fillId="0" borderId="8" xfId="0" applyFont="1" applyBorder="1" applyAlignment="1" applyProtection="1">
      <alignment horizontal="left" wrapText="1"/>
      <protection locked="0"/>
    </xf>
    <xf numFmtId="0" fontId="35" fillId="0" borderId="10" xfId="0" applyFont="1" applyBorder="1" applyAlignment="1" applyProtection="1">
      <alignment horizontal="left" wrapText="1"/>
      <protection locked="0"/>
    </xf>
    <xf numFmtId="0" fontId="35" fillId="0" borderId="2" xfId="0" applyFont="1" applyBorder="1" applyAlignment="1" applyProtection="1">
      <alignment horizontal="left" wrapText="1"/>
      <protection locked="0"/>
    </xf>
    <xf numFmtId="0" fontId="35" fillId="0" borderId="0" xfId="0" applyFont="1" applyAlignment="1" applyProtection="1">
      <alignment horizontal="left" wrapText="1"/>
      <protection locked="0"/>
    </xf>
    <xf numFmtId="0" fontId="35" fillId="0" borderId="6" xfId="0" applyFont="1" applyBorder="1" applyAlignment="1" applyProtection="1">
      <alignment horizontal="left" wrapText="1"/>
      <protection locked="0"/>
    </xf>
    <xf numFmtId="0" fontId="35" fillId="0" borderId="11" xfId="0" applyFont="1" applyBorder="1" applyAlignment="1" applyProtection="1">
      <alignment horizontal="left" wrapText="1"/>
      <protection locked="0"/>
    </xf>
    <xf numFmtId="0" fontId="35" fillId="0" borderId="12" xfId="0" applyFont="1" applyBorder="1" applyAlignment="1" applyProtection="1">
      <alignment horizontal="left" wrapText="1"/>
      <protection locked="0"/>
    </xf>
    <xf numFmtId="0" fontId="35" fillId="0" borderId="13" xfId="0" applyFont="1" applyBorder="1" applyAlignment="1" applyProtection="1">
      <alignment horizontal="left" wrapText="1"/>
      <protection locked="0"/>
    </xf>
    <xf numFmtId="0" fontId="54" fillId="9" borderId="0" xfId="0" applyFont="1" applyFill="1" applyAlignment="1">
      <alignment horizontal="center"/>
    </xf>
    <xf numFmtId="0" fontId="54" fillId="5" borderId="4" xfId="0" applyFont="1" applyFill="1" applyBorder="1" applyAlignment="1" applyProtection="1">
      <alignment horizontal="center"/>
      <protection locked="0"/>
    </xf>
    <xf numFmtId="0" fontId="54" fillId="5" borderId="5" xfId="0" applyFont="1" applyFill="1" applyBorder="1" applyAlignment="1" applyProtection="1">
      <alignment horizontal="center"/>
      <protection locked="0"/>
    </xf>
    <xf numFmtId="0" fontId="54" fillId="5" borderId="1" xfId="0" applyFont="1" applyFill="1" applyBorder="1" applyAlignment="1" applyProtection="1">
      <alignment horizontal="center"/>
      <protection locked="0"/>
    </xf>
    <xf numFmtId="0" fontId="35" fillId="9" borderId="6" xfId="0" applyFont="1" applyFill="1" applyBorder="1" applyAlignment="1">
      <alignment horizontal="left" wrapText="1"/>
    </xf>
    <xf numFmtId="0" fontId="35" fillId="9" borderId="0" xfId="0" applyFont="1" applyFill="1" applyAlignment="1">
      <alignment horizontal="left" vertical="center" wrapText="1"/>
    </xf>
    <xf numFmtId="0" fontId="35" fillId="9" borderId="12" xfId="0" applyFont="1" applyFill="1" applyBorder="1" applyAlignment="1">
      <alignment horizontal="left" vertical="center" wrapText="1"/>
    </xf>
    <xf numFmtId="0" fontId="35" fillId="0" borderId="1" xfId="0" applyFont="1" applyBorder="1" applyAlignment="1" applyProtection="1">
      <alignment horizontal="left" wrapText="1"/>
      <protection locked="0"/>
    </xf>
    <xf numFmtId="0" fontId="36" fillId="9" borderId="4" xfId="5" applyFont="1" applyFill="1" applyBorder="1" applyAlignment="1">
      <alignment horizontal="left" vertical="top" wrapText="1"/>
    </xf>
    <xf numFmtId="0" fontId="36" fillId="9" borderId="5" xfId="5" applyFont="1" applyFill="1" applyBorder="1" applyAlignment="1">
      <alignment horizontal="left" vertical="top" wrapText="1"/>
    </xf>
    <xf numFmtId="0" fontId="35" fillId="0" borderId="4" xfId="0" applyFont="1" applyBorder="1" applyAlignment="1" applyProtection="1">
      <alignment horizontal="left"/>
      <protection locked="0"/>
    </xf>
    <xf numFmtId="0" fontId="35" fillId="0" borderId="5" xfId="0" applyFont="1" applyBorder="1" applyAlignment="1" applyProtection="1">
      <alignment horizontal="left"/>
      <protection locked="0"/>
    </xf>
    <xf numFmtId="0" fontId="35" fillId="5" borderId="4" xfId="0" applyFont="1" applyFill="1" applyBorder="1" applyAlignment="1" applyProtection="1">
      <alignment horizontal="center"/>
      <protection locked="0"/>
    </xf>
    <xf numFmtId="0" fontId="35" fillId="5" borderId="5" xfId="0" applyFont="1" applyFill="1" applyBorder="1" applyAlignment="1" applyProtection="1">
      <alignment horizontal="center"/>
      <protection locked="0"/>
    </xf>
    <xf numFmtId="0" fontId="35" fillId="0" borderId="3" xfId="0" applyFont="1" applyBorder="1" applyAlignment="1" applyProtection="1">
      <alignment horizontal="left"/>
      <protection locked="0"/>
    </xf>
    <xf numFmtId="0" fontId="36" fillId="9" borderId="4" xfId="5" applyFont="1" applyFill="1" applyBorder="1" applyAlignment="1">
      <alignment horizontal="left" wrapText="1"/>
    </xf>
    <xf numFmtId="0" fontId="36" fillId="9" borderId="5" xfId="5" applyFont="1" applyFill="1" applyBorder="1" applyAlignment="1">
      <alignment horizontal="left" wrapText="1"/>
    </xf>
    <xf numFmtId="0" fontId="35" fillId="0" borderId="4" xfId="0" applyFont="1" applyBorder="1" applyAlignment="1" applyProtection="1">
      <alignment horizontal="center"/>
      <protection locked="0"/>
    </xf>
    <xf numFmtId="0" fontId="35" fillId="0" borderId="3" xfId="0" applyFont="1" applyBorder="1" applyAlignment="1" applyProtection="1">
      <alignment horizontal="center"/>
      <protection locked="0"/>
    </xf>
    <xf numFmtId="0" fontId="35" fillId="0" borderId="5" xfId="0" applyFont="1" applyBorder="1" applyAlignment="1" applyProtection="1">
      <alignment horizontal="center"/>
      <protection locked="0"/>
    </xf>
    <xf numFmtId="0" fontId="35" fillId="9" borderId="0" xfId="0" applyFont="1" applyFill="1" applyAlignment="1">
      <alignment horizontal="left" vertical="top" wrapText="1"/>
    </xf>
    <xf numFmtId="0" fontId="37" fillId="9" borderId="0" xfId="0" applyFont="1" applyFill="1" applyAlignment="1">
      <alignment horizontal="left" wrapText="1"/>
    </xf>
    <xf numFmtId="0" fontId="35" fillId="9" borderId="12" xfId="0" applyFont="1" applyFill="1" applyBorder="1" applyAlignment="1">
      <alignment horizontal="left"/>
    </xf>
    <xf numFmtId="0" fontId="35" fillId="9" borderId="13" xfId="0" applyFont="1" applyFill="1" applyBorder="1" applyAlignment="1">
      <alignment horizontal="left"/>
    </xf>
    <xf numFmtId="0" fontId="35" fillId="0" borderId="1" xfId="0" applyFont="1" applyBorder="1" applyAlignment="1" applyProtection="1">
      <alignment horizontal="left"/>
      <protection locked="0"/>
    </xf>
    <xf numFmtId="0" fontId="37" fillId="9" borderId="0" xfId="0" applyFont="1" applyFill="1" applyAlignment="1">
      <alignment horizontal="left" vertical="center"/>
    </xf>
    <xf numFmtId="0" fontId="35" fillId="9" borderId="0" xfId="0" applyFont="1" applyFill="1" applyAlignment="1">
      <alignment horizontal="right"/>
    </xf>
    <xf numFmtId="165" fontId="35" fillId="9" borderId="1" xfId="1" applyNumberFormat="1" applyFont="1" applyFill="1" applyBorder="1" applyAlignment="1" applyProtection="1">
      <alignment horizontal="left"/>
      <protection locked="0"/>
    </xf>
    <xf numFmtId="165" fontId="35" fillId="0" borderId="1" xfId="1" applyNumberFormat="1" applyFont="1" applyBorder="1" applyAlignment="1" applyProtection="1">
      <alignment horizontal="left"/>
      <protection locked="0"/>
    </xf>
    <xf numFmtId="6" fontId="35" fillId="0" borderId="4" xfId="0" applyNumberFormat="1" applyFont="1" applyBorder="1" applyAlignment="1" applyProtection="1">
      <alignment horizontal="center"/>
      <protection locked="0"/>
    </xf>
    <xf numFmtId="1" fontId="35" fillId="0" borderId="1" xfId="0" applyNumberFormat="1" applyFont="1" applyBorder="1" applyAlignment="1">
      <alignment horizontal="left"/>
    </xf>
    <xf numFmtId="165" fontId="35" fillId="9" borderId="1" xfId="1" applyNumberFormat="1" applyFont="1" applyFill="1" applyBorder="1" applyAlignment="1" applyProtection="1">
      <alignment horizontal="left"/>
    </xf>
    <xf numFmtId="165" fontId="35" fillId="0" borderId="1" xfId="1" applyNumberFormat="1" applyFont="1" applyBorder="1" applyAlignment="1" applyProtection="1">
      <alignment horizontal="left"/>
    </xf>
    <xf numFmtId="0" fontId="35" fillId="0" borderId="1" xfId="0" applyFont="1" applyBorder="1" applyAlignment="1" applyProtection="1">
      <alignment horizontal="center"/>
      <protection locked="0"/>
    </xf>
    <xf numFmtId="0" fontId="35" fillId="9" borderId="0" xfId="0" applyFont="1" applyFill="1" applyAlignment="1">
      <alignment horizontal="left" vertical="center"/>
    </xf>
    <xf numFmtId="0" fontId="37" fillId="9" borderId="19" xfId="0" applyFont="1" applyFill="1" applyBorder="1" applyAlignment="1">
      <alignment horizontal="left"/>
    </xf>
    <xf numFmtId="0" fontId="35" fillId="9" borderId="2" xfId="0" applyFont="1" applyFill="1" applyBorder="1" applyAlignment="1">
      <alignment horizontal="center"/>
    </xf>
    <xf numFmtId="0" fontId="34" fillId="3" borderId="29" xfId="5" applyFont="1" applyFill="1" applyBorder="1" applyAlignment="1">
      <alignment horizontal="center"/>
    </xf>
    <xf numFmtId="0" fontId="34" fillId="3" borderId="19" xfId="5" applyFont="1" applyFill="1" applyBorder="1" applyAlignment="1">
      <alignment horizontal="center"/>
    </xf>
    <xf numFmtId="0" fontId="34" fillId="3" borderId="30" xfId="5" applyFont="1" applyFill="1" applyBorder="1" applyAlignment="1">
      <alignment horizontal="center"/>
    </xf>
    <xf numFmtId="0" fontId="39" fillId="2" borderId="42" xfId="5" applyFont="1" applyFill="1" applyBorder="1" applyAlignment="1">
      <alignment horizontal="center" vertical="top" wrapText="1"/>
    </xf>
    <xf numFmtId="0" fontId="39" fillId="2" borderId="27" xfId="5" applyFont="1" applyFill="1" applyBorder="1" applyAlignment="1">
      <alignment horizontal="center" vertical="top" wrapText="1"/>
    </xf>
    <xf numFmtId="0" fontId="39" fillId="2" borderId="43" xfId="5" applyFont="1" applyFill="1" applyBorder="1" applyAlignment="1">
      <alignment horizontal="center" vertical="top" wrapText="1"/>
    </xf>
    <xf numFmtId="0" fontId="48" fillId="9" borderId="0" xfId="0" applyFont="1" applyFill="1" applyAlignment="1">
      <alignment horizontal="center" vertical="center"/>
    </xf>
    <xf numFmtId="0" fontId="35" fillId="0" borderId="9" xfId="0" applyFont="1" applyBorder="1" applyAlignment="1" applyProtection="1">
      <alignment horizontal="left" vertical="top" wrapText="1"/>
      <protection locked="0"/>
    </xf>
    <xf numFmtId="0" fontId="35" fillId="0" borderId="8" xfId="0" applyFont="1" applyBorder="1" applyAlignment="1" applyProtection="1">
      <alignment horizontal="left" vertical="top" wrapText="1"/>
      <protection locked="0"/>
    </xf>
    <xf numFmtId="0" fontId="35" fillId="0" borderId="10" xfId="0" applyFont="1" applyBorder="1" applyAlignment="1" applyProtection="1">
      <alignment horizontal="left" vertical="top" wrapText="1"/>
      <protection locked="0"/>
    </xf>
    <xf numFmtId="0" fontId="35" fillId="0" borderId="11" xfId="0" applyFont="1" applyBorder="1" applyAlignment="1" applyProtection="1">
      <alignment horizontal="left" vertical="top" wrapText="1"/>
      <protection locked="0"/>
    </xf>
    <xf numFmtId="0" fontId="35" fillId="0" borderId="12" xfId="0" applyFont="1" applyBorder="1" applyAlignment="1" applyProtection="1">
      <alignment horizontal="left" vertical="top" wrapText="1"/>
      <protection locked="0"/>
    </xf>
    <xf numFmtId="0" fontId="35" fillId="0" borderId="13" xfId="0" applyFont="1" applyBorder="1" applyAlignment="1" applyProtection="1">
      <alignment horizontal="left" vertical="top" wrapText="1"/>
      <protection locked="0"/>
    </xf>
    <xf numFmtId="0" fontId="41" fillId="9" borderId="0" xfId="0" applyFont="1" applyFill="1" applyAlignment="1">
      <alignment horizontal="left" vertical="center"/>
    </xf>
    <xf numFmtId="0" fontId="41" fillId="9" borderId="6" xfId="0" applyFont="1" applyFill="1" applyBorder="1" applyAlignment="1">
      <alignment horizontal="left" vertical="center"/>
    </xf>
    <xf numFmtId="0" fontId="42" fillId="9" borderId="0" xfId="0" applyFont="1" applyFill="1" applyAlignment="1">
      <alignment horizontal="left" vertical="center"/>
    </xf>
    <xf numFmtId="0" fontId="41" fillId="9" borderId="0" xfId="0" applyFont="1" applyFill="1" applyAlignment="1">
      <alignment horizontal="left" vertical="center" wrapText="1"/>
    </xf>
    <xf numFmtId="0" fontId="42" fillId="9" borderId="0" xfId="0" applyFont="1" applyFill="1" applyAlignment="1">
      <alignment horizontal="left" vertical="center" wrapText="1"/>
    </xf>
    <xf numFmtId="0" fontId="35" fillId="9" borderId="6" xfId="0" applyFont="1" applyFill="1" applyBorder="1" applyAlignment="1">
      <alignment horizontal="left" vertical="center"/>
    </xf>
    <xf numFmtId="0" fontId="37" fillId="9" borderId="0" xfId="0" applyFont="1" applyFill="1" applyAlignment="1">
      <alignment horizontal="left" vertical="center" wrapText="1"/>
    </xf>
    <xf numFmtId="0" fontId="37" fillId="9" borderId="6" xfId="0" applyFont="1" applyFill="1" applyBorder="1" applyAlignment="1">
      <alignment horizontal="left" vertical="center"/>
    </xf>
    <xf numFmtId="0" fontId="37" fillId="9" borderId="6" xfId="0" applyFont="1" applyFill="1" applyBorder="1" applyAlignment="1">
      <alignment horizontal="left" vertical="center" wrapText="1"/>
    </xf>
    <xf numFmtId="0" fontId="41" fillId="9" borderId="6" xfId="0" applyFont="1" applyFill="1" applyBorder="1" applyAlignment="1">
      <alignment horizontal="left" vertical="center" wrapText="1"/>
    </xf>
    <xf numFmtId="0" fontId="41" fillId="9" borderId="0" xfId="0" applyFont="1" applyFill="1" applyAlignment="1">
      <alignment horizontal="left" vertical="top" wrapText="1"/>
    </xf>
    <xf numFmtId="0" fontId="39" fillId="3" borderId="56" xfId="5" applyFont="1" applyFill="1" applyBorder="1" applyAlignment="1">
      <alignment horizontal="center" vertical="top" wrapText="1"/>
    </xf>
    <xf numFmtId="0" fontId="39" fillId="3" borderId="64" xfId="5" applyFont="1" applyFill="1" applyBorder="1" applyAlignment="1">
      <alignment horizontal="center" vertical="top" wrapText="1"/>
    </xf>
    <xf numFmtId="0" fontId="39" fillId="3" borderId="57" xfId="5" applyFont="1" applyFill="1" applyBorder="1" applyAlignment="1">
      <alignment horizontal="center" vertical="top" wrapText="1"/>
    </xf>
    <xf numFmtId="0" fontId="35" fillId="9" borderId="36" xfId="0" applyFont="1" applyFill="1" applyBorder="1" applyAlignment="1">
      <alignment horizontal="center"/>
    </xf>
    <xf numFmtId="0" fontId="35" fillId="9" borderId="34" xfId="0" applyFont="1" applyFill="1" applyBorder="1" applyAlignment="1">
      <alignment horizontal="center"/>
    </xf>
    <xf numFmtId="0" fontId="35" fillId="9" borderId="36" xfId="0" applyFont="1" applyFill="1" applyBorder="1" applyAlignment="1">
      <alignment horizontal="center" wrapText="1"/>
    </xf>
    <xf numFmtId="0" fontId="35" fillId="9" borderId="0" xfId="0" applyFont="1" applyFill="1" applyAlignment="1">
      <alignment horizontal="center" wrapText="1"/>
    </xf>
    <xf numFmtId="0" fontId="35" fillId="9" borderId="34" xfId="0" applyFont="1" applyFill="1" applyBorder="1" applyAlignment="1">
      <alignment horizontal="center" wrapText="1"/>
    </xf>
    <xf numFmtId="0" fontId="42" fillId="9" borderId="6" xfId="0" applyFont="1" applyFill="1" applyBorder="1" applyAlignment="1">
      <alignment horizontal="left" vertical="center"/>
    </xf>
    <xf numFmtId="0" fontId="35" fillId="9" borderId="6" xfId="0" applyFont="1" applyFill="1" applyBorder="1" applyAlignment="1">
      <alignment horizontal="right"/>
    </xf>
    <xf numFmtId="39" fontId="35" fillId="0" borderId="4" xfId="6" applyNumberFormat="1" applyFont="1" applyBorder="1" applyAlignment="1" applyProtection="1">
      <alignment horizontal="center"/>
      <protection locked="0"/>
    </xf>
    <xf numFmtId="39" fontId="35" fillId="0" borderId="3" xfId="6" applyNumberFormat="1" applyFont="1" applyBorder="1" applyAlignment="1" applyProtection="1">
      <alignment horizontal="center"/>
      <protection locked="0"/>
    </xf>
    <xf numFmtId="39" fontId="35" fillId="0" borderId="5" xfId="6" applyNumberFormat="1" applyFont="1" applyBorder="1" applyAlignment="1" applyProtection="1">
      <alignment horizontal="center"/>
      <protection locked="0"/>
    </xf>
    <xf numFmtId="10" fontId="35" fillId="0" borderId="4" xfId="2" applyNumberFormat="1" applyFont="1" applyBorder="1" applyAlignment="1" applyProtection="1">
      <alignment horizontal="center"/>
      <protection locked="0"/>
    </xf>
    <xf numFmtId="10" fontId="35" fillId="0" borderId="3" xfId="2" applyNumberFormat="1" applyFont="1" applyBorder="1" applyAlignment="1" applyProtection="1">
      <alignment horizontal="center"/>
      <protection locked="0"/>
    </xf>
    <xf numFmtId="10" fontId="35" fillId="0" borderId="5" xfId="2" applyNumberFormat="1" applyFont="1" applyBorder="1" applyAlignment="1" applyProtection="1">
      <alignment horizontal="center"/>
      <protection locked="0"/>
    </xf>
    <xf numFmtId="0" fontId="35" fillId="9" borderId="36" xfId="0" applyFont="1" applyFill="1" applyBorder="1" applyAlignment="1">
      <alignment horizontal="left" wrapText="1"/>
    </xf>
    <xf numFmtId="0" fontId="35" fillId="9" borderId="34" xfId="0" applyFont="1" applyFill="1" applyBorder="1" applyAlignment="1">
      <alignment horizontal="left" wrapText="1"/>
    </xf>
    <xf numFmtId="0" fontId="37" fillId="9" borderId="2" xfId="0" applyFont="1" applyFill="1" applyBorder="1" applyAlignment="1">
      <alignment horizontal="left"/>
    </xf>
    <xf numFmtId="0" fontId="35" fillId="9" borderId="2" xfId="0" applyFont="1" applyFill="1" applyBorder="1" applyAlignment="1">
      <alignment horizontal="left" vertical="top" wrapText="1"/>
    </xf>
    <xf numFmtId="0" fontId="37" fillId="9" borderId="2" xfId="0" applyFont="1" applyFill="1" applyBorder="1" applyAlignment="1">
      <alignment horizontal="left" vertical="top" wrapText="1"/>
    </xf>
    <xf numFmtId="0" fontId="37" fillId="9" borderId="0" xfId="0" applyFont="1" applyFill="1" applyAlignment="1">
      <alignment horizontal="left" vertical="top" wrapText="1"/>
    </xf>
    <xf numFmtId="0" fontId="37" fillId="9" borderId="2" xfId="0" applyFont="1" applyFill="1" applyBorder="1" applyAlignment="1">
      <alignment wrapText="1"/>
    </xf>
    <xf numFmtId="0" fontId="37" fillId="9" borderId="0" xfId="0" applyFont="1" applyFill="1" applyAlignment="1">
      <alignment wrapText="1"/>
    </xf>
    <xf numFmtId="0" fontId="37" fillId="9" borderId="2" xfId="0" applyFont="1" applyFill="1" applyBorder="1" applyAlignment="1">
      <alignment horizontal="left" wrapText="1"/>
    </xf>
    <xf numFmtId="0" fontId="54" fillId="0" borderId="1" xfId="0" applyFont="1" applyBorder="1" applyAlignment="1">
      <alignment horizontal="left"/>
    </xf>
    <xf numFmtId="0" fontId="54" fillId="0" borderId="1" xfId="0" applyFont="1" applyBorder="1" applyAlignment="1" applyProtection="1">
      <alignment horizontal="left"/>
      <protection locked="0"/>
    </xf>
    <xf numFmtId="0" fontId="33" fillId="9" borderId="0" xfId="0" applyFont="1" applyFill="1" applyAlignment="1">
      <alignment horizontal="center"/>
    </xf>
    <xf numFmtId="0" fontId="54" fillId="9" borderId="1" xfId="0" applyFont="1" applyFill="1" applyBorder="1" applyAlignment="1">
      <alignment horizontal="center"/>
    </xf>
    <xf numFmtId="0" fontId="54" fillId="0" borderId="4" xfId="0" applyFont="1" applyBorder="1" applyAlignment="1">
      <alignment horizontal="left"/>
    </xf>
    <xf numFmtId="0" fontId="54" fillId="0" borderId="5" xfId="0" applyFont="1" applyBorder="1" applyAlignment="1">
      <alignment horizontal="left"/>
    </xf>
    <xf numFmtId="0" fontId="54" fillId="9" borderId="0" xfId="0" applyFont="1" applyFill="1" applyAlignment="1">
      <alignment horizontal="left" vertical="top" wrapText="1"/>
    </xf>
    <xf numFmtId="0" fontId="22" fillId="3" borderId="29" xfId="5" applyFont="1" applyFill="1" applyBorder="1" applyAlignment="1">
      <alignment horizontal="center"/>
    </xf>
    <xf numFmtId="0" fontId="22" fillId="3" borderId="19" xfId="5" applyFont="1" applyFill="1" applyBorder="1" applyAlignment="1">
      <alignment horizontal="center"/>
    </xf>
    <xf numFmtId="0" fontId="22" fillId="3" borderId="30" xfId="5" applyFont="1" applyFill="1" applyBorder="1" applyAlignment="1">
      <alignment horizontal="center"/>
    </xf>
    <xf numFmtId="0" fontId="54" fillId="9" borderId="0" xfId="0" applyFont="1" applyFill="1" applyAlignment="1">
      <alignment horizontal="right"/>
    </xf>
    <xf numFmtId="0" fontId="54" fillId="9" borderId="6" xfId="0" applyFont="1" applyFill="1" applyBorder="1" applyAlignment="1">
      <alignment horizontal="right"/>
    </xf>
    <xf numFmtId="0" fontId="54" fillId="0" borderId="9" xfId="0" applyFont="1" applyBorder="1" applyAlignment="1" applyProtection="1">
      <alignment horizontal="left" wrapText="1"/>
      <protection locked="0"/>
    </xf>
    <xf numFmtId="0" fontId="54" fillId="0" borderId="8" xfId="0" applyFont="1" applyBorder="1" applyAlignment="1" applyProtection="1">
      <alignment horizontal="left" wrapText="1"/>
      <protection locked="0"/>
    </xf>
    <xf numFmtId="0" fontId="54" fillId="0" borderId="10" xfId="0" applyFont="1" applyBorder="1" applyAlignment="1" applyProtection="1">
      <alignment horizontal="left" wrapText="1"/>
      <protection locked="0"/>
    </xf>
    <xf numFmtId="0" fontId="54" fillId="0" borderId="2" xfId="0" applyFont="1" applyBorder="1" applyAlignment="1" applyProtection="1">
      <alignment horizontal="left" wrapText="1"/>
      <protection locked="0"/>
    </xf>
    <xf numFmtId="0" fontId="54" fillId="0" borderId="0" xfId="0" applyFont="1" applyAlignment="1" applyProtection="1">
      <alignment horizontal="left" wrapText="1"/>
      <protection locked="0"/>
    </xf>
    <xf numFmtId="0" fontId="54" fillId="0" borderId="6" xfId="0" applyFont="1" applyBorder="1" applyAlignment="1" applyProtection="1">
      <alignment horizontal="left" wrapText="1"/>
      <protection locked="0"/>
    </xf>
    <xf numFmtId="0" fontId="54" fillId="0" borderId="11" xfId="0" applyFont="1" applyBorder="1" applyAlignment="1" applyProtection="1">
      <alignment horizontal="left" wrapText="1"/>
      <protection locked="0"/>
    </xf>
    <xf numFmtId="0" fontId="54" fillId="0" borderId="12" xfId="0" applyFont="1" applyBorder="1" applyAlignment="1" applyProtection="1">
      <alignment horizontal="left" wrapText="1"/>
      <protection locked="0"/>
    </xf>
    <xf numFmtId="0" fontId="54" fillId="0" borderId="13" xfId="0" applyFont="1" applyBorder="1" applyAlignment="1" applyProtection="1">
      <alignment horizontal="left" wrapText="1"/>
      <protection locked="0"/>
    </xf>
    <xf numFmtId="0" fontId="54" fillId="9" borderId="0" xfId="0" applyFont="1" applyFill="1" applyAlignment="1">
      <alignment horizontal="left" vertical="top"/>
    </xf>
    <xf numFmtId="0" fontId="55" fillId="9" borderId="0" xfId="0" applyFont="1" applyFill="1" applyAlignment="1">
      <alignment horizontal="left" vertical="top" wrapText="1"/>
    </xf>
    <xf numFmtId="0" fontId="55" fillId="9" borderId="34" xfId="0" applyFont="1" applyFill="1" applyBorder="1" applyAlignment="1">
      <alignment horizontal="left" vertical="top" wrapText="1"/>
    </xf>
    <xf numFmtId="0" fontId="54" fillId="9" borderId="0" xfId="0" applyFont="1" applyFill="1" applyAlignment="1">
      <alignment horizontal="left" wrapText="1"/>
    </xf>
    <xf numFmtId="0" fontId="55" fillId="9" borderId="0" xfId="0" applyFont="1" applyFill="1" applyAlignment="1">
      <alignment horizontal="left" wrapText="1"/>
    </xf>
    <xf numFmtId="0" fontId="55" fillId="9" borderId="0" xfId="0" applyFont="1" applyFill="1" applyAlignment="1">
      <alignment horizontal="left" vertical="top"/>
    </xf>
    <xf numFmtId="0" fontId="55" fillId="9" borderId="34" xfId="0" applyFont="1" applyFill="1" applyBorder="1" applyAlignment="1">
      <alignment horizontal="left" wrapText="1"/>
    </xf>
    <xf numFmtId="0" fontId="54" fillId="9" borderId="0" xfId="0" applyFont="1" applyFill="1" applyAlignment="1">
      <alignment horizontal="left" vertical="center"/>
    </xf>
    <xf numFmtId="0" fontId="54" fillId="0" borderId="9" xfId="0" applyFont="1" applyBorder="1" applyAlignment="1" applyProtection="1">
      <alignment horizontal="left"/>
      <protection locked="0"/>
    </xf>
    <xf numFmtId="0" fontId="54" fillId="0" borderId="8" xfId="0" applyFont="1" applyBorder="1" applyAlignment="1" applyProtection="1">
      <alignment horizontal="left"/>
      <protection locked="0"/>
    </xf>
    <xf numFmtId="0" fontId="54" fillId="0" borderId="10" xfId="0" applyFont="1" applyBorder="1" applyAlignment="1" applyProtection="1">
      <alignment horizontal="left"/>
      <protection locked="0"/>
    </xf>
    <xf numFmtId="0" fontId="54" fillId="0" borderId="2" xfId="0" applyFont="1" applyBorder="1" applyAlignment="1" applyProtection="1">
      <alignment horizontal="left"/>
      <protection locked="0"/>
    </xf>
    <xf numFmtId="0" fontId="54" fillId="0" borderId="0" xfId="0" applyFont="1" applyAlignment="1" applyProtection="1">
      <alignment horizontal="left"/>
      <protection locked="0"/>
    </xf>
    <xf numFmtId="0" fontId="54" fillId="0" borderId="6" xfId="0" applyFont="1" applyBorder="1" applyAlignment="1" applyProtection="1">
      <alignment horizontal="left"/>
      <protection locked="0"/>
    </xf>
    <xf numFmtId="0" fontId="54" fillId="0" borderId="11" xfId="0" applyFont="1" applyBorder="1" applyAlignment="1" applyProtection="1">
      <alignment horizontal="left"/>
      <protection locked="0"/>
    </xf>
    <xf numFmtId="0" fontId="54" fillId="0" borderId="12" xfId="0" applyFont="1" applyBorder="1" applyAlignment="1" applyProtection="1">
      <alignment horizontal="left"/>
      <protection locked="0"/>
    </xf>
    <xf numFmtId="0" fontId="54" fillId="0" borderId="13" xfId="0" applyFont="1" applyBorder="1" applyAlignment="1" applyProtection="1">
      <alignment horizontal="left"/>
      <protection locked="0"/>
    </xf>
    <xf numFmtId="0" fontId="54" fillId="9" borderId="0" xfId="0" applyFont="1" applyFill="1" applyAlignment="1">
      <alignment horizontal="left" vertical="center" wrapText="1"/>
    </xf>
    <xf numFmtId="0" fontId="55" fillId="9" borderId="36" xfId="0" applyFont="1" applyFill="1" applyBorder="1" applyAlignment="1">
      <alignment horizontal="left" wrapText="1"/>
    </xf>
    <xf numFmtId="0" fontId="54" fillId="9" borderId="34" xfId="0" applyFont="1" applyFill="1" applyBorder="1" applyAlignment="1">
      <alignment horizontal="left" wrapText="1"/>
    </xf>
    <xf numFmtId="0" fontId="54" fillId="9" borderId="36" xfId="0" applyFont="1" applyFill="1" applyBorder="1" applyAlignment="1">
      <alignment horizontal="left" vertical="center" wrapText="1"/>
    </xf>
    <xf numFmtId="0" fontId="54" fillId="9" borderId="34" xfId="0" applyFont="1" applyFill="1" applyBorder="1" applyAlignment="1">
      <alignment horizontal="left" vertical="center" wrapText="1"/>
    </xf>
    <xf numFmtId="0" fontId="54" fillId="9" borderId="0" xfId="0" applyFont="1" applyFill="1" applyAlignment="1">
      <alignment horizontal="left"/>
    </xf>
    <xf numFmtId="0" fontId="9" fillId="0" borderId="0" xfId="4" applyAlignment="1">
      <alignment horizontal="left"/>
    </xf>
    <xf numFmtId="6" fontId="17" fillId="11" borderId="56" xfId="5" applyNumberFormat="1" applyFont="1" applyFill="1" applyBorder="1" applyAlignment="1">
      <alignment horizontal="right"/>
    </xf>
    <xf numFmtId="6" fontId="17" fillId="11" borderId="64" xfId="5" applyNumberFormat="1" applyFont="1" applyFill="1" applyBorder="1" applyAlignment="1">
      <alignment horizontal="right"/>
    </xf>
    <xf numFmtId="6" fontId="17" fillId="11" borderId="57" xfId="5" applyNumberFormat="1" applyFont="1" applyFill="1" applyBorder="1" applyAlignment="1">
      <alignment horizontal="right"/>
    </xf>
    <xf numFmtId="49" fontId="29" fillId="3" borderId="56" xfId="5" applyNumberFormat="1" applyFont="1" applyFill="1" applyBorder="1" applyAlignment="1">
      <alignment horizontal="center"/>
    </xf>
    <xf numFmtId="49" fontId="29" fillId="3" borderId="64" xfId="5" applyNumberFormat="1" applyFont="1" applyFill="1" applyBorder="1" applyAlignment="1">
      <alignment horizontal="center"/>
    </xf>
    <xf numFmtId="49" fontId="29" fillId="3" borderId="57" xfId="5" applyNumberFormat="1" applyFont="1" applyFill="1" applyBorder="1" applyAlignment="1">
      <alignment horizontal="center"/>
    </xf>
    <xf numFmtId="0" fontId="59" fillId="11" borderId="68" xfId="5" applyFont="1" applyFill="1" applyBorder="1" applyAlignment="1">
      <alignment horizontal="center"/>
    </xf>
    <xf numFmtId="0" fontId="17" fillId="11" borderId="36" xfId="18" applyFont="1" applyFill="1" applyBorder="1" applyAlignment="1">
      <alignment horizontal="left" vertical="top" wrapText="1"/>
    </xf>
    <xf numFmtId="0" fontId="17" fillId="11" borderId="0" xfId="18" applyFont="1" applyFill="1" applyAlignment="1">
      <alignment horizontal="left" vertical="top" wrapText="1"/>
    </xf>
    <xf numFmtId="0" fontId="17" fillId="0" borderId="4" xfId="18" applyFont="1" applyBorder="1" applyAlignment="1">
      <alignment vertical="top" wrapText="1"/>
    </xf>
    <xf numFmtId="0" fontId="17" fillId="0" borderId="3" xfId="18" applyFont="1" applyBorder="1" applyAlignment="1">
      <alignment vertical="top" wrapText="1"/>
    </xf>
    <xf numFmtId="0" fontId="17" fillId="0" borderId="5" xfId="18" applyFont="1" applyBorder="1" applyAlignment="1">
      <alignment vertical="top" wrapText="1"/>
    </xf>
    <xf numFmtId="0" fontId="59" fillId="0" borderId="4" xfId="5" applyFont="1" applyBorder="1" applyAlignment="1">
      <alignment horizontal="right"/>
    </xf>
    <xf numFmtId="0" fontId="59" fillId="0" borderId="3" xfId="5" applyFont="1" applyBorder="1" applyAlignment="1">
      <alignment horizontal="right"/>
    </xf>
    <xf numFmtId="0" fontId="59" fillId="0" borderId="5" xfId="5" applyFont="1" applyBorder="1" applyAlignment="1">
      <alignment horizontal="right"/>
    </xf>
    <xf numFmtId="0" fontId="60" fillId="11" borderId="36" xfId="5" applyFont="1" applyFill="1" applyBorder="1" applyAlignment="1">
      <alignment wrapText="1"/>
    </xf>
    <xf numFmtId="0" fontId="60" fillId="11" borderId="0" xfId="5" applyFont="1" applyFill="1" applyAlignment="1">
      <alignment wrapText="1"/>
    </xf>
    <xf numFmtId="0" fontId="60" fillId="11" borderId="34" xfId="5" applyFont="1" applyFill="1" applyBorder="1" applyAlignment="1">
      <alignment wrapText="1"/>
    </xf>
    <xf numFmtId="6" fontId="18" fillId="0" borderId="1" xfId="5" applyNumberFormat="1" applyFont="1" applyBorder="1" applyAlignment="1">
      <alignment horizontal="right"/>
    </xf>
    <xf numFmtId="0" fontId="18" fillId="0" borderId="4" xfId="5" applyFont="1" applyBorder="1" applyAlignment="1">
      <alignment horizontal="center"/>
    </xf>
    <xf numFmtId="0" fontId="18" fillId="0" borderId="3" xfId="5" applyFont="1" applyBorder="1" applyAlignment="1">
      <alignment horizontal="center"/>
    </xf>
    <xf numFmtId="0" fontId="18" fillId="0" borderId="5" xfId="5" applyFont="1" applyBorder="1" applyAlignment="1">
      <alignment horizontal="center"/>
    </xf>
    <xf numFmtId="6" fontId="18" fillId="0" borderId="7" xfId="5" applyNumberFormat="1" applyFont="1" applyBorder="1" applyAlignment="1">
      <alignment horizontal="right"/>
    </xf>
    <xf numFmtId="6" fontId="18" fillId="11" borderId="4" xfId="5" applyNumberFormat="1" applyFont="1" applyFill="1" applyBorder="1" applyAlignment="1">
      <alignment horizontal="right"/>
    </xf>
    <xf numFmtId="6" fontId="18" fillId="11" borderId="5" xfId="5" applyNumberFormat="1" applyFont="1" applyFill="1" applyBorder="1" applyAlignment="1">
      <alignment horizontal="right"/>
    </xf>
    <xf numFmtId="0" fontId="18" fillId="11" borderId="0" xfId="5" applyFont="1" applyFill="1" applyAlignment="1">
      <alignment horizontal="right"/>
    </xf>
    <xf numFmtId="167" fontId="60" fillId="11" borderId="56" xfId="5" applyNumberFormat="1" applyFont="1" applyFill="1" applyBorder="1" applyAlignment="1">
      <alignment horizontal="center"/>
    </xf>
    <xf numFmtId="167" fontId="60" fillId="11" borderId="64" xfId="5" applyNumberFormat="1" applyFont="1" applyFill="1" applyBorder="1" applyAlignment="1">
      <alignment horizontal="center"/>
    </xf>
    <xf numFmtId="167" fontId="60" fillId="11" borderId="57" xfId="5" applyNumberFormat="1" applyFont="1" applyFill="1" applyBorder="1" applyAlignment="1">
      <alignment horizontal="center"/>
    </xf>
    <xf numFmtId="167" fontId="17" fillId="11" borderId="56" xfId="5" applyNumberFormat="1" applyFont="1" applyFill="1" applyBorder="1" applyAlignment="1">
      <alignment horizontal="center"/>
    </xf>
    <xf numFmtId="167" fontId="17" fillId="11" borderId="64" xfId="5" applyNumberFormat="1" applyFont="1" applyFill="1" applyBorder="1" applyAlignment="1">
      <alignment horizontal="center"/>
    </xf>
    <xf numFmtId="167" fontId="17" fillId="11" borderId="57" xfId="5" applyNumberFormat="1" applyFont="1" applyFill="1" applyBorder="1" applyAlignment="1">
      <alignment horizontal="center"/>
    </xf>
    <xf numFmtId="0" fontId="60" fillId="11" borderId="42" xfId="5" applyFont="1" applyFill="1" applyBorder="1" applyAlignment="1">
      <alignment horizontal="left" vertical="top" wrapText="1"/>
    </xf>
    <xf numFmtId="0" fontId="60" fillId="11" borderId="27" xfId="5" applyFont="1" applyFill="1" applyBorder="1" applyAlignment="1">
      <alignment horizontal="left" vertical="top" wrapText="1"/>
    </xf>
    <xf numFmtId="0" fontId="60" fillId="12" borderId="56" xfId="5" applyFont="1" applyFill="1" applyBorder="1" applyAlignment="1">
      <alignment horizontal="center" vertical="top" wrapText="1"/>
    </xf>
    <xf numFmtId="0" fontId="60" fillId="12" borderId="64" xfId="5" applyFont="1" applyFill="1" applyBorder="1" applyAlignment="1">
      <alignment horizontal="center" vertical="top" wrapText="1"/>
    </xf>
    <xf numFmtId="0" fontId="60" fillId="12" borderId="57" xfId="5" applyFont="1" applyFill="1" applyBorder="1" applyAlignment="1">
      <alignment horizontal="center" vertical="top" wrapText="1"/>
    </xf>
    <xf numFmtId="0" fontId="50" fillId="7" borderId="0" xfId="16" applyFont="1" applyFill="1" applyAlignment="1">
      <alignment horizontal="left"/>
    </xf>
    <xf numFmtId="0" fontId="6" fillId="0" borderId="0" xfId="16" applyFont="1" applyAlignment="1">
      <alignment horizontal="left"/>
    </xf>
    <xf numFmtId="0" fontId="51" fillId="7" borderId="75" xfId="16" applyFont="1" applyFill="1" applyBorder="1" applyAlignment="1">
      <alignment horizontal="right"/>
    </xf>
    <xf numFmtId="0" fontId="51" fillId="7" borderId="76" xfId="16" applyFont="1" applyFill="1" applyBorder="1" applyAlignment="1">
      <alignment horizontal="right"/>
    </xf>
    <xf numFmtId="0" fontId="51" fillId="7" borderId="77" xfId="16" applyFont="1" applyFill="1" applyBorder="1" applyAlignment="1">
      <alignment horizontal="right"/>
    </xf>
    <xf numFmtId="0" fontId="6" fillId="7" borderId="82" xfId="16" applyFont="1" applyFill="1" applyBorder="1" applyAlignment="1">
      <alignment horizontal="left"/>
    </xf>
    <xf numFmtId="0" fontId="6" fillId="7" borderId="83" xfId="16" applyFont="1" applyFill="1" applyBorder="1" applyAlignment="1">
      <alignment horizontal="left"/>
    </xf>
  </cellXfs>
  <cellStyles count="20">
    <cellStyle name="Comma" xfId="6" builtinId="3"/>
    <cellStyle name="Comma 2" xfId="8" xr:uid="{00000000-0005-0000-0000-000002000000}"/>
    <cellStyle name="Comma 3" xfId="14" xr:uid="{00000000-0005-0000-0000-000003000000}"/>
    <cellStyle name="Currency" xfId="1" builtinId="4"/>
    <cellStyle name="Currency 2" xfId="9" xr:uid="{00000000-0005-0000-0000-000006000000}"/>
    <cellStyle name="Currency 3" xfId="11" xr:uid="{00000000-0005-0000-0000-000007000000}"/>
    <cellStyle name="Hyperlink" xfId="4" builtinId="8"/>
    <cellStyle name="Normal" xfId="0" builtinId="0"/>
    <cellStyle name="Normal 2" xfId="5" xr:uid="{00000000-0005-0000-0000-00000B000000}"/>
    <cellStyle name="Normal 2 2" xfId="13" xr:uid="{00000000-0005-0000-0000-00000C000000}"/>
    <cellStyle name="Normal 3" xfId="3" xr:uid="{00000000-0005-0000-0000-00000D000000}"/>
    <cellStyle name="Normal 3 2" xfId="19" xr:uid="{7D2EC299-5BD2-4AAE-AB37-4BB2E1E0F758}"/>
    <cellStyle name="Normal 4" xfId="10" xr:uid="{00000000-0005-0000-0000-00000E000000}"/>
    <cellStyle name="Normal 5" xfId="16" xr:uid="{00000000-0005-0000-0000-00000F000000}"/>
    <cellStyle name="Normal 5 2" xfId="18" xr:uid="{61E9EFF3-FEC9-430F-A5A5-8CC9D0ED1870}"/>
    <cellStyle name="Normal 6" xfId="17" xr:uid="{6F5506AF-B320-4F6C-818C-327F790CD90F}"/>
    <cellStyle name="Normal_AIF Spreads2" xfId="15" xr:uid="{00000000-0005-0000-0000-000010000000}"/>
    <cellStyle name="Percent" xfId="2" builtinId="5"/>
    <cellStyle name="Percent 2" xfId="7" xr:uid="{00000000-0005-0000-0000-000013000000}"/>
    <cellStyle name="Percent 3" xfId="12" xr:uid="{00000000-0005-0000-0000-000014000000}"/>
  </cellStyles>
  <dxfs count="385">
    <dxf>
      <font>
        <condense val="0"/>
        <extend val="0"/>
        <color auto="1"/>
      </font>
      <fill>
        <patternFill>
          <bgColor indexed="26"/>
        </patternFill>
      </fill>
    </dxf>
    <dxf>
      <font>
        <condense val="0"/>
        <extend val="0"/>
        <color auto="1"/>
      </font>
      <fill>
        <patternFill patternType="solid">
          <bgColor indexed="26"/>
        </patternFill>
      </fill>
      <border>
        <left/>
        <right/>
        <top/>
        <bottom style="thin">
          <color indexed="22"/>
        </bottom>
      </border>
    </dxf>
    <dxf>
      <font>
        <condense val="0"/>
        <extend val="0"/>
        <color indexed="9"/>
      </font>
      <fill>
        <patternFill patternType="solid">
          <bgColor indexed="9"/>
        </patternFill>
      </fill>
    </dxf>
    <dxf>
      <font>
        <condense val="0"/>
        <extend val="0"/>
        <color auto="1"/>
      </font>
      <fill>
        <patternFill>
          <bgColor indexed="26"/>
        </patternFill>
      </fill>
    </dxf>
    <dxf>
      <font>
        <condense val="0"/>
        <extend val="0"/>
        <color auto="1"/>
      </font>
      <fill>
        <patternFill patternType="solid">
          <bgColor indexed="26"/>
        </patternFill>
      </fill>
      <border>
        <left/>
        <right/>
        <top/>
        <bottom style="thin">
          <color indexed="22"/>
        </bottom>
      </border>
    </dxf>
    <dxf>
      <font>
        <condense val="0"/>
        <extend val="0"/>
        <color indexed="9"/>
      </font>
      <fill>
        <patternFill patternType="solid">
          <bgColor indexed="9"/>
        </patternFill>
      </fill>
    </dxf>
    <dxf>
      <font>
        <condense val="0"/>
        <extend val="0"/>
        <color auto="1"/>
      </font>
      <fill>
        <patternFill>
          <bgColor indexed="26"/>
        </patternFill>
      </fill>
    </dxf>
    <dxf>
      <font>
        <condense val="0"/>
        <extend val="0"/>
        <color auto="1"/>
      </font>
      <fill>
        <patternFill patternType="solid">
          <bgColor indexed="26"/>
        </patternFill>
      </fill>
      <border>
        <left/>
        <right/>
        <top/>
        <bottom style="thin">
          <color indexed="22"/>
        </bottom>
      </border>
    </dxf>
    <dxf>
      <font>
        <condense val="0"/>
        <extend val="0"/>
        <color indexed="9"/>
      </font>
      <fill>
        <patternFill patternType="solid">
          <bgColor indexed="9"/>
        </patternFill>
      </fill>
    </dxf>
    <dxf>
      <font>
        <condense val="0"/>
        <extend val="0"/>
        <color auto="1"/>
      </font>
      <fill>
        <patternFill>
          <bgColor indexed="26"/>
        </patternFill>
      </fill>
    </dxf>
    <dxf>
      <font>
        <condense val="0"/>
        <extend val="0"/>
        <color auto="1"/>
      </font>
      <fill>
        <patternFill patternType="solid">
          <bgColor indexed="26"/>
        </patternFill>
      </fill>
      <border>
        <left/>
        <right/>
        <top/>
        <bottom style="thin">
          <color indexed="22"/>
        </bottom>
      </border>
    </dxf>
    <dxf>
      <font>
        <condense val="0"/>
        <extend val="0"/>
        <color indexed="9"/>
      </font>
      <fill>
        <patternFill patternType="solid">
          <bgColor indexed="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2"/>
      </font>
    </dxf>
    <dxf>
      <font>
        <color theme="2"/>
      </font>
    </dxf>
    <dxf>
      <font>
        <color theme="2"/>
      </font>
    </dxf>
    <dxf>
      <font>
        <color theme="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1"/>
        </patternFill>
      </fill>
    </dxf>
    <dxf>
      <font>
        <color rgb="FFFF0000"/>
      </font>
      <fill>
        <patternFill>
          <bgColor theme="5" tint="0.59996337778862885"/>
        </patternFill>
      </fill>
    </dxf>
    <dxf>
      <fill>
        <patternFill>
          <bgColor theme="1"/>
        </patternFill>
      </fill>
    </dxf>
    <dxf>
      <font>
        <color rgb="FFFF0000"/>
      </font>
      <fill>
        <patternFill>
          <bgColor theme="5" tint="0.59996337778862885"/>
        </patternFill>
      </fill>
    </dxf>
    <dxf>
      <font>
        <color rgb="FFFF0000"/>
      </font>
      <fill>
        <patternFill>
          <bgColor theme="5" tint="0.79998168889431442"/>
        </patternFill>
      </fill>
    </dxf>
    <dxf>
      <font>
        <color rgb="FFFF0000"/>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FF00"/>
        </patternFill>
      </fill>
    </dxf>
    <dxf>
      <fill>
        <patternFill patternType="darkTrellis">
          <bgColor theme="2" tint="-0.24994659260841701"/>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protection locked="0" hidden="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187" formatCode="m/d/yyyy"/>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 formatCode="0.00"/>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0" indent="0" justifyLastLine="0" shrinkToFit="0" readingOrder="0"/>
      <protection locked="1" hidden="0"/>
    </dxf>
    <dxf>
      <numFmt numFmtId="7" formatCode="#,##0.00_);\(#,##0.00\)"/>
      <fill>
        <patternFill patternType="solid">
          <fgColor indexed="64"/>
          <bgColor theme="2" tint="-9.9978637043366805E-2"/>
        </patternFill>
      </fill>
      <alignment horizontal="right" vertical="bottom" textRotation="0" wrapText="0" indent="0" justifyLastLine="0" shrinkToFit="0" readingOrder="0"/>
      <border diagonalUp="0" diagonalDown="0" outline="0">
        <left style="thin">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minor"/>
      </font>
      <numFmt numFmtId="7" formatCode="#,##0.00_);\(#,##0.00\)"/>
      <fill>
        <patternFill patternType="none">
          <fgColor indexed="64"/>
          <bgColor indexed="65"/>
        </patternFill>
      </fill>
      <alignment horizontal="right"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13" formatCode="0%"/>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numFmt numFmtId="12" formatCode="&quot;$&quot;#,##0.00_);[Red]\(&quot;$&quot;#,##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2" tint="-9.9978637043366805E-2"/>
        </patternFill>
      </fill>
      <alignment horizontal="left" vertical="bottom" textRotation="0" wrapText="0" indent="0" justifyLastLine="0" shrinkToFit="0" readingOrder="0"/>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numFmt numFmtId="187" formatCode="m/d/yyyy"/>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numFmt numFmtId="34" formatCode="_(&quot;$&quot;* #,##0.00_);_(&quot;$&quot;* \(#,##0.00\);_(&quot;$&quot;* &quot;-&quot;??_);_(@_)"/>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numFmt numFmtId="1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2" tint="-9.9978637043366805E-2"/>
        </patternFill>
      </fill>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2" tint="-9.9978637043366805E-2"/>
        </patternFill>
      </fill>
      <border diagonalUp="0" diagonalDown="0" outline="0">
        <left style="medium">
          <color indexed="64"/>
        </left>
        <right style="thin">
          <color indexed="64"/>
        </right>
        <top style="medium">
          <color indexed="64"/>
        </top>
        <bottom style="medium">
          <color indexed="64"/>
        </bottom>
      </border>
    </dxf>
    <dxf>
      <font>
        <b val="0"/>
        <i val="0"/>
        <strike val="0"/>
        <condense val="0"/>
        <extend val="0"/>
        <outline val="0"/>
        <shadow val="0"/>
        <u val="none"/>
        <vertAlign val="baseline"/>
        <sz val="12"/>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medium">
          <color indexed="64"/>
        </top>
      </border>
    </dxf>
    <dxf>
      <fill>
        <patternFill>
          <fgColor indexed="64"/>
          <bgColor theme="2" tint="-9.9978637043366805E-2"/>
        </patternFill>
      </fill>
      <border diagonalUp="0" diagonalDown="0">
        <left style="thin">
          <color indexed="64"/>
        </left>
        <right style="thin">
          <color indexed="64"/>
        </right>
        <top/>
        <bottom/>
        <vertical style="thin">
          <color indexed="64"/>
        </vertical>
        <horizontal/>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1"/>
        </patternFill>
      </fill>
      <border diagonalUp="0" diagonalDown="0" outline="0">
        <left/>
        <right/>
        <top style="thin">
          <color indexed="64"/>
        </top>
        <bottom/>
      </border>
    </dxf>
    <dxf>
      <font>
        <b val="0"/>
        <i val="0"/>
        <strike val="0"/>
        <condense val="0"/>
        <extend val="0"/>
        <outline val="0"/>
        <shadow val="0"/>
        <u val="none"/>
        <vertAlign val="baseline"/>
        <sz val="11"/>
        <color auto="1"/>
        <name val="Calibri"/>
        <family val="2"/>
        <scheme val="minor"/>
      </font>
      <fill>
        <patternFill patternType="none">
          <fgColor indexed="64"/>
          <bgColor theme="1"/>
        </patternFill>
      </fill>
      <border diagonalUp="0" diagonalDown="0" outline="0">
        <left/>
        <right/>
        <top style="thin">
          <color indexed="64"/>
        </top>
        <bottom style="thin">
          <color indexed="64"/>
        </bottom>
      </border>
      <protection locked="0" hidden="0"/>
    </dxf>
    <dxf>
      <fill>
        <patternFill patternType="solid">
          <fgColor indexed="64"/>
          <bgColor theme="2" tint="-9.9978637043366805E-2"/>
        </patternFill>
      </fill>
      <border diagonalUp="0" diagonalDown="0" outline="0">
        <left style="thin">
          <color indexed="64"/>
        </left>
        <right style="thin">
          <color indexed="64"/>
        </right>
        <top style="thin">
          <color indexed="64"/>
        </top>
        <bottom/>
      </border>
      <protection locked="0" hidden="0"/>
    </dxf>
    <dxf>
      <font>
        <color auto="1"/>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border>
      <protection locked="1" hidden="0"/>
    </dxf>
    <dxf>
      <fill>
        <patternFill patternType="solid">
          <fgColor indexed="64"/>
          <bgColor theme="2" tint="-9.9978637043366805E-2"/>
        </patternFill>
      </fill>
      <border diagonalUp="0" diagonalDown="0" outline="0">
        <left style="thin">
          <color indexed="64"/>
        </left>
        <right style="thin">
          <color indexed="64"/>
        </right>
        <top style="thin">
          <color indexed="64"/>
        </top>
        <bottom/>
      </border>
      <protection locked="0" hidden="0"/>
    </dxf>
    <dxf>
      <numFmt numFmtId="169" formatCode="0.0%"/>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4" formatCode="#,##0.00"/>
      <fill>
        <patternFill patternType="solid">
          <fgColor indexed="64"/>
          <bgColor theme="2" tint="-9.9978637043366805E-2"/>
        </patternFill>
      </fill>
      <border diagonalUp="0" diagonalDown="0" outline="0">
        <left style="thin">
          <color indexed="64"/>
        </left>
        <right style="thin">
          <color indexed="64"/>
        </right>
        <top style="thin">
          <color indexed="64"/>
        </top>
        <bottom/>
      </border>
      <protection locked="0" hidden="0"/>
    </dxf>
    <dxf>
      <numFmt numFmtId="4" formatCode="#,##0.00"/>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solid">
          <fgColor indexed="64"/>
          <bgColor theme="2" tint="-9.9978637043366805E-2"/>
        </patternFill>
      </fill>
      <border diagonalUp="0" diagonalDown="0" outline="0">
        <left style="thin">
          <color indexed="64"/>
        </left>
        <right style="thin">
          <color indexed="64"/>
        </right>
        <top style="thin">
          <color indexed="64"/>
        </top>
        <bottom/>
      </border>
    </dxf>
    <dxf>
      <numFmt numFmtId="13" formatCode="0%"/>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2" tint="-9.9978637043366805E-2"/>
        </patternFill>
      </fill>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auto="1"/>
        <name val="Calibri"/>
        <family val="2"/>
        <scheme val="minor"/>
      </font>
      <numFmt numFmtId="165" formatCode="_(&quot;$&quot;* #,##0_);_(&quot;$&quot;* \(#,##0\);_(&quot;$&quot;* &quot;-&quot;??_);_(@_)"/>
      <fill>
        <patternFill patternType="solid">
          <fgColor indexed="64"/>
          <bgColor theme="4" tint="0.79998168889431442"/>
        </patternFill>
      </fill>
      <alignment horizontal="general"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2" tint="-9.9978637043366805E-2"/>
        </patternFill>
      </fill>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1"/>
        <color auto="1"/>
        <name val="Calibri"/>
        <family val="2"/>
        <scheme val="minor"/>
      </font>
      <numFmt numFmtId="165" formatCode="_(&quot;$&quot;* #,##0_);_(&quot;$&quot;* \(#,##0\);_(&quot;$&quot;* &quot;-&quot;??_);_(@_)"/>
      <fill>
        <patternFill patternType="none">
          <fgColor indexed="64"/>
          <bgColor auto="1"/>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0" hidden="0"/>
    </dxf>
    <dxf>
      <numFmt numFmtId="165" formatCode="_(&quot;$&quot;* #,##0_);_(&quot;$&quot;* \(#,##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Calibri"/>
        <family val="2"/>
        <scheme val="minor"/>
      </font>
      <numFmt numFmtId="4" formatCode="#,##0.00"/>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165" formatCode="_(&quot;$&quot;* #,##0_);_(&quot;$&quot;* \(#,##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Calibri"/>
        <family val="2"/>
        <scheme val="minor"/>
      </font>
      <numFmt numFmtId="4" formatCode="#,##0.00"/>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2" tint="-9.9978637043366805E-2"/>
        </patternFill>
      </fill>
      <border diagonalUp="0" diagonalDown="0" outline="0">
        <left/>
        <right style="thin">
          <color indexed="64"/>
        </right>
        <top style="thin">
          <color indexed="64"/>
        </top>
        <bottom/>
      </border>
      <protection locked="0" hidden="0"/>
    </dxf>
    <dxf>
      <border diagonalUp="0" diagonalDown="0">
        <left/>
        <right style="thin">
          <color indexed="64"/>
        </right>
        <top style="thin">
          <color indexed="64"/>
        </top>
        <bottom style="thin">
          <color indexed="64"/>
        </bottom>
        <vertical/>
        <horizontal/>
      </border>
      <protection locked="0" hidden="0"/>
    </dxf>
    <dxf>
      <border outline="0">
        <top style="thin">
          <color indexed="64"/>
        </top>
      </border>
    </dxf>
    <dxf>
      <fill>
        <patternFill>
          <fgColor indexed="64"/>
          <bgColor theme="2" tint="-9.9978637043366805E-2"/>
        </patternFill>
      </fill>
    </dxf>
    <dxf>
      <border outline="0">
        <left style="medium">
          <color indexed="64"/>
        </left>
        <right style="medium">
          <color indexed="64"/>
        </right>
        <top style="thin">
          <color indexed="64"/>
        </top>
        <bottom style="thin">
          <color indexed="64"/>
        </bottom>
      </border>
    </dxf>
    <dxf>
      <alignment horizontal="general"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2" tint="-9.9978637043366805E-2"/>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Aptos Narrow"/>
        <family val="2"/>
        <scheme val="none"/>
      </font>
      <fill>
        <patternFill patternType="solid">
          <fgColor rgb="FF000000"/>
          <bgColor rgb="FF000000"/>
        </patternFill>
      </fill>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none"/>
      </font>
      <fill>
        <patternFill patternType="solid">
          <fgColor rgb="FF000000"/>
          <bgColor rgb="FF000000"/>
        </patternFill>
      </fill>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Aptos Narrow"/>
        <family val="2"/>
        <scheme val="none"/>
      </font>
      <fill>
        <patternFill patternType="solid">
          <fgColor rgb="FF000000"/>
          <bgColor rgb="FFD0CECE"/>
        </patternFill>
      </fill>
      <border diagonalUp="0" diagonalDown="0" outline="0">
        <left style="thin">
          <color indexed="64"/>
        </left>
        <right style="thin">
          <color indexed="64"/>
        </right>
        <top style="thin">
          <color indexed="64"/>
        </top>
        <bottom style="thin">
          <color indexed="64"/>
        </bottom>
      </border>
      <protection locked="0" hidden="0"/>
    </dxf>
    <dxf>
      <font>
        <color auto="1"/>
        <name val="Aptos Narrow"/>
        <family val="2"/>
        <scheme val="none"/>
      </font>
      <numFmt numFmtId="0" formatCode="General"/>
      <fill>
        <patternFill patternType="none">
          <fgColor rgb="FF000000"/>
          <bgColor rgb="FFFFFFFF"/>
        </patternFill>
      </fill>
      <alignment horizontal="general" vertical="bottom" textRotation="0" wrapText="0" indent="0" justifyLastLine="0" shrinkToFit="0" readingOrder="0"/>
      <border diagonalUp="0" diagonalDown="0">
        <left style="thin">
          <color rgb="FF000000"/>
        </left>
        <right/>
        <top style="thin">
          <color rgb="FF000000"/>
        </top>
        <bottom style="thin">
          <color rgb="FF000000"/>
        </bottom>
        <vertical/>
        <horizontal/>
      </border>
      <protection locked="1" hidden="0"/>
    </dxf>
    <dxf>
      <font>
        <b val="0"/>
        <i val="0"/>
        <strike val="0"/>
        <condense val="0"/>
        <extend val="0"/>
        <outline val="0"/>
        <shadow val="0"/>
        <u val="none"/>
        <vertAlign val="baseline"/>
        <sz val="11"/>
        <color rgb="FF000000"/>
        <name val="Aptos Narrow"/>
        <family val="2"/>
        <scheme val="none"/>
      </font>
      <fill>
        <patternFill patternType="solid">
          <fgColor rgb="FF000000"/>
          <bgColor rgb="FFD0CECE"/>
        </patternFill>
      </fill>
      <border diagonalUp="0" diagonalDown="0" outline="0">
        <left style="thin">
          <color indexed="64"/>
        </left>
        <right style="thin">
          <color indexed="64"/>
        </right>
        <top style="thin">
          <color indexed="64"/>
        </top>
        <bottom style="thin">
          <color indexed="64"/>
        </bottom>
      </border>
      <protection locked="0" hidden="0"/>
    </dxf>
    <dxf>
      <font>
        <name val="Aptos Narrow"/>
        <family val="2"/>
        <scheme val="none"/>
      </font>
      <numFmt numFmtId="169" formatCode="0.0%"/>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rgb="FF000000"/>
        <name val="Aptos Narrow"/>
        <family val="2"/>
        <scheme val="none"/>
      </font>
      <numFmt numFmtId="32" formatCode="_(&quot;$&quot;* #,##0_);_(&quot;$&quot;* \(#,##0\);_(&quot;$&quot;* &quot;-&quot;_);_(@_)"/>
      <fill>
        <patternFill patternType="solid">
          <fgColor rgb="FF000000"/>
          <bgColor rgb="FFD0CECE"/>
        </patternFill>
      </fill>
      <border diagonalUp="0" diagonalDown="0" outline="0">
        <left style="thin">
          <color indexed="64"/>
        </left>
        <right style="thin">
          <color indexed="64"/>
        </right>
        <top style="thin">
          <color indexed="64"/>
        </top>
        <bottom style="thin">
          <color indexed="64"/>
        </bottom>
      </border>
      <protection locked="0" hidden="0"/>
    </dxf>
    <dxf>
      <font>
        <name val="Aptos Narrow"/>
        <family val="2"/>
        <scheme val="none"/>
      </font>
      <numFmt numFmtId="32" formatCode="_(&quot;$&quot;* #,##0_);_(&quot;$&quot;* \(#,##0\);_(&quot;$&quot;* &quot;-&quot;_);_(@_)"/>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rgb="FF000000"/>
        <name val="Aptos Narrow"/>
        <family val="2"/>
        <scheme val="none"/>
      </font>
      <fill>
        <patternFill patternType="solid">
          <fgColor rgb="FF000000"/>
          <bgColor rgb="FFD0CECE"/>
        </patternFill>
      </fill>
      <border diagonalUp="0" diagonalDown="0" outline="0">
        <left style="thin">
          <color indexed="64"/>
        </left>
        <right style="thin">
          <color indexed="64"/>
        </right>
        <top style="thin">
          <color indexed="64"/>
        </top>
        <bottom style="thin">
          <color indexed="64"/>
        </bottom>
      </border>
    </dxf>
    <dxf>
      <font>
        <name val="Aptos Narrow"/>
        <family val="2"/>
        <scheme val="none"/>
      </font>
      <numFmt numFmtId="13" formatCode="0%"/>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rgb="FF000000"/>
        <name val="Aptos Narrow"/>
        <family val="2"/>
        <scheme val="none"/>
      </font>
      <fill>
        <patternFill patternType="solid">
          <fgColor rgb="FF000000"/>
          <bgColor rgb="FFD0CECE"/>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ptos Narrow"/>
        <family val="2"/>
        <scheme val="none"/>
      </font>
      <numFmt numFmtId="165" formatCode="_(&quot;$&quot;* #,##0_);_(&quot;$&quot;* \(#,##0\);_(&quot;$&quot;* &quot;-&quot;??_);_(@_)"/>
      <fill>
        <patternFill patternType="solid">
          <fgColor rgb="FF000000"/>
          <bgColor rgb="FFFFFFFF"/>
        </patternFill>
      </fill>
      <alignment horizontal="general" vertical="bottom" textRotation="0" wrapText="0" indent="0" justifyLastLine="0" shrinkToFit="0" readingOrder="0"/>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auto="1"/>
        <name val="Aptos Narrow"/>
        <family val="2"/>
        <scheme val="none"/>
      </font>
      <fill>
        <patternFill patternType="solid">
          <fgColor rgb="FF000000"/>
          <bgColor rgb="FFD0CECE"/>
        </patternFill>
      </fill>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1"/>
        <color auto="1"/>
        <name val="Aptos Narrow"/>
        <family val="2"/>
        <scheme val="none"/>
      </font>
      <numFmt numFmtId="165" formatCode="_(&quot;$&quot;* #,##0_);_(&quot;$&quot;* \(#,##0\);_(&quot;$&quot;* &quot;-&quot;??_);_(@_)"/>
      <fill>
        <patternFill patternType="none">
          <fgColor rgb="FF000000"/>
          <bgColor rgb="FFFFFFFF"/>
        </patternFill>
      </fill>
      <alignment horizontal="general" vertical="bottom" textRotation="0" wrapText="0" indent="0" justifyLastLine="0" shrinkToFit="0" readingOrder="0"/>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Aptos Narrow"/>
        <family val="2"/>
        <scheme val="none"/>
      </font>
      <numFmt numFmtId="165" formatCode="_(&quot;$&quot;* #,##0_);_(&quot;$&quot;* \(#,##0\);_(&quot;$&quot;* &quot;-&quot;??_);_(@_)"/>
      <fill>
        <patternFill patternType="solid">
          <fgColor rgb="FF000000"/>
          <bgColor rgb="FFD0CECE"/>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none"/>
      </font>
      <numFmt numFmtId="32" formatCode="_(&quot;$&quot;* #,##0_);_(&quot;$&quot;* \(#,##0\);_(&quot;$&quot;* &quot;-&quot;_);_(@_)"/>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Aptos Narrow"/>
        <family val="2"/>
        <scheme val="none"/>
      </font>
      <numFmt numFmtId="165" formatCode="_(&quot;$&quot;* #,##0_);_(&quot;$&quot;* \(#,##0\);_(&quot;$&quot;* &quot;-&quot;??_);_(@_)"/>
      <fill>
        <patternFill patternType="solid">
          <fgColor rgb="FF000000"/>
          <bgColor rgb="FFD0CECE"/>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none"/>
      </font>
      <numFmt numFmtId="32" formatCode="_(&quot;$&quot;* #,##0_);_(&quot;$&quot;* \(#,##0\);_(&quot;$&quot;* &quot;-&quot;_);_(@_)"/>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Aptos Narrow"/>
        <family val="2"/>
        <scheme val="none"/>
      </font>
      <fill>
        <patternFill patternType="solid">
          <fgColor rgb="FF000000"/>
          <bgColor rgb="FFD0CECE"/>
        </patternFill>
      </fill>
      <border diagonalUp="0" diagonalDown="0" outline="0">
        <left style="medium">
          <color indexed="64"/>
        </left>
        <right style="thin">
          <color indexed="64"/>
        </right>
        <top style="thin">
          <color indexed="64"/>
        </top>
        <bottom style="thin">
          <color indexed="64"/>
        </bottom>
      </border>
      <protection locked="0" hidden="0"/>
    </dxf>
    <dxf>
      <font>
        <name val="Aptos Narrow"/>
        <family val="2"/>
        <scheme val="none"/>
      </font>
      <border diagonalUp="0" diagonalDown="0">
        <left/>
        <right style="thin">
          <color rgb="FF000000"/>
        </right>
        <top style="thin">
          <color rgb="FF000000"/>
        </top>
        <bottom style="thin">
          <color rgb="FF000000"/>
        </bottom>
        <vertical/>
        <horizontal/>
      </border>
      <protection locked="0" hidden="0"/>
    </dxf>
    <dxf>
      <border>
        <top style="thin">
          <color rgb="FF000000"/>
        </top>
      </border>
    </dxf>
    <dxf>
      <border outline="0">
        <top style="medium">
          <color rgb="FF000000"/>
        </top>
      </border>
    </dxf>
    <dxf>
      <font>
        <name val="Aptos Narrow"/>
        <family val="2"/>
        <scheme val="none"/>
      </font>
      <alignment horizontal="general" vertical="bottom" textRotation="0" wrapText="0" indent="0" justifyLastLine="0" shrinkToFit="0" readingOrder="0"/>
      <protection locked="1" hidden="0"/>
    </dxf>
    <dxf>
      <border outline="0">
        <bottom style="thin">
          <color rgb="FF000000"/>
        </bottom>
      </border>
    </dxf>
    <dxf>
      <font>
        <b/>
        <i val="0"/>
        <strike val="0"/>
        <condense val="0"/>
        <extend val="0"/>
        <outline val="0"/>
        <shadow val="0"/>
        <u val="none"/>
        <vertAlign val="baseline"/>
        <sz val="11"/>
        <color auto="1"/>
        <name val="Aptos Narrow"/>
        <family val="2"/>
        <scheme val="none"/>
      </font>
      <fill>
        <patternFill patternType="solid">
          <fgColor rgb="FF000000"/>
          <bgColor rgb="FFD0CECE"/>
        </patternFill>
      </fill>
      <border diagonalUp="0" diagonalDown="0" outline="0">
        <left style="thin">
          <color rgb="FF000000"/>
        </left>
        <right style="thin">
          <color rgb="FF000000"/>
        </right>
        <top/>
        <bottom/>
      </border>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57A5737B-88EC-6443-A252-4B4BF2D2B2B5}">
      <tableStyleElement type="wholeTable" dxfId="384"/>
      <tableStyleElement type="headerRow" dxfId="383"/>
      <tableStyleElement type="totalRow" dxfId="382"/>
      <tableStyleElement type="firstColumn" dxfId="381"/>
      <tableStyleElement type="lastColumn" dxfId="380"/>
      <tableStyleElement type="firstRowStripe" dxfId="379"/>
      <tableStyleElement type="firstColumnStripe" dxfId="378"/>
    </tableStyle>
  </tableStyles>
  <colors>
    <mruColors>
      <color rgb="FF82CCEB"/>
      <color rgb="FFEFF5FB"/>
      <color rgb="FFDDECF8"/>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theme" Target="theme/theme1.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2.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customXml" Target="../customXml/item3.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Lines="5" dropStyle="combo" dx="22" fmlaLink="$L$5" fmlaRange="Lists!$F$68:$F$72"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22" fmlaLink="$K$4" fmlaRange="$AC$6:$AC$10" noThreeD="1" sel="5" val="0"/>
</file>

<file path=xl/ctrlProps/ctrlProp10.xml><?xml version="1.0" encoding="utf-8"?>
<formControlPr xmlns="http://schemas.microsoft.com/office/spreadsheetml/2009/9/main" objectType="Drop" dropLines="5" dropStyle="combo" dx="22" fmlaLink="$M$4" fmlaRange="$AC$6:$AC$10" noThreeD="1" sel="0" val="0"/>
</file>

<file path=xl/ctrlProps/ctrlProp11.xml><?xml version="1.0" encoding="utf-8"?>
<formControlPr xmlns="http://schemas.microsoft.com/office/spreadsheetml/2009/9/main" objectType="Drop" dropLines="5" dropStyle="combo" dx="22" fmlaLink="$O$4" fmlaRange="$AC$6:$AC$10" noThreeD="1" sel="0" val="0"/>
</file>

<file path=xl/ctrlProps/ctrlProp12.xml><?xml version="1.0" encoding="utf-8"?>
<formControlPr xmlns="http://schemas.microsoft.com/office/spreadsheetml/2009/9/main" objectType="Drop" dropLines="5" dropStyle="combo" dx="22" fmlaLink="$Q$4" fmlaRange="$AC$6:$AC$10" noThreeD="1" sel="0" val="0"/>
</file>

<file path=xl/ctrlProps/ctrlProp13.xml><?xml version="1.0" encoding="utf-8"?>
<formControlPr xmlns="http://schemas.microsoft.com/office/spreadsheetml/2009/9/main" objectType="Drop" dropLines="5" dropStyle="combo" dx="22" fmlaLink="$K$4" fmlaRange="$AC$6:$AC$10" noThreeD="1" sel="0" val="0"/>
</file>

<file path=xl/ctrlProps/ctrlProp14.xml><?xml version="1.0" encoding="utf-8"?>
<formControlPr xmlns="http://schemas.microsoft.com/office/spreadsheetml/2009/9/main" objectType="Drop" dropLines="5" dropStyle="combo" dx="22" fmlaLink="$M$4" fmlaRange="$AC$6:$AC$10" noThreeD="1" sel="0" val="0"/>
</file>

<file path=xl/ctrlProps/ctrlProp15.xml><?xml version="1.0" encoding="utf-8"?>
<formControlPr xmlns="http://schemas.microsoft.com/office/spreadsheetml/2009/9/main" objectType="Drop" dropLines="5" dropStyle="combo" dx="22" fmlaLink="$O$4" fmlaRange="$AC$6:$AC$10" noThreeD="1" sel="0" val="0"/>
</file>

<file path=xl/ctrlProps/ctrlProp16.xml><?xml version="1.0" encoding="utf-8"?>
<formControlPr xmlns="http://schemas.microsoft.com/office/spreadsheetml/2009/9/main" objectType="Drop" dropLines="5" dropStyle="combo" dx="22" fmlaLink="$Q$4" fmlaRange="$AC$6:$AC$10" noThreeD="1" sel="0" val="0"/>
</file>

<file path=xl/ctrlProps/ctrlProp17.xml><?xml version="1.0" encoding="utf-8"?>
<formControlPr xmlns="http://schemas.microsoft.com/office/spreadsheetml/2009/9/main" objectType="Drop" dropLines="5" dropStyle="combo" dx="22" fmlaLink="$K$4" fmlaRange="$AC$6:$AC$10" noThreeD="1" sel="0" val="0"/>
</file>

<file path=xl/ctrlProps/ctrlProp18.xml><?xml version="1.0" encoding="utf-8"?>
<formControlPr xmlns="http://schemas.microsoft.com/office/spreadsheetml/2009/9/main" objectType="Drop" dropLines="5" dropStyle="combo" dx="22" fmlaLink="$M$4" fmlaRange="$AC$6:$AC$10" noThreeD="1" sel="0" val="0"/>
</file>

<file path=xl/ctrlProps/ctrlProp19.xml><?xml version="1.0" encoding="utf-8"?>
<formControlPr xmlns="http://schemas.microsoft.com/office/spreadsheetml/2009/9/main" objectType="Drop" dropLines="5" dropStyle="combo" dx="22" fmlaLink="$O$4" fmlaRange="$AC$6:$AC$10" noThreeD="1" sel="0" val="0"/>
</file>

<file path=xl/ctrlProps/ctrlProp20.xml><?xml version="1.0" encoding="utf-8"?>
<formControlPr xmlns="http://schemas.microsoft.com/office/spreadsheetml/2009/9/main" objectType="Drop" dropLines="5" dropStyle="combo" dx="22" fmlaLink="$Q$4" fmlaRange="$AC$6:$AC$10" noThreeD="1" sel="0" val="0"/>
</file>

<file path=xl/ctrlProps/ctrlProp21.xml><?xml version="1.0" encoding="utf-8"?>
<formControlPr xmlns="http://schemas.microsoft.com/office/spreadsheetml/2009/9/main" objectType="Drop" dropLines="5" dropStyle="combo" dx="22" fmlaLink="$K$4" fmlaRange="$AC$6:$AC$10" noThreeD="1" sel="0" val="0"/>
</file>

<file path=xl/ctrlProps/ctrlProp22.xml><?xml version="1.0" encoding="utf-8"?>
<formControlPr xmlns="http://schemas.microsoft.com/office/spreadsheetml/2009/9/main" objectType="Drop" dropLines="5" dropStyle="combo" dx="22" fmlaLink="$M$4" fmlaRange="$AC$6:$AC$10" noThreeD="1" sel="0" val="0"/>
</file>

<file path=xl/ctrlProps/ctrlProp23.xml><?xml version="1.0" encoding="utf-8"?>
<formControlPr xmlns="http://schemas.microsoft.com/office/spreadsheetml/2009/9/main" objectType="Drop" dropLines="5" dropStyle="combo" dx="22" fmlaLink="$O$4" fmlaRange="$AC$6:$AC$10" noThreeD="1" sel="0" val="0"/>
</file>

<file path=xl/ctrlProps/ctrlProp24.xml><?xml version="1.0" encoding="utf-8"?>
<formControlPr xmlns="http://schemas.microsoft.com/office/spreadsheetml/2009/9/main" objectType="Drop" dropLines="5" dropStyle="combo" dx="22" fmlaLink="$Q$4" fmlaRange="$AC$6:$AC$10" noThreeD="1" sel="0" val="0"/>
</file>

<file path=xl/ctrlProps/ctrlProp25.xml><?xml version="1.0" encoding="utf-8"?>
<formControlPr xmlns="http://schemas.microsoft.com/office/spreadsheetml/2009/9/main" objectType="Drop" dropLines="5" dropStyle="combo" dx="22" fmlaLink="$K$4" fmlaRange="$AC$6:$AC$10" noThreeD="1" sel="0" val="0"/>
</file>

<file path=xl/ctrlProps/ctrlProp26.xml><?xml version="1.0" encoding="utf-8"?>
<formControlPr xmlns="http://schemas.microsoft.com/office/spreadsheetml/2009/9/main" objectType="Drop" dropLines="5" dropStyle="combo" dx="22" fmlaLink="$M$4" fmlaRange="$AC$6:$AC$10" noThreeD="1" sel="0" val="0"/>
</file>

<file path=xl/ctrlProps/ctrlProp27.xml><?xml version="1.0" encoding="utf-8"?>
<formControlPr xmlns="http://schemas.microsoft.com/office/spreadsheetml/2009/9/main" objectType="Drop" dropLines="5" dropStyle="combo" dx="22" fmlaLink="$O$4" fmlaRange="$AC$6:$AC$10" noThreeD="1" sel="0" val="0"/>
</file>

<file path=xl/ctrlProps/ctrlProp28.xml><?xml version="1.0" encoding="utf-8"?>
<formControlPr xmlns="http://schemas.microsoft.com/office/spreadsheetml/2009/9/main" objectType="Drop" dropLines="5" dropStyle="combo" dx="22" fmlaLink="$Q$4" fmlaRange="$AC$6:$AC$10" noThreeD="1" sel="0" val="0"/>
</file>

<file path=xl/ctrlProps/ctrlProp29.xml><?xml version="1.0" encoding="utf-8"?>
<formControlPr xmlns="http://schemas.microsoft.com/office/spreadsheetml/2009/9/main" objectType="Drop" dropLines="5" dropStyle="combo" dx="22" fmlaLink="$K$4" fmlaRange="$AC$6:$AC$10" noThreeD="1" sel="0" val="0"/>
</file>

<file path=xl/ctrlProps/ctrlProp30.xml><?xml version="1.0" encoding="utf-8"?>
<formControlPr xmlns="http://schemas.microsoft.com/office/spreadsheetml/2009/9/main" objectType="Drop" dropLines="5" dropStyle="combo" dx="22" fmlaLink="$M$4" fmlaRange="$AC$6:$AC$10" noThreeD="1" sel="0" val="0"/>
</file>

<file path=xl/ctrlProps/ctrlProp31.xml><?xml version="1.0" encoding="utf-8"?>
<formControlPr xmlns="http://schemas.microsoft.com/office/spreadsheetml/2009/9/main" objectType="Drop" dropLines="5" dropStyle="combo" dx="22" fmlaLink="$O$4" fmlaRange="$AC$6:$AC$10" noThreeD="1" sel="0" val="0"/>
</file>

<file path=xl/ctrlProps/ctrlProp32.xml><?xml version="1.0" encoding="utf-8"?>
<formControlPr xmlns="http://schemas.microsoft.com/office/spreadsheetml/2009/9/main" objectType="Drop" dropLines="5" dropStyle="combo" dx="22" fmlaLink="$Q$4" fmlaRange="$AC$6:$AC$10" noThreeD="1" sel="0" val="0"/>
</file>

<file path=xl/ctrlProps/ctrlProp33.xml><?xml version="1.0" encoding="utf-8"?>
<formControlPr xmlns="http://schemas.microsoft.com/office/spreadsheetml/2009/9/main" objectType="Drop" dropLines="5" dropStyle="combo" dx="22" fmlaLink="$K$4" fmlaRange="$AC$6:$AC$10" noThreeD="1" sel="0" val="0"/>
</file>

<file path=xl/ctrlProps/ctrlProp34.xml><?xml version="1.0" encoding="utf-8"?>
<formControlPr xmlns="http://schemas.microsoft.com/office/spreadsheetml/2009/9/main" objectType="Drop" dropLines="5" dropStyle="combo" dx="22" fmlaLink="$M$4" fmlaRange="$AC$6:$AC$10" noThreeD="1" sel="0" val="0"/>
</file>

<file path=xl/ctrlProps/ctrlProp35.xml><?xml version="1.0" encoding="utf-8"?>
<formControlPr xmlns="http://schemas.microsoft.com/office/spreadsheetml/2009/9/main" objectType="Drop" dropLines="5" dropStyle="combo" dx="22" fmlaLink="$O$4" fmlaRange="$AC$6:$AC$10" noThreeD="1" sel="0" val="0"/>
</file>

<file path=xl/ctrlProps/ctrlProp36.xml><?xml version="1.0" encoding="utf-8"?>
<formControlPr xmlns="http://schemas.microsoft.com/office/spreadsheetml/2009/9/main" objectType="Drop" dropLines="5" dropStyle="combo" dx="22" fmlaLink="$Q$4" fmlaRange="$AC$6:$AC$10" noThreeD="1" sel="0" val="0"/>
</file>

<file path=xl/ctrlProps/ctrlProp37.xml><?xml version="1.0" encoding="utf-8"?>
<formControlPr xmlns="http://schemas.microsoft.com/office/spreadsheetml/2009/9/main" objectType="Drop" dropLines="5" dropStyle="combo" dx="22" fmlaLink="$K$4" fmlaRange="$AC$6:$AC$10" noThreeD="1" sel="0" val="0"/>
</file>

<file path=xl/ctrlProps/ctrlProp38.xml><?xml version="1.0" encoding="utf-8"?>
<formControlPr xmlns="http://schemas.microsoft.com/office/spreadsheetml/2009/9/main" objectType="Drop" dropLines="5" dropStyle="combo" dx="22" fmlaLink="$M$4" fmlaRange="$AC$6:$AC$10" noThreeD="1" sel="0" val="0"/>
</file>

<file path=xl/ctrlProps/ctrlProp39.xml><?xml version="1.0" encoding="utf-8"?>
<formControlPr xmlns="http://schemas.microsoft.com/office/spreadsheetml/2009/9/main" objectType="Drop" dropLines="5" dropStyle="combo" dx="22" fmlaLink="$O$4" fmlaRange="$AC$6:$AC$10" noThreeD="1" sel="0" val="0"/>
</file>

<file path=xl/ctrlProps/ctrlProp40.xml><?xml version="1.0" encoding="utf-8"?>
<formControlPr xmlns="http://schemas.microsoft.com/office/spreadsheetml/2009/9/main" objectType="Drop" dropLines="5" dropStyle="combo" dx="22" fmlaLink="$Q$4" fmlaRange="$AC$6:$AC$10" noThreeD="1" sel="0" val="0"/>
</file>

<file path=xl/ctrlProps/ctrlProp41.xml><?xml version="1.0" encoding="utf-8"?>
<formControlPr xmlns="http://schemas.microsoft.com/office/spreadsheetml/2009/9/main" objectType="Drop" dropLines="5" dropStyle="combo" dx="22" fmlaLink="$K$4" fmlaRange="$AC$6:$AC$10" noThreeD="1" sel="0" val="0"/>
</file>

<file path=xl/ctrlProps/ctrlProp42.xml><?xml version="1.0" encoding="utf-8"?>
<formControlPr xmlns="http://schemas.microsoft.com/office/spreadsheetml/2009/9/main" objectType="Drop" dropLines="5" dropStyle="combo" dx="22" fmlaLink="$M$4" fmlaRange="$AC$6:$AC$10" noThreeD="1" sel="0" val="0"/>
</file>

<file path=xl/ctrlProps/ctrlProp43.xml><?xml version="1.0" encoding="utf-8"?>
<formControlPr xmlns="http://schemas.microsoft.com/office/spreadsheetml/2009/9/main" objectType="Drop" dropLines="5" dropStyle="combo" dx="22" fmlaLink="$O$4" fmlaRange="$AC$6:$AC$10" noThreeD="1" sel="0" val="0"/>
</file>

<file path=xl/ctrlProps/ctrlProp44.xml><?xml version="1.0" encoding="utf-8"?>
<formControlPr xmlns="http://schemas.microsoft.com/office/spreadsheetml/2009/9/main" objectType="Drop" dropLines="5" dropStyle="combo" dx="22" fmlaLink="$Q$4" fmlaRange="$AC$6:$AC$10" noThreeD="1" sel="0" val="0"/>
</file>

<file path=xl/ctrlProps/ctrlProp45.xml><?xml version="1.0" encoding="utf-8"?>
<formControlPr xmlns="http://schemas.microsoft.com/office/spreadsheetml/2009/9/main" objectType="Drop" dropLines="5" dropStyle="combo" dx="22" fmlaLink="$K$4" fmlaRange="$AC$6:$AC$10" noThreeD="1" sel="0" val="0"/>
</file>

<file path=xl/ctrlProps/ctrlProp46.xml><?xml version="1.0" encoding="utf-8"?>
<formControlPr xmlns="http://schemas.microsoft.com/office/spreadsheetml/2009/9/main" objectType="Drop" dropLines="5" dropStyle="combo" dx="22" fmlaLink="$M$4" fmlaRange="$AC$6:$AC$10" noThreeD="1" sel="0" val="0"/>
</file>

<file path=xl/ctrlProps/ctrlProp47.xml><?xml version="1.0" encoding="utf-8"?>
<formControlPr xmlns="http://schemas.microsoft.com/office/spreadsheetml/2009/9/main" objectType="Drop" dropLines="5" dropStyle="combo" dx="22" fmlaLink="$O$4" fmlaRange="$AC$6:$AC$10" noThreeD="1" sel="0" val="0"/>
</file>

<file path=xl/ctrlProps/ctrlProp48.xml><?xml version="1.0" encoding="utf-8"?>
<formControlPr xmlns="http://schemas.microsoft.com/office/spreadsheetml/2009/9/main" objectType="Drop" dropLines="5" dropStyle="combo" dx="22" fmlaLink="$Q$4" fmlaRange="$AC$6:$AC$10" noThreeD="1" sel="0" val="0"/>
</file>

<file path=xl/ctrlProps/ctrlProp49.xml><?xml version="1.0" encoding="utf-8"?>
<formControlPr xmlns="http://schemas.microsoft.com/office/spreadsheetml/2009/9/main" objectType="Drop" dropLines="5" dropStyle="combo" dx="22" fmlaLink="$K$4" fmlaRange="$AC$6:$AC$10" noThreeD="1" sel="0" val="0"/>
</file>

<file path=xl/ctrlProps/ctrlProp50.xml><?xml version="1.0" encoding="utf-8"?>
<formControlPr xmlns="http://schemas.microsoft.com/office/spreadsheetml/2009/9/main" objectType="Drop" dropLines="5" dropStyle="combo" dx="22" fmlaLink="$M$4" fmlaRange="$AC$6:$AC$10" noThreeD="1" sel="0" val="0"/>
</file>

<file path=xl/ctrlProps/ctrlProp51.xml><?xml version="1.0" encoding="utf-8"?>
<formControlPr xmlns="http://schemas.microsoft.com/office/spreadsheetml/2009/9/main" objectType="Drop" dropLines="5" dropStyle="combo" dx="22" fmlaLink="$O$4" fmlaRange="$AC$6:$AC$10" noThreeD="1" sel="0" val="0"/>
</file>

<file path=xl/ctrlProps/ctrlProp52.xml><?xml version="1.0" encoding="utf-8"?>
<formControlPr xmlns="http://schemas.microsoft.com/office/spreadsheetml/2009/9/main" objectType="Drop" dropLines="5" dropStyle="combo" dx="22" fmlaLink="$Q$4" fmlaRange="$AC$6:$AC$10" noThreeD="1" sel="0" val="0"/>
</file>

<file path=xl/ctrlProps/ctrlProp53.xml><?xml version="1.0" encoding="utf-8"?>
<formControlPr xmlns="http://schemas.microsoft.com/office/spreadsheetml/2009/9/main" objectType="Drop" dropLines="5" dropStyle="combo" dx="22" fmlaLink="$K$4" fmlaRange="$AC$6:$AC$10" noThreeD="1" sel="0" val="0"/>
</file>

<file path=xl/ctrlProps/ctrlProp54.xml><?xml version="1.0" encoding="utf-8"?>
<formControlPr xmlns="http://schemas.microsoft.com/office/spreadsheetml/2009/9/main" objectType="Drop" dropLines="5" dropStyle="combo" dx="22" fmlaLink="$M$4" fmlaRange="$AC$6:$AC$10" noThreeD="1" sel="0" val="0"/>
</file>

<file path=xl/ctrlProps/ctrlProp55.xml><?xml version="1.0" encoding="utf-8"?>
<formControlPr xmlns="http://schemas.microsoft.com/office/spreadsheetml/2009/9/main" objectType="Drop" dropLines="5" dropStyle="combo" dx="22" fmlaLink="$O$4" fmlaRange="$AC$6:$AC$10" noThreeD="1" sel="0" val="0"/>
</file>

<file path=xl/ctrlProps/ctrlProp56.xml><?xml version="1.0" encoding="utf-8"?>
<formControlPr xmlns="http://schemas.microsoft.com/office/spreadsheetml/2009/9/main" objectType="Drop" dropLines="5" dropStyle="combo" dx="22" fmlaLink="$Q$4" fmlaRange="$AC$6:$AC$10" noThreeD="1" sel="0" val="0"/>
</file>

<file path=xl/ctrlProps/ctrlProp57.xml><?xml version="1.0" encoding="utf-8"?>
<formControlPr xmlns="http://schemas.microsoft.com/office/spreadsheetml/2009/9/main" objectType="Drop" dropLines="5" dropStyle="combo" dx="22" fmlaLink="$K$4" fmlaRange="$AC$6:$AC$10" noThreeD="1" sel="0" val="0"/>
</file>

<file path=xl/ctrlProps/ctrlProp58.xml><?xml version="1.0" encoding="utf-8"?>
<formControlPr xmlns="http://schemas.microsoft.com/office/spreadsheetml/2009/9/main" objectType="Drop" dropLines="5" dropStyle="combo" dx="22" fmlaLink="$M$4" fmlaRange="$AC$6:$AC$10" noThreeD="1" sel="0" val="0"/>
</file>

<file path=xl/ctrlProps/ctrlProp59.xml><?xml version="1.0" encoding="utf-8"?>
<formControlPr xmlns="http://schemas.microsoft.com/office/spreadsheetml/2009/9/main" objectType="Drop" dropLines="5" dropStyle="combo" dx="22" fmlaLink="$O$4" fmlaRange="$AC$6:$AC$10" noThreeD="1" sel="0" val="0"/>
</file>

<file path=xl/ctrlProps/ctrlProp60.xml><?xml version="1.0" encoding="utf-8"?>
<formControlPr xmlns="http://schemas.microsoft.com/office/spreadsheetml/2009/9/main" objectType="Drop" dropLines="5" dropStyle="combo" dx="22" fmlaLink="$Q$4" fmlaRange="$AC$6:$AC$10" noThreeD="1" sel="0" val="0"/>
</file>

<file path=xl/ctrlProps/ctrlProp61.xml><?xml version="1.0" encoding="utf-8"?>
<formControlPr xmlns="http://schemas.microsoft.com/office/spreadsheetml/2009/9/main" objectType="Drop" dropLines="5" dropStyle="combo" dx="22" fmlaLink="$K$4" fmlaRange="$AC$6:$AC$10" noThreeD="1" sel="0" val="0"/>
</file>

<file path=xl/ctrlProps/ctrlProp62.xml><?xml version="1.0" encoding="utf-8"?>
<formControlPr xmlns="http://schemas.microsoft.com/office/spreadsheetml/2009/9/main" objectType="Drop" dropLines="5" dropStyle="combo" dx="22" fmlaLink="$M$4" fmlaRange="$AC$6:$AC$10" noThreeD="1" sel="0" val="0"/>
</file>

<file path=xl/ctrlProps/ctrlProp63.xml><?xml version="1.0" encoding="utf-8"?>
<formControlPr xmlns="http://schemas.microsoft.com/office/spreadsheetml/2009/9/main" objectType="Drop" dropLines="5" dropStyle="combo" dx="22" fmlaLink="$O$4" fmlaRange="$AC$6:$AC$10" noThreeD="1" sel="0" val="0"/>
</file>

<file path=xl/ctrlProps/ctrlProp64.xml><?xml version="1.0" encoding="utf-8"?>
<formControlPr xmlns="http://schemas.microsoft.com/office/spreadsheetml/2009/9/main" objectType="Drop" dropLines="5" dropStyle="combo" dx="22" fmlaLink="$Q$4" fmlaRange="$AC$6:$AC$10" noThreeD="1" sel="0" val="0"/>
</file>

<file path=xl/ctrlProps/ctrlProp65.xml><?xml version="1.0" encoding="utf-8"?>
<formControlPr xmlns="http://schemas.microsoft.com/office/spreadsheetml/2009/9/main" objectType="Drop" dropLines="5" dropStyle="combo" dx="22" fmlaLink="$K$4" fmlaRange="$AC$6:$AC$10" noThreeD="1" sel="0" val="0"/>
</file>

<file path=xl/ctrlProps/ctrlProp66.xml><?xml version="1.0" encoding="utf-8"?>
<formControlPr xmlns="http://schemas.microsoft.com/office/spreadsheetml/2009/9/main" objectType="Drop" dropLines="5" dropStyle="combo" dx="22" fmlaLink="$M$4" fmlaRange="$AC$6:$AC$10" noThreeD="1" sel="0" val="0"/>
</file>

<file path=xl/ctrlProps/ctrlProp67.xml><?xml version="1.0" encoding="utf-8"?>
<formControlPr xmlns="http://schemas.microsoft.com/office/spreadsheetml/2009/9/main" objectType="Drop" dropLines="5" dropStyle="combo" dx="22" fmlaLink="$O$4" fmlaRange="$AC$6:$AC$10" noThreeD="1" sel="0" val="0"/>
</file>

<file path=xl/ctrlProps/ctrlProp68.xml><?xml version="1.0" encoding="utf-8"?>
<formControlPr xmlns="http://schemas.microsoft.com/office/spreadsheetml/2009/9/main" objectType="Drop" dropLines="5" dropStyle="combo" dx="22" fmlaLink="$Q$4" fmlaRange="$AC$6:$AC$10" noThreeD="1" sel="0" val="0"/>
</file>

<file path=xl/ctrlProps/ctrlProp69.xml><?xml version="1.0" encoding="utf-8"?>
<formControlPr xmlns="http://schemas.microsoft.com/office/spreadsheetml/2009/9/main" objectType="Drop" dropLines="5" dropStyle="combo" dx="22" fmlaLink="$K$4" fmlaRange="$AC$6:$AC$10" noThreeD="1" sel="0" val="0"/>
</file>

<file path=xl/ctrlProps/ctrlProp70.xml><?xml version="1.0" encoding="utf-8"?>
<formControlPr xmlns="http://schemas.microsoft.com/office/spreadsheetml/2009/9/main" objectType="Drop" dropLines="5" dropStyle="combo" dx="22" fmlaLink="$M$4" fmlaRange="$AC$6:$AC$10" noThreeD="1" sel="0" val="0"/>
</file>

<file path=xl/ctrlProps/ctrlProp71.xml><?xml version="1.0" encoding="utf-8"?>
<formControlPr xmlns="http://schemas.microsoft.com/office/spreadsheetml/2009/9/main" objectType="Drop" dropLines="5" dropStyle="combo" dx="22" fmlaLink="$O$4" fmlaRange="$AC$6:$AC$10" noThreeD="1" sel="0" val="0"/>
</file>

<file path=xl/ctrlProps/ctrlProp72.xml><?xml version="1.0" encoding="utf-8"?>
<formControlPr xmlns="http://schemas.microsoft.com/office/spreadsheetml/2009/9/main" objectType="Drop" dropLines="5" dropStyle="combo" dx="22" fmlaLink="$Q$4" fmlaRange="$AC$6:$AC$10" noThreeD="1" sel="0" val="0"/>
</file>

<file path=xl/ctrlProps/ctrlProp73.xml><?xml version="1.0" encoding="utf-8"?>
<formControlPr xmlns="http://schemas.microsoft.com/office/spreadsheetml/2009/9/main" objectType="Drop" dropLines="5" dropStyle="combo" dx="22" fmlaLink="$K$4" fmlaRange="$AC$6:$AC$10" noThreeD="1" sel="0" val="0"/>
</file>

<file path=xl/ctrlProps/ctrlProp74.xml><?xml version="1.0" encoding="utf-8"?>
<formControlPr xmlns="http://schemas.microsoft.com/office/spreadsheetml/2009/9/main" objectType="Drop" dropLines="5" dropStyle="combo" dx="22" fmlaLink="$M$4" fmlaRange="$AC$6:$AC$10" noThreeD="1" sel="0" val="0"/>
</file>

<file path=xl/ctrlProps/ctrlProp75.xml><?xml version="1.0" encoding="utf-8"?>
<formControlPr xmlns="http://schemas.microsoft.com/office/spreadsheetml/2009/9/main" objectType="Drop" dropLines="5" dropStyle="combo" dx="22" fmlaLink="$O$4" fmlaRange="$AC$6:$AC$10" noThreeD="1" sel="0" val="0"/>
</file>

<file path=xl/ctrlProps/ctrlProp76.xml><?xml version="1.0" encoding="utf-8"?>
<formControlPr xmlns="http://schemas.microsoft.com/office/spreadsheetml/2009/9/main" objectType="Drop" dropLines="5" dropStyle="combo" dx="22" fmlaLink="$Q$4" fmlaRange="$AC$6:$AC$10" noThreeD="1" sel="0" val="0"/>
</file>

<file path=xl/ctrlProps/ctrlProp77.xml><?xml version="1.0" encoding="utf-8"?>
<formControlPr xmlns="http://schemas.microsoft.com/office/spreadsheetml/2009/9/main" objectType="Drop" dropLines="5" dropStyle="combo" dx="22" fmlaLink="$K$4" fmlaRange="$AC$6:$AC$10" noThreeD="1" sel="0" val="0"/>
</file>

<file path=xl/ctrlProps/ctrlProp78.xml><?xml version="1.0" encoding="utf-8"?>
<formControlPr xmlns="http://schemas.microsoft.com/office/spreadsheetml/2009/9/main" objectType="Drop" dropLines="5" dropStyle="combo" dx="22" fmlaLink="$M$4" fmlaRange="$AC$6:$AC$10" noThreeD="1" sel="0" val="0"/>
</file>

<file path=xl/ctrlProps/ctrlProp79.xml><?xml version="1.0" encoding="utf-8"?>
<formControlPr xmlns="http://schemas.microsoft.com/office/spreadsheetml/2009/9/main" objectType="Drop" dropLines="5" dropStyle="combo" dx="22" fmlaLink="$O$4" fmlaRange="$AC$6:$AC$10" noThreeD="1" sel="0" val="0"/>
</file>

<file path=xl/ctrlProps/ctrlProp80.xml><?xml version="1.0" encoding="utf-8"?>
<formControlPr xmlns="http://schemas.microsoft.com/office/spreadsheetml/2009/9/main" objectType="Drop" dropLines="5" dropStyle="combo" dx="22" fmlaLink="$Q$4" fmlaRange="$AC$6:$AC$10" noThreeD="1" sel="0" val="0"/>
</file>

<file path=xl/ctrlProps/ctrlProp81.xml><?xml version="1.0" encoding="utf-8"?>
<formControlPr xmlns="http://schemas.microsoft.com/office/spreadsheetml/2009/9/main" objectType="Drop" dropLines="5" dropStyle="combo" dx="22" fmlaLink="$K$4" fmlaRange="$AC$6:$AC$10" noThreeD="1" sel="0" val="0"/>
</file>

<file path=xl/ctrlProps/ctrlProp82.xml><?xml version="1.0" encoding="utf-8"?>
<formControlPr xmlns="http://schemas.microsoft.com/office/spreadsheetml/2009/9/main" objectType="Drop" dropLines="5" dropStyle="combo" dx="22" fmlaLink="$M$4" fmlaRange="$AC$6:$AC$10" noThreeD="1" sel="0" val="0"/>
</file>

<file path=xl/ctrlProps/ctrlProp83.xml><?xml version="1.0" encoding="utf-8"?>
<formControlPr xmlns="http://schemas.microsoft.com/office/spreadsheetml/2009/9/main" objectType="Drop" dropLines="5" dropStyle="combo" dx="22" fmlaLink="$O$4" fmlaRange="$AC$6:$AC$10" noThreeD="1" sel="0" val="0"/>
</file>

<file path=xl/ctrlProps/ctrlProp84.xml><?xml version="1.0" encoding="utf-8"?>
<formControlPr xmlns="http://schemas.microsoft.com/office/spreadsheetml/2009/9/main" objectType="Drop" dropLines="5" dropStyle="combo" dx="22" fmlaLink="$Q$4" fmlaRange="$AC$6:$AC$10" noThreeD="1" sel="0" val="0"/>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47626</xdr:colOff>
      <xdr:row>1</xdr:row>
      <xdr:rowOff>1</xdr:rowOff>
    </xdr:from>
    <xdr:to>
      <xdr:col>6</xdr:col>
      <xdr:colOff>504826</xdr:colOff>
      <xdr:row>17</xdr:row>
      <xdr:rowOff>66675</xdr:rowOff>
    </xdr:to>
    <xdr:sp macro="" textlink="">
      <xdr:nvSpPr>
        <xdr:cNvPr id="2" name="TextBox 1">
          <a:extLst>
            <a:ext uri="{FF2B5EF4-FFF2-40B4-BE49-F238E27FC236}">
              <a16:creationId xmlns:a16="http://schemas.microsoft.com/office/drawing/2014/main" id="{B40DAE72-0FF9-2EFB-2B65-49D84984F8E8}"/>
            </a:ext>
          </a:extLst>
        </xdr:cNvPr>
        <xdr:cNvSpPr txBox="1"/>
      </xdr:nvSpPr>
      <xdr:spPr>
        <a:xfrm>
          <a:off x="1771651" y="190501"/>
          <a:ext cx="3505200" cy="3114674"/>
        </a:xfrm>
        <a:prstGeom prst="rect">
          <a:avLst/>
        </a:prstGeom>
        <a:solidFill>
          <a:schemeClr val="accent1">
            <a:lumMod val="40000"/>
            <a:lumOff val="60000"/>
            <a:alpha val="50000"/>
          </a:schemeClr>
        </a:solidFill>
        <a:ln w="9525" cmpd="sng">
          <a:solidFill>
            <a:schemeClr val="lt1">
              <a:shade val="5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Click the link to jump to the corresponding</a:t>
          </a:r>
          <a:r>
            <a:rPr lang="en-US" sz="1100" kern="1200" baseline="0"/>
            <a:t> tab.  </a:t>
          </a:r>
          <a:r>
            <a:rPr lang="en-US" sz="1100" b="1" u="sng" kern="1200" baseline="0"/>
            <a:t>Excel will not jump to the corresponding tab if the tab is hidden.</a:t>
          </a:r>
        </a:p>
        <a:p>
          <a:endParaRPr lang="en-US" sz="1100" kern="1200" baseline="0"/>
        </a:p>
        <a:p>
          <a:r>
            <a:rPr lang="en-US" sz="1100" kern="1200" baseline="0"/>
            <a:t>Use the home icon              in the top menu to jump back to this page.</a:t>
          </a:r>
        </a:p>
        <a:p>
          <a:endParaRPr lang="en-US" sz="1100" kern="1200" baseline="0"/>
        </a:p>
        <a:p>
          <a:r>
            <a:rPr lang="en-US" sz="1100" kern="1200" baseline="0"/>
            <a:t>If tabs are renamed you can create a new table of contents by clicking the bookmark icon.  </a:t>
          </a:r>
        </a:p>
        <a:p>
          <a:endParaRPr lang="en-US" sz="1100" kern="1200" baseline="0"/>
        </a:p>
        <a:p>
          <a:r>
            <a:rPr lang="en-US" sz="1100" i="1" kern="1200" baseline="0"/>
            <a:t>Creating a new table of contents will remove this instruction box.</a:t>
          </a:r>
        </a:p>
        <a:p>
          <a:endParaRPr lang="en-US" sz="1100" i="1" kern="1200" baseline="0"/>
        </a:p>
        <a:p>
          <a:r>
            <a:rPr lang="en-US" sz="1100" i="0" kern="1200" baseline="0"/>
            <a:t>Spell check is available on any page by clicking the check mark            in the main menu bar.  The more typical spell check buttons             will not work due to sheet protections.</a:t>
          </a:r>
          <a:endParaRPr lang="en-US" sz="1100" i="0" kern="1200"/>
        </a:p>
      </xdr:txBody>
    </xdr:sp>
    <xdr:clientData/>
  </xdr:twoCellAnchor>
  <xdr:twoCellAnchor editAs="oneCell">
    <xdr:from>
      <xdr:col>3</xdr:col>
      <xdr:colOff>28575</xdr:colOff>
      <xdr:row>3</xdr:row>
      <xdr:rowOff>114300</xdr:rowOff>
    </xdr:from>
    <xdr:to>
      <xdr:col>3</xdr:col>
      <xdr:colOff>390576</xdr:colOff>
      <xdr:row>5</xdr:row>
      <xdr:rowOff>57195</xdr:rowOff>
    </xdr:to>
    <xdr:pic>
      <xdr:nvPicPr>
        <xdr:cNvPr id="3" name="Picture 2">
          <a:extLst>
            <a:ext uri="{FF2B5EF4-FFF2-40B4-BE49-F238E27FC236}">
              <a16:creationId xmlns:a16="http://schemas.microsoft.com/office/drawing/2014/main" id="{CCAB4890-D11B-7F9A-305A-F3C4F2706303}"/>
            </a:ext>
          </a:extLst>
        </xdr:cNvPr>
        <xdr:cNvPicPr>
          <a:picLocks noChangeAspect="1"/>
        </xdr:cNvPicPr>
      </xdr:nvPicPr>
      <xdr:blipFill>
        <a:blip xmlns:r="http://schemas.openxmlformats.org/officeDocument/2006/relationships" r:embed="rId1"/>
        <a:stretch>
          <a:fillRect/>
        </a:stretch>
      </xdr:blipFill>
      <xdr:spPr>
        <a:xfrm>
          <a:off x="2971800" y="685800"/>
          <a:ext cx="362001" cy="323895"/>
        </a:xfrm>
        <a:prstGeom prst="rect">
          <a:avLst/>
        </a:prstGeom>
      </xdr:spPr>
    </xdr:pic>
    <xdr:clientData/>
  </xdr:twoCellAnchor>
  <xdr:twoCellAnchor editAs="oneCell">
    <xdr:from>
      <xdr:col>4</xdr:col>
      <xdr:colOff>571501</xdr:colOff>
      <xdr:row>7</xdr:row>
      <xdr:rowOff>104775</xdr:rowOff>
    </xdr:from>
    <xdr:to>
      <xdr:col>5</xdr:col>
      <xdr:colOff>228638</xdr:colOff>
      <xdr:row>8</xdr:row>
      <xdr:rowOff>171486</xdr:rowOff>
    </xdr:to>
    <xdr:pic>
      <xdr:nvPicPr>
        <xdr:cNvPr id="4" name="Picture 3">
          <a:extLst>
            <a:ext uri="{FF2B5EF4-FFF2-40B4-BE49-F238E27FC236}">
              <a16:creationId xmlns:a16="http://schemas.microsoft.com/office/drawing/2014/main" id="{A55AFD70-8085-410E-718A-4211715C6097}"/>
            </a:ext>
          </a:extLst>
        </xdr:cNvPr>
        <xdr:cNvPicPr>
          <a:picLocks noChangeAspect="1"/>
        </xdr:cNvPicPr>
      </xdr:nvPicPr>
      <xdr:blipFill>
        <a:blip xmlns:r="http://schemas.openxmlformats.org/officeDocument/2006/relationships" r:embed="rId2"/>
        <a:stretch>
          <a:fillRect/>
        </a:stretch>
      </xdr:blipFill>
      <xdr:spPr>
        <a:xfrm>
          <a:off x="4124326" y="1438275"/>
          <a:ext cx="266737" cy="257211"/>
        </a:xfrm>
        <a:prstGeom prst="rect">
          <a:avLst/>
        </a:prstGeom>
      </xdr:spPr>
    </xdr:pic>
    <xdr:clientData/>
  </xdr:twoCellAnchor>
  <xdr:twoCellAnchor editAs="oneCell">
    <xdr:from>
      <xdr:col>1</xdr:col>
      <xdr:colOff>476251</xdr:colOff>
      <xdr:row>12</xdr:row>
      <xdr:rowOff>142877</xdr:rowOff>
    </xdr:from>
    <xdr:to>
      <xdr:col>2</xdr:col>
      <xdr:colOff>152400</xdr:colOff>
      <xdr:row>13</xdr:row>
      <xdr:rowOff>182370</xdr:rowOff>
    </xdr:to>
    <xdr:pic>
      <xdr:nvPicPr>
        <xdr:cNvPr id="5" name="Picture 4">
          <a:extLst>
            <a:ext uri="{FF2B5EF4-FFF2-40B4-BE49-F238E27FC236}">
              <a16:creationId xmlns:a16="http://schemas.microsoft.com/office/drawing/2014/main" id="{CD3FE5E3-2173-23B5-B6B1-D3DF2553D0BF}"/>
            </a:ext>
          </a:extLst>
        </xdr:cNvPr>
        <xdr:cNvPicPr>
          <a:picLocks noChangeAspect="1"/>
        </xdr:cNvPicPr>
      </xdr:nvPicPr>
      <xdr:blipFill>
        <a:blip xmlns:r="http://schemas.openxmlformats.org/officeDocument/2006/relationships" r:embed="rId3"/>
        <a:stretch>
          <a:fillRect/>
        </a:stretch>
      </xdr:blipFill>
      <xdr:spPr>
        <a:xfrm>
          <a:off x="2200276" y="2428877"/>
          <a:ext cx="285749" cy="229993"/>
        </a:xfrm>
        <a:prstGeom prst="rect">
          <a:avLst/>
        </a:prstGeom>
      </xdr:spPr>
    </xdr:pic>
    <xdr:clientData/>
  </xdr:twoCellAnchor>
  <xdr:twoCellAnchor editAs="oneCell">
    <xdr:from>
      <xdr:col>2</xdr:col>
      <xdr:colOff>371476</xdr:colOff>
      <xdr:row>13</xdr:row>
      <xdr:rowOff>133351</xdr:rowOff>
    </xdr:from>
    <xdr:to>
      <xdr:col>3</xdr:col>
      <xdr:colOff>104824</xdr:colOff>
      <xdr:row>15</xdr:row>
      <xdr:rowOff>9562</xdr:rowOff>
    </xdr:to>
    <xdr:pic>
      <xdr:nvPicPr>
        <xdr:cNvPr id="6" name="Picture 5">
          <a:extLst>
            <a:ext uri="{FF2B5EF4-FFF2-40B4-BE49-F238E27FC236}">
              <a16:creationId xmlns:a16="http://schemas.microsoft.com/office/drawing/2014/main" id="{2E4A61AE-F34D-D792-27C5-33B42E9EE369}"/>
            </a:ext>
          </a:extLst>
        </xdr:cNvPr>
        <xdr:cNvPicPr>
          <a:picLocks noChangeAspect="1"/>
        </xdr:cNvPicPr>
      </xdr:nvPicPr>
      <xdr:blipFill>
        <a:blip xmlns:r="http://schemas.openxmlformats.org/officeDocument/2006/relationships" r:embed="rId4"/>
        <a:stretch>
          <a:fillRect/>
        </a:stretch>
      </xdr:blipFill>
      <xdr:spPr>
        <a:xfrm>
          <a:off x="2705101" y="2609851"/>
          <a:ext cx="342948" cy="257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358589</xdr:colOff>
      <xdr:row>2</xdr:row>
      <xdr:rowOff>0</xdr:rowOff>
    </xdr:from>
    <xdr:to>
      <xdr:col>9</xdr:col>
      <xdr:colOff>704383</xdr:colOff>
      <xdr:row>3</xdr:row>
      <xdr:rowOff>169629</xdr:rowOff>
    </xdr:to>
    <xdr:pic>
      <xdr:nvPicPr>
        <xdr:cNvPr id="2" name="Picture 1">
          <a:extLst>
            <a:ext uri="{FF2B5EF4-FFF2-40B4-BE49-F238E27FC236}">
              <a16:creationId xmlns:a16="http://schemas.microsoft.com/office/drawing/2014/main" id="{CE775734-EB8D-D54B-840E-777913E62C7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55289" y="393700"/>
          <a:ext cx="1539594" cy="360129"/>
        </a:xfrm>
        <a:prstGeom prst="rect">
          <a:avLst/>
        </a:prstGeom>
      </xdr:spPr>
    </xdr:pic>
    <xdr:clientData/>
  </xdr:twoCellAnchor>
  <xdr:twoCellAnchor>
    <xdr:from>
      <xdr:col>1</xdr:col>
      <xdr:colOff>142875</xdr:colOff>
      <xdr:row>125</xdr:row>
      <xdr:rowOff>114300</xdr:rowOff>
    </xdr:from>
    <xdr:to>
      <xdr:col>1</xdr:col>
      <xdr:colOff>1219200</xdr:colOff>
      <xdr:row>125</xdr:row>
      <xdr:rowOff>114300</xdr:rowOff>
    </xdr:to>
    <xdr:cxnSp macro="">
      <xdr:nvCxnSpPr>
        <xdr:cNvPr id="3" name="Straight Arrow Connector 2">
          <a:extLst>
            <a:ext uri="{FF2B5EF4-FFF2-40B4-BE49-F238E27FC236}">
              <a16:creationId xmlns:a16="http://schemas.microsoft.com/office/drawing/2014/main" id="{C047A576-B86A-314C-9F8C-B6A9A542F7CF}"/>
            </a:ext>
          </a:extLst>
        </xdr:cNvPr>
        <xdr:cNvCxnSpPr/>
      </xdr:nvCxnSpPr>
      <xdr:spPr>
        <a:xfrm flipH="1">
          <a:off x="346075" y="233553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98</xdr:row>
      <xdr:rowOff>114300</xdr:rowOff>
    </xdr:from>
    <xdr:to>
      <xdr:col>1</xdr:col>
      <xdr:colOff>1219200</xdr:colOff>
      <xdr:row>98</xdr:row>
      <xdr:rowOff>114300</xdr:rowOff>
    </xdr:to>
    <xdr:cxnSp macro="">
      <xdr:nvCxnSpPr>
        <xdr:cNvPr id="4" name="Straight Arrow Connector 3">
          <a:extLst>
            <a:ext uri="{FF2B5EF4-FFF2-40B4-BE49-F238E27FC236}">
              <a16:creationId xmlns:a16="http://schemas.microsoft.com/office/drawing/2014/main" id="{631D5168-B5C3-2C41-BD94-7B3FFAE718D5}"/>
            </a:ext>
          </a:extLst>
        </xdr:cNvPr>
        <xdr:cNvCxnSpPr/>
      </xdr:nvCxnSpPr>
      <xdr:spPr>
        <a:xfrm flipH="1">
          <a:off x="346075" y="178562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266</xdr:row>
      <xdr:rowOff>114300</xdr:rowOff>
    </xdr:from>
    <xdr:to>
      <xdr:col>1</xdr:col>
      <xdr:colOff>1219200</xdr:colOff>
      <xdr:row>266</xdr:row>
      <xdr:rowOff>114300</xdr:rowOff>
    </xdr:to>
    <xdr:cxnSp macro="">
      <xdr:nvCxnSpPr>
        <xdr:cNvPr id="5" name="Straight Arrow Connector 4">
          <a:extLst>
            <a:ext uri="{FF2B5EF4-FFF2-40B4-BE49-F238E27FC236}">
              <a16:creationId xmlns:a16="http://schemas.microsoft.com/office/drawing/2014/main" id="{DA9D15C4-696C-1F48-8C19-9D8630B6C6DE}"/>
            </a:ext>
          </a:extLst>
        </xdr:cNvPr>
        <xdr:cNvCxnSpPr/>
      </xdr:nvCxnSpPr>
      <xdr:spPr>
        <a:xfrm flipH="1">
          <a:off x="346075" y="514604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239</xdr:row>
      <xdr:rowOff>114300</xdr:rowOff>
    </xdr:from>
    <xdr:to>
      <xdr:col>1</xdr:col>
      <xdr:colOff>1219200</xdr:colOff>
      <xdr:row>239</xdr:row>
      <xdr:rowOff>114300</xdr:rowOff>
    </xdr:to>
    <xdr:cxnSp macro="">
      <xdr:nvCxnSpPr>
        <xdr:cNvPr id="6" name="Straight Arrow Connector 5">
          <a:extLst>
            <a:ext uri="{FF2B5EF4-FFF2-40B4-BE49-F238E27FC236}">
              <a16:creationId xmlns:a16="http://schemas.microsoft.com/office/drawing/2014/main" id="{413735EF-553A-7048-A5DB-79CC8D449F26}"/>
            </a:ext>
          </a:extLst>
        </xdr:cNvPr>
        <xdr:cNvCxnSpPr/>
      </xdr:nvCxnSpPr>
      <xdr:spPr>
        <a:xfrm flipH="1">
          <a:off x="346075" y="459740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299</xdr:row>
      <xdr:rowOff>114300</xdr:rowOff>
    </xdr:from>
    <xdr:to>
      <xdr:col>1</xdr:col>
      <xdr:colOff>1219200</xdr:colOff>
      <xdr:row>299</xdr:row>
      <xdr:rowOff>114300</xdr:rowOff>
    </xdr:to>
    <xdr:cxnSp macro="">
      <xdr:nvCxnSpPr>
        <xdr:cNvPr id="7" name="Straight Arrow Connector 6">
          <a:extLst>
            <a:ext uri="{FF2B5EF4-FFF2-40B4-BE49-F238E27FC236}">
              <a16:creationId xmlns:a16="http://schemas.microsoft.com/office/drawing/2014/main" id="{8C54F0DC-3EE2-1749-A7F2-2720E8C851D9}"/>
            </a:ext>
          </a:extLst>
        </xdr:cNvPr>
        <xdr:cNvCxnSpPr/>
      </xdr:nvCxnSpPr>
      <xdr:spPr>
        <a:xfrm flipH="1">
          <a:off x="346075" y="581533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345</xdr:row>
      <xdr:rowOff>114300</xdr:rowOff>
    </xdr:from>
    <xdr:to>
      <xdr:col>1</xdr:col>
      <xdr:colOff>1219200</xdr:colOff>
      <xdr:row>345</xdr:row>
      <xdr:rowOff>114300</xdr:rowOff>
    </xdr:to>
    <xdr:cxnSp macro="">
      <xdr:nvCxnSpPr>
        <xdr:cNvPr id="8" name="Straight Arrow Connector 7">
          <a:extLst>
            <a:ext uri="{FF2B5EF4-FFF2-40B4-BE49-F238E27FC236}">
              <a16:creationId xmlns:a16="http://schemas.microsoft.com/office/drawing/2014/main" id="{8F92EE28-841B-B743-8509-BEC26C48059C}"/>
            </a:ext>
          </a:extLst>
        </xdr:cNvPr>
        <xdr:cNvCxnSpPr/>
      </xdr:nvCxnSpPr>
      <xdr:spPr>
        <a:xfrm flipH="1">
          <a:off x="346075" y="584327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318</xdr:row>
      <xdr:rowOff>114300</xdr:rowOff>
    </xdr:from>
    <xdr:to>
      <xdr:col>1</xdr:col>
      <xdr:colOff>1219200</xdr:colOff>
      <xdr:row>318</xdr:row>
      <xdr:rowOff>114300</xdr:rowOff>
    </xdr:to>
    <xdr:cxnSp macro="">
      <xdr:nvCxnSpPr>
        <xdr:cNvPr id="9" name="Straight Arrow Connector 8">
          <a:extLst>
            <a:ext uri="{FF2B5EF4-FFF2-40B4-BE49-F238E27FC236}">
              <a16:creationId xmlns:a16="http://schemas.microsoft.com/office/drawing/2014/main" id="{5A6ACA01-EBD4-434F-9E1C-A3B67F691A5F}"/>
            </a:ext>
          </a:extLst>
        </xdr:cNvPr>
        <xdr:cNvCxnSpPr/>
      </xdr:nvCxnSpPr>
      <xdr:spPr>
        <a:xfrm flipH="1">
          <a:off x="346075" y="584327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378</xdr:row>
      <xdr:rowOff>114300</xdr:rowOff>
    </xdr:from>
    <xdr:to>
      <xdr:col>1</xdr:col>
      <xdr:colOff>1219200</xdr:colOff>
      <xdr:row>378</xdr:row>
      <xdr:rowOff>114300</xdr:rowOff>
    </xdr:to>
    <xdr:cxnSp macro="">
      <xdr:nvCxnSpPr>
        <xdr:cNvPr id="10" name="Straight Arrow Connector 9">
          <a:extLst>
            <a:ext uri="{FF2B5EF4-FFF2-40B4-BE49-F238E27FC236}">
              <a16:creationId xmlns:a16="http://schemas.microsoft.com/office/drawing/2014/main" id="{8EF65985-BCAA-C644-807A-C9CA4B227F53}"/>
            </a:ext>
          </a:extLst>
        </xdr:cNvPr>
        <xdr:cNvCxnSpPr/>
      </xdr:nvCxnSpPr>
      <xdr:spPr>
        <a:xfrm flipH="1">
          <a:off x="346075" y="585470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424</xdr:row>
      <xdr:rowOff>114300</xdr:rowOff>
    </xdr:from>
    <xdr:to>
      <xdr:col>1</xdr:col>
      <xdr:colOff>1219200</xdr:colOff>
      <xdr:row>424</xdr:row>
      <xdr:rowOff>114300</xdr:rowOff>
    </xdr:to>
    <xdr:cxnSp macro="">
      <xdr:nvCxnSpPr>
        <xdr:cNvPr id="11" name="Straight Arrow Connector 10">
          <a:extLst>
            <a:ext uri="{FF2B5EF4-FFF2-40B4-BE49-F238E27FC236}">
              <a16:creationId xmlns:a16="http://schemas.microsoft.com/office/drawing/2014/main" id="{4F85A3F6-93EE-C240-A33B-383AB2BE7258}"/>
            </a:ext>
          </a:extLst>
        </xdr:cNvPr>
        <xdr:cNvCxnSpPr/>
      </xdr:nvCxnSpPr>
      <xdr:spPr>
        <a:xfrm flipH="1">
          <a:off x="346075" y="58839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397</xdr:row>
      <xdr:rowOff>114300</xdr:rowOff>
    </xdr:from>
    <xdr:to>
      <xdr:col>1</xdr:col>
      <xdr:colOff>1219200</xdr:colOff>
      <xdr:row>397</xdr:row>
      <xdr:rowOff>114300</xdr:rowOff>
    </xdr:to>
    <xdr:cxnSp macro="">
      <xdr:nvCxnSpPr>
        <xdr:cNvPr id="12" name="Straight Arrow Connector 11">
          <a:extLst>
            <a:ext uri="{FF2B5EF4-FFF2-40B4-BE49-F238E27FC236}">
              <a16:creationId xmlns:a16="http://schemas.microsoft.com/office/drawing/2014/main" id="{EB182530-ABBC-F044-A63E-7AE546A34FCC}"/>
            </a:ext>
          </a:extLst>
        </xdr:cNvPr>
        <xdr:cNvCxnSpPr/>
      </xdr:nvCxnSpPr>
      <xdr:spPr>
        <a:xfrm flipH="1">
          <a:off x="346075" y="58839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457</xdr:row>
      <xdr:rowOff>114300</xdr:rowOff>
    </xdr:from>
    <xdr:to>
      <xdr:col>1</xdr:col>
      <xdr:colOff>1219200</xdr:colOff>
      <xdr:row>457</xdr:row>
      <xdr:rowOff>114300</xdr:rowOff>
    </xdr:to>
    <xdr:cxnSp macro="">
      <xdr:nvCxnSpPr>
        <xdr:cNvPr id="13" name="Straight Arrow Connector 12">
          <a:extLst>
            <a:ext uri="{FF2B5EF4-FFF2-40B4-BE49-F238E27FC236}">
              <a16:creationId xmlns:a16="http://schemas.microsoft.com/office/drawing/2014/main" id="{41FDE897-4A23-9841-85A2-A4E88A8D6486}"/>
            </a:ext>
          </a:extLst>
        </xdr:cNvPr>
        <xdr:cNvCxnSpPr/>
      </xdr:nvCxnSpPr>
      <xdr:spPr>
        <a:xfrm flipH="1">
          <a:off x="346075" y="589534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503</xdr:row>
      <xdr:rowOff>114300</xdr:rowOff>
    </xdr:from>
    <xdr:to>
      <xdr:col>1</xdr:col>
      <xdr:colOff>1219200</xdr:colOff>
      <xdr:row>503</xdr:row>
      <xdr:rowOff>114300</xdr:rowOff>
    </xdr:to>
    <xdr:cxnSp macro="">
      <xdr:nvCxnSpPr>
        <xdr:cNvPr id="14" name="Straight Arrow Connector 13">
          <a:extLst>
            <a:ext uri="{FF2B5EF4-FFF2-40B4-BE49-F238E27FC236}">
              <a16:creationId xmlns:a16="http://schemas.microsoft.com/office/drawing/2014/main" id="{AE78CC1C-DE60-7A41-84EC-D67EBF974D0C}"/>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476</xdr:row>
      <xdr:rowOff>114300</xdr:rowOff>
    </xdr:from>
    <xdr:to>
      <xdr:col>1</xdr:col>
      <xdr:colOff>1219200</xdr:colOff>
      <xdr:row>476</xdr:row>
      <xdr:rowOff>114300</xdr:rowOff>
    </xdr:to>
    <xdr:cxnSp macro="">
      <xdr:nvCxnSpPr>
        <xdr:cNvPr id="15" name="Straight Arrow Connector 14">
          <a:extLst>
            <a:ext uri="{FF2B5EF4-FFF2-40B4-BE49-F238E27FC236}">
              <a16:creationId xmlns:a16="http://schemas.microsoft.com/office/drawing/2014/main" id="{334A6835-D614-C948-A537-3DD9D9BEDAF0}"/>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536</xdr:row>
      <xdr:rowOff>114300</xdr:rowOff>
    </xdr:from>
    <xdr:to>
      <xdr:col>1</xdr:col>
      <xdr:colOff>1219200</xdr:colOff>
      <xdr:row>536</xdr:row>
      <xdr:rowOff>114300</xdr:rowOff>
    </xdr:to>
    <xdr:cxnSp macro="">
      <xdr:nvCxnSpPr>
        <xdr:cNvPr id="16" name="Straight Arrow Connector 15">
          <a:extLst>
            <a:ext uri="{FF2B5EF4-FFF2-40B4-BE49-F238E27FC236}">
              <a16:creationId xmlns:a16="http://schemas.microsoft.com/office/drawing/2014/main" id="{06A056D0-D7A4-3242-9A75-CB20C39D282F}"/>
            </a:ext>
          </a:extLst>
        </xdr:cNvPr>
        <xdr:cNvCxnSpPr/>
      </xdr:nvCxnSpPr>
      <xdr:spPr>
        <a:xfrm flipH="1">
          <a:off x="346075" y="593598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582</xdr:row>
      <xdr:rowOff>114300</xdr:rowOff>
    </xdr:from>
    <xdr:to>
      <xdr:col>1</xdr:col>
      <xdr:colOff>1219200</xdr:colOff>
      <xdr:row>582</xdr:row>
      <xdr:rowOff>114300</xdr:rowOff>
    </xdr:to>
    <xdr:cxnSp macro="">
      <xdr:nvCxnSpPr>
        <xdr:cNvPr id="17" name="Straight Arrow Connector 16">
          <a:extLst>
            <a:ext uri="{FF2B5EF4-FFF2-40B4-BE49-F238E27FC236}">
              <a16:creationId xmlns:a16="http://schemas.microsoft.com/office/drawing/2014/main" id="{709AC946-061A-1F4F-8B75-397F531070F9}"/>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555</xdr:row>
      <xdr:rowOff>114300</xdr:rowOff>
    </xdr:from>
    <xdr:to>
      <xdr:col>1</xdr:col>
      <xdr:colOff>1219200</xdr:colOff>
      <xdr:row>555</xdr:row>
      <xdr:rowOff>114300</xdr:rowOff>
    </xdr:to>
    <xdr:cxnSp macro="">
      <xdr:nvCxnSpPr>
        <xdr:cNvPr id="18" name="Straight Arrow Connector 17">
          <a:extLst>
            <a:ext uri="{FF2B5EF4-FFF2-40B4-BE49-F238E27FC236}">
              <a16:creationId xmlns:a16="http://schemas.microsoft.com/office/drawing/2014/main" id="{94123454-0B4C-EF4E-8067-79705D2B9989}"/>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615</xdr:row>
      <xdr:rowOff>114300</xdr:rowOff>
    </xdr:from>
    <xdr:to>
      <xdr:col>1</xdr:col>
      <xdr:colOff>1219200</xdr:colOff>
      <xdr:row>615</xdr:row>
      <xdr:rowOff>114300</xdr:rowOff>
    </xdr:to>
    <xdr:cxnSp macro="">
      <xdr:nvCxnSpPr>
        <xdr:cNvPr id="19" name="Straight Arrow Connector 18">
          <a:extLst>
            <a:ext uri="{FF2B5EF4-FFF2-40B4-BE49-F238E27FC236}">
              <a16:creationId xmlns:a16="http://schemas.microsoft.com/office/drawing/2014/main" id="{F84AF092-C48F-F045-B86C-480B75278581}"/>
            </a:ext>
          </a:extLst>
        </xdr:cNvPr>
        <xdr:cNvCxnSpPr/>
      </xdr:nvCxnSpPr>
      <xdr:spPr>
        <a:xfrm flipH="1">
          <a:off x="346075" y="597662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125</xdr:row>
      <xdr:rowOff>114300</xdr:rowOff>
    </xdr:from>
    <xdr:to>
      <xdr:col>1</xdr:col>
      <xdr:colOff>1219200</xdr:colOff>
      <xdr:row>125</xdr:row>
      <xdr:rowOff>114300</xdr:rowOff>
    </xdr:to>
    <xdr:cxnSp macro="">
      <xdr:nvCxnSpPr>
        <xdr:cNvPr id="20" name="Straight Arrow Connector 19">
          <a:extLst>
            <a:ext uri="{FF2B5EF4-FFF2-40B4-BE49-F238E27FC236}">
              <a16:creationId xmlns:a16="http://schemas.microsoft.com/office/drawing/2014/main" id="{EF405332-05C4-C345-8521-63E75F2F0EB9}"/>
            </a:ext>
          </a:extLst>
        </xdr:cNvPr>
        <xdr:cNvCxnSpPr/>
      </xdr:nvCxnSpPr>
      <xdr:spPr>
        <a:xfrm flipH="1">
          <a:off x="346075" y="233553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299</xdr:row>
      <xdr:rowOff>114300</xdr:rowOff>
    </xdr:from>
    <xdr:to>
      <xdr:col>1</xdr:col>
      <xdr:colOff>1219200</xdr:colOff>
      <xdr:row>299</xdr:row>
      <xdr:rowOff>114300</xdr:rowOff>
    </xdr:to>
    <xdr:cxnSp macro="">
      <xdr:nvCxnSpPr>
        <xdr:cNvPr id="21" name="Straight Arrow Connector 20">
          <a:extLst>
            <a:ext uri="{FF2B5EF4-FFF2-40B4-BE49-F238E27FC236}">
              <a16:creationId xmlns:a16="http://schemas.microsoft.com/office/drawing/2014/main" id="{9E2A44F6-D102-2C4C-8547-839625C5003B}"/>
            </a:ext>
          </a:extLst>
        </xdr:cNvPr>
        <xdr:cNvCxnSpPr/>
      </xdr:nvCxnSpPr>
      <xdr:spPr>
        <a:xfrm flipH="1">
          <a:off x="346075" y="581533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378</xdr:row>
      <xdr:rowOff>114300</xdr:rowOff>
    </xdr:from>
    <xdr:to>
      <xdr:col>1</xdr:col>
      <xdr:colOff>1219200</xdr:colOff>
      <xdr:row>378</xdr:row>
      <xdr:rowOff>114300</xdr:rowOff>
    </xdr:to>
    <xdr:cxnSp macro="">
      <xdr:nvCxnSpPr>
        <xdr:cNvPr id="22" name="Straight Arrow Connector 21">
          <a:extLst>
            <a:ext uri="{FF2B5EF4-FFF2-40B4-BE49-F238E27FC236}">
              <a16:creationId xmlns:a16="http://schemas.microsoft.com/office/drawing/2014/main" id="{0D3522B2-52B5-DD49-9094-AD3C42D53FFE}"/>
            </a:ext>
          </a:extLst>
        </xdr:cNvPr>
        <xdr:cNvCxnSpPr/>
      </xdr:nvCxnSpPr>
      <xdr:spPr>
        <a:xfrm flipH="1">
          <a:off x="346075" y="585470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457</xdr:row>
      <xdr:rowOff>114300</xdr:rowOff>
    </xdr:from>
    <xdr:to>
      <xdr:col>1</xdr:col>
      <xdr:colOff>1219200</xdr:colOff>
      <xdr:row>457</xdr:row>
      <xdr:rowOff>114300</xdr:rowOff>
    </xdr:to>
    <xdr:cxnSp macro="">
      <xdr:nvCxnSpPr>
        <xdr:cNvPr id="23" name="Straight Arrow Connector 22">
          <a:extLst>
            <a:ext uri="{FF2B5EF4-FFF2-40B4-BE49-F238E27FC236}">
              <a16:creationId xmlns:a16="http://schemas.microsoft.com/office/drawing/2014/main" id="{8C6B0ADA-5BD2-434B-905C-CA756D27FBD9}"/>
            </a:ext>
          </a:extLst>
        </xdr:cNvPr>
        <xdr:cNvCxnSpPr/>
      </xdr:nvCxnSpPr>
      <xdr:spPr>
        <a:xfrm flipH="1">
          <a:off x="346075" y="589534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536</xdr:row>
      <xdr:rowOff>114300</xdr:rowOff>
    </xdr:from>
    <xdr:to>
      <xdr:col>1</xdr:col>
      <xdr:colOff>1219200</xdr:colOff>
      <xdr:row>536</xdr:row>
      <xdr:rowOff>114300</xdr:rowOff>
    </xdr:to>
    <xdr:cxnSp macro="">
      <xdr:nvCxnSpPr>
        <xdr:cNvPr id="24" name="Straight Arrow Connector 23">
          <a:extLst>
            <a:ext uri="{FF2B5EF4-FFF2-40B4-BE49-F238E27FC236}">
              <a16:creationId xmlns:a16="http://schemas.microsoft.com/office/drawing/2014/main" id="{54DB931B-9BDE-3849-B532-5B9258CABEBF}"/>
            </a:ext>
          </a:extLst>
        </xdr:cNvPr>
        <xdr:cNvCxnSpPr/>
      </xdr:nvCxnSpPr>
      <xdr:spPr>
        <a:xfrm flipH="1">
          <a:off x="346075" y="593598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615</xdr:row>
      <xdr:rowOff>114300</xdr:rowOff>
    </xdr:from>
    <xdr:to>
      <xdr:col>1</xdr:col>
      <xdr:colOff>1219200</xdr:colOff>
      <xdr:row>615</xdr:row>
      <xdr:rowOff>114300</xdr:rowOff>
    </xdr:to>
    <xdr:cxnSp macro="">
      <xdr:nvCxnSpPr>
        <xdr:cNvPr id="25" name="Straight Arrow Connector 24">
          <a:extLst>
            <a:ext uri="{FF2B5EF4-FFF2-40B4-BE49-F238E27FC236}">
              <a16:creationId xmlns:a16="http://schemas.microsoft.com/office/drawing/2014/main" id="{30053384-C615-6B4E-BF15-41D5CCC0F9A4}"/>
            </a:ext>
          </a:extLst>
        </xdr:cNvPr>
        <xdr:cNvCxnSpPr/>
      </xdr:nvCxnSpPr>
      <xdr:spPr>
        <a:xfrm flipH="1">
          <a:off x="346075" y="597662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378</xdr:row>
      <xdr:rowOff>114300</xdr:rowOff>
    </xdr:from>
    <xdr:to>
      <xdr:col>1</xdr:col>
      <xdr:colOff>1219200</xdr:colOff>
      <xdr:row>378</xdr:row>
      <xdr:rowOff>114300</xdr:rowOff>
    </xdr:to>
    <xdr:cxnSp macro="">
      <xdr:nvCxnSpPr>
        <xdr:cNvPr id="26" name="Straight Arrow Connector 25">
          <a:extLst>
            <a:ext uri="{FF2B5EF4-FFF2-40B4-BE49-F238E27FC236}">
              <a16:creationId xmlns:a16="http://schemas.microsoft.com/office/drawing/2014/main" id="{E34A74F1-35A1-0144-906E-D0469BE62697}"/>
            </a:ext>
          </a:extLst>
        </xdr:cNvPr>
        <xdr:cNvCxnSpPr/>
      </xdr:nvCxnSpPr>
      <xdr:spPr>
        <a:xfrm flipH="1">
          <a:off x="346075" y="585470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378</xdr:row>
      <xdr:rowOff>114300</xdr:rowOff>
    </xdr:from>
    <xdr:to>
      <xdr:col>1</xdr:col>
      <xdr:colOff>1219200</xdr:colOff>
      <xdr:row>378</xdr:row>
      <xdr:rowOff>114300</xdr:rowOff>
    </xdr:to>
    <xdr:cxnSp macro="">
      <xdr:nvCxnSpPr>
        <xdr:cNvPr id="27" name="Straight Arrow Connector 26">
          <a:extLst>
            <a:ext uri="{FF2B5EF4-FFF2-40B4-BE49-F238E27FC236}">
              <a16:creationId xmlns:a16="http://schemas.microsoft.com/office/drawing/2014/main" id="{B304319C-3B0E-1740-9CA6-5BBEAEC3CB54}"/>
            </a:ext>
          </a:extLst>
        </xdr:cNvPr>
        <xdr:cNvCxnSpPr/>
      </xdr:nvCxnSpPr>
      <xdr:spPr>
        <a:xfrm flipH="1">
          <a:off x="346075" y="585470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457</xdr:row>
      <xdr:rowOff>114300</xdr:rowOff>
    </xdr:from>
    <xdr:to>
      <xdr:col>1</xdr:col>
      <xdr:colOff>1219200</xdr:colOff>
      <xdr:row>457</xdr:row>
      <xdr:rowOff>114300</xdr:rowOff>
    </xdr:to>
    <xdr:cxnSp macro="">
      <xdr:nvCxnSpPr>
        <xdr:cNvPr id="28" name="Straight Arrow Connector 27">
          <a:extLst>
            <a:ext uri="{FF2B5EF4-FFF2-40B4-BE49-F238E27FC236}">
              <a16:creationId xmlns:a16="http://schemas.microsoft.com/office/drawing/2014/main" id="{78D1E173-923B-6943-B0BD-10752898E01D}"/>
            </a:ext>
          </a:extLst>
        </xdr:cNvPr>
        <xdr:cNvCxnSpPr/>
      </xdr:nvCxnSpPr>
      <xdr:spPr>
        <a:xfrm flipH="1">
          <a:off x="346075" y="589534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457</xdr:row>
      <xdr:rowOff>114300</xdr:rowOff>
    </xdr:from>
    <xdr:to>
      <xdr:col>1</xdr:col>
      <xdr:colOff>1219200</xdr:colOff>
      <xdr:row>457</xdr:row>
      <xdr:rowOff>114300</xdr:rowOff>
    </xdr:to>
    <xdr:cxnSp macro="">
      <xdr:nvCxnSpPr>
        <xdr:cNvPr id="29" name="Straight Arrow Connector 28">
          <a:extLst>
            <a:ext uri="{FF2B5EF4-FFF2-40B4-BE49-F238E27FC236}">
              <a16:creationId xmlns:a16="http://schemas.microsoft.com/office/drawing/2014/main" id="{6D0E3CF2-4974-1B49-A233-A5121EECE904}"/>
            </a:ext>
          </a:extLst>
        </xdr:cNvPr>
        <xdr:cNvCxnSpPr/>
      </xdr:nvCxnSpPr>
      <xdr:spPr>
        <a:xfrm flipH="1">
          <a:off x="346075" y="589534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536</xdr:row>
      <xdr:rowOff>114300</xdr:rowOff>
    </xdr:from>
    <xdr:to>
      <xdr:col>1</xdr:col>
      <xdr:colOff>1219200</xdr:colOff>
      <xdr:row>536</xdr:row>
      <xdr:rowOff>114300</xdr:rowOff>
    </xdr:to>
    <xdr:cxnSp macro="">
      <xdr:nvCxnSpPr>
        <xdr:cNvPr id="30" name="Straight Arrow Connector 29">
          <a:extLst>
            <a:ext uri="{FF2B5EF4-FFF2-40B4-BE49-F238E27FC236}">
              <a16:creationId xmlns:a16="http://schemas.microsoft.com/office/drawing/2014/main" id="{8315D8BE-FC49-514F-BB30-E46B20F31016}"/>
            </a:ext>
          </a:extLst>
        </xdr:cNvPr>
        <xdr:cNvCxnSpPr/>
      </xdr:nvCxnSpPr>
      <xdr:spPr>
        <a:xfrm flipH="1">
          <a:off x="346075" y="593598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536</xdr:row>
      <xdr:rowOff>114300</xdr:rowOff>
    </xdr:from>
    <xdr:to>
      <xdr:col>1</xdr:col>
      <xdr:colOff>1219200</xdr:colOff>
      <xdr:row>536</xdr:row>
      <xdr:rowOff>114300</xdr:rowOff>
    </xdr:to>
    <xdr:cxnSp macro="">
      <xdr:nvCxnSpPr>
        <xdr:cNvPr id="31" name="Straight Arrow Connector 30">
          <a:extLst>
            <a:ext uri="{FF2B5EF4-FFF2-40B4-BE49-F238E27FC236}">
              <a16:creationId xmlns:a16="http://schemas.microsoft.com/office/drawing/2014/main" id="{E2F3007E-C087-F740-B626-792548EEDE5A}"/>
            </a:ext>
          </a:extLst>
        </xdr:cNvPr>
        <xdr:cNvCxnSpPr/>
      </xdr:nvCxnSpPr>
      <xdr:spPr>
        <a:xfrm flipH="1">
          <a:off x="346075" y="593598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615</xdr:row>
      <xdr:rowOff>114300</xdr:rowOff>
    </xdr:from>
    <xdr:to>
      <xdr:col>1</xdr:col>
      <xdr:colOff>1219200</xdr:colOff>
      <xdr:row>615</xdr:row>
      <xdr:rowOff>114300</xdr:rowOff>
    </xdr:to>
    <xdr:cxnSp macro="">
      <xdr:nvCxnSpPr>
        <xdr:cNvPr id="32" name="Straight Arrow Connector 31">
          <a:extLst>
            <a:ext uri="{FF2B5EF4-FFF2-40B4-BE49-F238E27FC236}">
              <a16:creationId xmlns:a16="http://schemas.microsoft.com/office/drawing/2014/main" id="{3175FE83-10BF-C046-A8BF-298C7888682A}"/>
            </a:ext>
          </a:extLst>
        </xdr:cNvPr>
        <xdr:cNvCxnSpPr/>
      </xdr:nvCxnSpPr>
      <xdr:spPr>
        <a:xfrm flipH="1">
          <a:off x="346075" y="597662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615</xdr:row>
      <xdr:rowOff>114300</xdr:rowOff>
    </xdr:from>
    <xdr:to>
      <xdr:col>1</xdr:col>
      <xdr:colOff>1219200</xdr:colOff>
      <xdr:row>615</xdr:row>
      <xdr:rowOff>114300</xdr:rowOff>
    </xdr:to>
    <xdr:cxnSp macro="">
      <xdr:nvCxnSpPr>
        <xdr:cNvPr id="33" name="Straight Arrow Connector 32">
          <a:extLst>
            <a:ext uri="{FF2B5EF4-FFF2-40B4-BE49-F238E27FC236}">
              <a16:creationId xmlns:a16="http://schemas.microsoft.com/office/drawing/2014/main" id="{7887A5D1-EC89-8648-A478-B5F80D5FC69F}"/>
            </a:ext>
          </a:extLst>
        </xdr:cNvPr>
        <xdr:cNvCxnSpPr/>
      </xdr:nvCxnSpPr>
      <xdr:spPr>
        <a:xfrm flipH="1">
          <a:off x="346075" y="597662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318</xdr:row>
      <xdr:rowOff>114300</xdr:rowOff>
    </xdr:from>
    <xdr:to>
      <xdr:col>1</xdr:col>
      <xdr:colOff>1219200</xdr:colOff>
      <xdr:row>318</xdr:row>
      <xdr:rowOff>114300</xdr:rowOff>
    </xdr:to>
    <xdr:cxnSp macro="">
      <xdr:nvCxnSpPr>
        <xdr:cNvPr id="34" name="Straight Arrow Connector 33">
          <a:extLst>
            <a:ext uri="{FF2B5EF4-FFF2-40B4-BE49-F238E27FC236}">
              <a16:creationId xmlns:a16="http://schemas.microsoft.com/office/drawing/2014/main" id="{5272299C-D7AD-9645-8BDA-21C0D42FF950}"/>
            </a:ext>
          </a:extLst>
        </xdr:cNvPr>
        <xdr:cNvCxnSpPr/>
      </xdr:nvCxnSpPr>
      <xdr:spPr>
        <a:xfrm flipH="1">
          <a:off x="346075" y="584327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266</xdr:row>
      <xdr:rowOff>114300</xdr:rowOff>
    </xdr:from>
    <xdr:to>
      <xdr:col>1</xdr:col>
      <xdr:colOff>1219200</xdr:colOff>
      <xdr:row>266</xdr:row>
      <xdr:rowOff>114300</xdr:rowOff>
    </xdr:to>
    <xdr:cxnSp macro="">
      <xdr:nvCxnSpPr>
        <xdr:cNvPr id="35" name="Straight Arrow Connector 34">
          <a:extLst>
            <a:ext uri="{FF2B5EF4-FFF2-40B4-BE49-F238E27FC236}">
              <a16:creationId xmlns:a16="http://schemas.microsoft.com/office/drawing/2014/main" id="{0083BB17-F22A-C445-ADBD-EE23271A4EC1}"/>
            </a:ext>
          </a:extLst>
        </xdr:cNvPr>
        <xdr:cNvCxnSpPr/>
      </xdr:nvCxnSpPr>
      <xdr:spPr>
        <a:xfrm flipH="1">
          <a:off x="346075" y="514604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318</xdr:row>
      <xdr:rowOff>114300</xdr:rowOff>
    </xdr:from>
    <xdr:to>
      <xdr:col>1</xdr:col>
      <xdr:colOff>1219200</xdr:colOff>
      <xdr:row>318</xdr:row>
      <xdr:rowOff>114300</xdr:rowOff>
    </xdr:to>
    <xdr:cxnSp macro="">
      <xdr:nvCxnSpPr>
        <xdr:cNvPr id="36" name="Straight Arrow Connector 35">
          <a:extLst>
            <a:ext uri="{FF2B5EF4-FFF2-40B4-BE49-F238E27FC236}">
              <a16:creationId xmlns:a16="http://schemas.microsoft.com/office/drawing/2014/main" id="{383192E4-5F27-5E40-9E94-310AA513403D}"/>
            </a:ext>
          </a:extLst>
        </xdr:cNvPr>
        <xdr:cNvCxnSpPr/>
      </xdr:nvCxnSpPr>
      <xdr:spPr>
        <a:xfrm flipH="1">
          <a:off x="346075" y="584327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345</xdr:row>
      <xdr:rowOff>114300</xdr:rowOff>
    </xdr:from>
    <xdr:to>
      <xdr:col>1</xdr:col>
      <xdr:colOff>1219200</xdr:colOff>
      <xdr:row>345</xdr:row>
      <xdr:rowOff>114300</xdr:rowOff>
    </xdr:to>
    <xdr:cxnSp macro="">
      <xdr:nvCxnSpPr>
        <xdr:cNvPr id="37" name="Straight Arrow Connector 36">
          <a:extLst>
            <a:ext uri="{FF2B5EF4-FFF2-40B4-BE49-F238E27FC236}">
              <a16:creationId xmlns:a16="http://schemas.microsoft.com/office/drawing/2014/main" id="{D92DFBD8-2C59-0447-A268-86E1EE58E2FD}"/>
            </a:ext>
          </a:extLst>
        </xdr:cNvPr>
        <xdr:cNvCxnSpPr/>
      </xdr:nvCxnSpPr>
      <xdr:spPr>
        <a:xfrm flipH="1">
          <a:off x="346075" y="584327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397</xdr:row>
      <xdr:rowOff>114300</xdr:rowOff>
    </xdr:from>
    <xdr:to>
      <xdr:col>1</xdr:col>
      <xdr:colOff>1219200</xdr:colOff>
      <xdr:row>397</xdr:row>
      <xdr:rowOff>114300</xdr:rowOff>
    </xdr:to>
    <xdr:cxnSp macro="">
      <xdr:nvCxnSpPr>
        <xdr:cNvPr id="38" name="Straight Arrow Connector 37">
          <a:extLst>
            <a:ext uri="{FF2B5EF4-FFF2-40B4-BE49-F238E27FC236}">
              <a16:creationId xmlns:a16="http://schemas.microsoft.com/office/drawing/2014/main" id="{9377FE6C-3775-F34E-8C45-F0A5E9FF5D13}"/>
            </a:ext>
          </a:extLst>
        </xdr:cNvPr>
        <xdr:cNvCxnSpPr/>
      </xdr:nvCxnSpPr>
      <xdr:spPr>
        <a:xfrm flipH="1">
          <a:off x="346075" y="58839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397</xdr:row>
      <xdr:rowOff>114300</xdr:rowOff>
    </xdr:from>
    <xdr:to>
      <xdr:col>1</xdr:col>
      <xdr:colOff>1219200</xdr:colOff>
      <xdr:row>397</xdr:row>
      <xdr:rowOff>114300</xdr:rowOff>
    </xdr:to>
    <xdr:cxnSp macro="">
      <xdr:nvCxnSpPr>
        <xdr:cNvPr id="39" name="Straight Arrow Connector 38">
          <a:extLst>
            <a:ext uri="{FF2B5EF4-FFF2-40B4-BE49-F238E27FC236}">
              <a16:creationId xmlns:a16="http://schemas.microsoft.com/office/drawing/2014/main" id="{A2375FCB-2E89-7F40-8BAF-9FF703178654}"/>
            </a:ext>
          </a:extLst>
        </xdr:cNvPr>
        <xdr:cNvCxnSpPr/>
      </xdr:nvCxnSpPr>
      <xdr:spPr>
        <a:xfrm flipH="1">
          <a:off x="346075" y="58839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424</xdr:row>
      <xdr:rowOff>114300</xdr:rowOff>
    </xdr:from>
    <xdr:to>
      <xdr:col>1</xdr:col>
      <xdr:colOff>1219200</xdr:colOff>
      <xdr:row>424</xdr:row>
      <xdr:rowOff>114300</xdr:rowOff>
    </xdr:to>
    <xdr:cxnSp macro="">
      <xdr:nvCxnSpPr>
        <xdr:cNvPr id="40" name="Straight Arrow Connector 39">
          <a:extLst>
            <a:ext uri="{FF2B5EF4-FFF2-40B4-BE49-F238E27FC236}">
              <a16:creationId xmlns:a16="http://schemas.microsoft.com/office/drawing/2014/main" id="{3BF3FD33-916B-184A-B7AF-B25068547DB8}"/>
            </a:ext>
          </a:extLst>
        </xdr:cNvPr>
        <xdr:cNvCxnSpPr/>
      </xdr:nvCxnSpPr>
      <xdr:spPr>
        <a:xfrm flipH="1">
          <a:off x="346075" y="58839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424</xdr:row>
      <xdr:rowOff>114300</xdr:rowOff>
    </xdr:from>
    <xdr:to>
      <xdr:col>1</xdr:col>
      <xdr:colOff>1219200</xdr:colOff>
      <xdr:row>424</xdr:row>
      <xdr:rowOff>114300</xdr:rowOff>
    </xdr:to>
    <xdr:cxnSp macro="">
      <xdr:nvCxnSpPr>
        <xdr:cNvPr id="41" name="Straight Arrow Connector 40">
          <a:extLst>
            <a:ext uri="{FF2B5EF4-FFF2-40B4-BE49-F238E27FC236}">
              <a16:creationId xmlns:a16="http://schemas.microsoft.com/office/drawing/2014/main" id="{69A488BB-4D11-A14A-A93F-225947EB659D}"/>
            </a:ext>
          </a:extLst>
        </xdr:cNvPr>
        <xdr:cNvCxnSpPr/>
      </xdr:nvCxnSpPr>
      <xdr:spPr>
        <a:xfrm flipH="1">
          <a:off x="346075" y="58839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476</xdr:row>
      <xdr:rowOff>114300</xdr:rowOff>
    </xdr:from>
    <xdr:to>
      <xdr:col>1</xdr:col>
      <xdr:colOff>1219200</xdr:colOff>
      <xdr:row>476</xdr:row>
      <xdr:rowOff>114300</xdr:rowOff>
    </xdr:to>
    <xdr:cxnSp macro="">
      <xdr:nvCxnSpPr>
        <xdr:cNvPr id="42" name="Straight Arrow Connector 41">
          <a:extLst>
            <a:ext uri="{FF2B5EF4-FFF2-40B4-BE49-F238E27FC236}">
              <a16:creationId xmlns:a16="http://schemas.microsoft.com/office/drawing/2014/main" id="{8E39B005-6063-7446-AB8C-305893C478E5}"/>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476</xdr:row>
      <xdr:rowOff>114300</xdr:rowOff>
    </xdr:from>
    <xdr:to>
      <xdr:col>1</xdr:col>
      <xdr:colOff>1219200</xdr:colOff>
      <xdr:row>476</xdr:row>
      <xdr:rowOff>114300</xdr:rowOff>
    </xdr:to>
    <xdr:cxnSp macro="">
      <xdr:nvCxnSpPr>
        <xdr:cNvPr id="43" name="Straight Arrow Connector 42">
          <a:extLst>
            <a:ext uri="{FF2B5EF4-FFF2-40B4-BE49-F238E27FC236}">
              <a16:creationId xmlns:a16="http://schemas.microsoft.com/office/drawing/2014/main" id="{8A7A0774-22D2-BB43-9DB2-BC099985DB96}"/>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476</xdr:row>
      <xdr:rowOff>114300</xdr:rowOff>
    </xdr:from>
    <xdr:to>
      <xdr:col>1</xdr:col>
      <xdr:colOff>1219200</xdr:colOff>
      <xdr:row>476</xdr:row>
      <xdr:rowOff>114300</xdr:rowOff>
    </xdr:to>
    <xdr:cxnSp macro="">
      <xdr:nvCxnSpPr>
        <xdr:cNvPr id="44" name="Straight Arrow Connector 43">
          <a:extLst>
            <a:ext uri="{FF2B5EF4-FFF2-40B4-BE49-F238E27FC236}">
              <a16:creationId xmlns:a16="http://schemas.microsoft.com/office/drawing/2014/main" id="{3FF8BECA-1152-ED4B-99C4-971FAF5697BA}"/>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503</xdr:row>
      <xdr:rowOff>114300</xdr:rowOff>
    </xdr:from>
    <xdr:to>
      <xdr:col>1</xdr:col>
      <xdr:colOff>1219200</xdr:colOff>
      <xdr:row>503</xdr:row>
      <xdr:rowOff>114300</xdr:rowOff>
    </xdr:to>
    <xdr:cxnSp macro="">
      <xdr:nvCxnSpPr>
        <xdr:cNvPr id="45" name="Straight Arrow Connector 44">
          <a:extLst>
            <a:ext uri="{FF2B5EF4-FFF2-40B4-BE49-F238E27FC236}">
              <a16:creationId xmlns:a16="http://schemas.microsoft.com/office/drawing/2014/main" id="{D435EACB-BEB8-B747-8392-D22898BE8F00}"/>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503</xdr:row>
      <xdr:rowOff>114300</xdr:rowOff>
    </xdr:from>
    <xdr:to>
      <xdr:col>1</xdr:col>
      <xdr:colOff>1219200</xdr:colOff>
      <xdr:row>503</xdr:row>
      <xdr:rowOff>114300</xdr:rowOff>
    </xdr:to>
    <xdr:cxnSp macro="">
      <xdr:nvCxnSpPr>
        <xdr:cNvPr id="46" name="Straight Arrow Connector 45">
          <a:extLst>
            <a:ext uri="{FF2B5EF4-FFF2-40B4-BE49-F238E27FC236}">
              <a16:creationId xmlns:a16="http://schemas.microsoft.com/office/drawing/2014/main" id="{2EC61252-C50A-5C4F-BDB9-1FB53BD42104}"/>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503</xdr:row>
      <xdr:rowOff>114300</xdr:rowOff>
    </xdr:from>
    <xdr:to>
      <xdr:col>1</xdr:col>
      <xdr:colOff>1219200</xdr:colOff>
      <xdr:row>503</xdr:row>
      <xdr:rowOff>114300</xdr:rowOff>
    </xdr:to>
    <xdr:cxnSp macro="">
      <xdr:nvCxnSpPr>
        <xdr:cNvPr id="47" name="Straight Arrow Connector 46">
          <a:extLst>
            <a:ext uri="{FF2B5EF4-FFF2-40B4-BE49-F238E27FC236}">
              <a16:creationId xmlns:a16="http://schemas.microsoft.com/office/drawing/2014/main" id="{562A281E-D161-5045-AE94-A7133059F906}"/>
            </a:ext>
          </a:extLst>
        </xdr:cNvPr>
        <xdr:cNvCxnSpPr/>
      </xdr:nvCxnSpPr>
      <xdr:spPr>
        <a:xfrm flipH="1">
          <a:off x="346075" y="592455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555</xdr:row>
      <xdr:rowOff>114300</xdr:rowOff>
    </xdr:from>
    <xdr:to>
      <xdr:col>1</xdr:col>
      <xdr:colOff>1219200</xdr:colOff>
      <xdr:row>555</xdr:row>
      <xdr:rowOff>114300</xdr:rowOff>
    </xdr:to>
    <xdr:cxnSp macro="">
      <xdr:nvCxnSpPr>
        <xdr:cNvPr id="48" name="Straight Arrow Connector 47">
          <a:extLst>
            <a:ext uri="{FF2B5EF4-FFF2-40B4-BE49-F238E27FC236}">
              <a16:creationId xmlns:a16="http://schemas.microsoft.com/office/drawing/2014/main" id="{7A42DBEF-758A-AE4E-8B43-6B73F5F27C83}"/>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555</xdr:row>
      <xdr:rowOff>114300</xdr:rowOff>
    </xdr:from>
    <xdr:to>
      <xdr:col>1</xdr:col>
      <xdr:colOff>1219200</xdr:colOff>
      <xdr:row>555</xdr:row>
      <xdr:rowOff>114300</xdr:rowOff>
    </xdr:to>
    <xdr:cxnSp macro="">
      <xdr:nvCxnSpPr>
        <xdr:cNvPr id="49" name="Straight Arrow Connector 48">
          <a:extLst>
            <a:ext uri="{FF2B5EF4-FFF2-40B4-BE49-F238E27FC236}">
              <a16:creationId xmlns:a16="http://schemas.microsoft.com/office/drawing/2014/main" id="{B5697582-994A-BA40-8F50-514C5C740FC4}"/>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555</xdr:row>
      <xdr:rowOff>114300</xdr:rowOff>
    </xdr:from>
    <xdr:to>
      <xdr:col>1</xdr:col>
      <xdr:colOff>1219200</xdr:colOff>
      <xdr:row>555</xdr:row>
      <xdr:rowOff>114300</xdr:rowOff>
    </xdr:to>
    <xdr:cxnSp macro="">
      <xdr:nvCxnSpPr>
        <xdr:cNvPr id="50" name="Straight Arrow Connector 49">
          <a:extLst>
            <a:ext uri="{FF2B5EF4-FFF2-40B4-BE49-F238E27FC236}">
              <a16:creationId xmlns:a16="http://schemas.microsoft.com/office/drawing/2014/main" id="{7E8DFD39-1A21-B847-A2C3-AF87DC9EB2ED}"/>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555</xdr:row>
      <xdr:rowOff>114300</xdr:rowOff>
    </xdr:from>
    <xdr:to>
      <xdr:col>1</xdr:col>
      <xdr:colOff>1219200</xdr:colOff>
      <xdr:row>555</xdr:row>
      <xdr:rowOff>114300</xdr:rowOff>
    </xdr:to>
    <xdr:cxnSp macro="">
      <xdr:nvCxnSpPr>
        <xdr:cNvPr id="51" name="Straight Arrow Connector 50">
          <a:extLst>
            <a:ext uri="{FF2B5EF4-FFF2-40B4-BE49-F238E27FC236}">
              <a16:creationId xmlns:a16="http://schemas.microsoft.com/office/drawing/2014/main" id="{42FB5FC7-1FB6-0145-8B84-236A724B7EE7}"/>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582</xdr:row>
      <xdr:rowOff>114300</xdr:rowOff>
    </xdr:from>
    <xdr:to>
      <xdr:col>1</xdr:col>
      <xdr:colOff>1219200</xdr:colOff>
      <xdr:row>582</xdr:row>
      <xdr:rowOff>114300</xdr:rowOff>
    </xdr:to>
    <xdr:cxnSp macro="">
      <xdr:nvCxnSpPr>
        <xdr:cNvPr id="52" name="Straight Arrow Connector 51">
          <a:extLst>
            <a:ext uri="{FF2B5EF4-FFF2-40B4-BE49-F238E27FC236}">
              <a16:creationId xmlns:a16="http://schemas.microsoft.com/office/drawing/2014/main" id="{BC1001F1-D897-5847-A84E-C965F7023897}"/>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582</xdr:row>
      <xdr:rowOff>114300</xdr:rowOff>
    </xdr:from>
    <xdr:to>
      <xdr:col>1</xdr:col>
      <xdr:colOff>1219200</xdr:colOff>
      <xdr:row>582</xdr:row>
      <xdr:rowOff>114300</xdr:rowOff>
    </xdr:to>
    <xdr:cxnSp macro="">
      <xdr:nvCxnSpPr>
        <xdr:cNvPr id="53" name="Straight Arrow Connector 52">
          <a:extLst>
            <a:ext uri="{FF2B5EF4-FFF2-40B4-BE49-F238E27FC236}">
              <a16:creationId xmlns:a16="http://schemas.microsoft.com/office/drawing/2014/main" id="{347117F4-BB16-CE4F-A419-442F9AB471B8}"/>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582</xdr:row>
      <xdr:rowOff>114300</xdr:rowOff>
    </xdr:from>
    <xdr:to>
      <xdr:col>1</xdr:col>
      <xdr:colOff>1219200</xdr:colOff>
      <xdr:row>582</xdr:row>
      <xdr:rowOff>114300</xdr:rowOff>
    </xdr:to>
    <xdr:cxnSp macro="">
      <xdr:nvCxnSpPr>
        <xdr:cNvPr id="54" name="Straight Arrow Connector 53">
          <a:extLst>
            <a:ext uri="{FF2B5EF4-FFF2-40B4-BE49-F238E27FC236}">
              <a16:creationId xmlns:a16="http://schemas.microsoft.com/office/drawing/2014/main" id="{CABD2681-CDE1-5248-8283-4FAE3692AC4F}"/>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582</xdr:row>
      <xdr:rowOff>114300</xdr:rowOff>
    </xdr:from>
    <xdr:to>
      <xdr:col>1</xdr:col>
      <xdr:colOff>1219200</xdr:colOff>
      <xdr:row>582</xdr:row>
      <xdr:rowOff>114300</xdr:rowOff>
    </xdr:to>
    <xdr:cxnSp macro="">
      <xdr:nvCxnSpPr>
        <xdr:cNvPr id="55" name="Straight Arrow Connector 54">
          <a:extLst>
            <a:ext uri="{FF2B5EF4-FFF2-40B4-BE49-F238E27FC236}">
              <a16:creationId xmlns:a16="http://schemas.microsoft.com/office/drawing/2014/main" id="{E8F1D194-A3DA-6248-B747-C04EFA81EBC4}"/>
            </a:ext>
          </a:extLst>
        </xdr:cNvPr>
        <xdr:cNvCxnSpPr/>
      </xdr:nvCxnSpPr>
      <xdr:spPr>
        <a:xfrm flipH="1">
          <a:off x="346075" y="596519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127000</xdr:colOff>
          <xdr:row>64</xdr:row>
          <xdr:rowOff>114300</xdr:rowOff>
        </xdr:from>
        <xdr:to>
          <xdr:col>1</xdr:col>
          <xdr:colOff>2679700</xdr:colOff>
          <xdr:row>66</xdr:row>
          <xdr:rowOff>88900</xdr:rowOff>
        </xdr:to>
        <xdr:sp macro="" textlink="">
          <xdr:nvSpPr>
            <xdr:cNvPr id="701441" name="Button 1" descr="Clicking this button will move the guarantee fee from the borrower column to the T Bank column.  Reducing it to Zero for the borrower and adjusting it to the appropriate amount for the full loan." hidden="1">
              <a:extLst>
                <a:ext uri="{63B3BB69-23CF-44E3-9099-C40C66FF867C}">
                  <a14:compatExt spid="_x0000_s701441"/>
                </a:ext>
                <a:ext uri="{FF2B5EF4-FFF2-40B4-BE49-F238E27FC236}">
                  <a16:creationId xmlns:a16="http://schemas.microsoft.com/office/drawing/2014/main" id="{00000000-0008-0000-0300-000001B4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Adjust Int Interest and/or Gty Fee</a:t>
              </a:r>
            </a:p>
          </xdr:txBody>
        </xdr:sp>
        <xdr:clientData fPrintsWithSheet="0"/>
      </xdr:twoCellAnchor>
    </mc:Choice>
    <mc:Fallback/>
  </mc:AlternateContent>
  <xdr:twoCellAnchor>
    <xdr:from>
      <xdr:col>1</xdr:col>
      <xdr:colOff>142875</xdr:colOff>
      <xdr:row>196</xdr:row>
      <xdr:rowOff>114300</xdr:rowOff>
    </xdr:from>
    <xdr:to>
      <xdr:col>1</xdr:col>
      <xdr:colOff>1219200</xdr:colOff>
      <xdr:row>196</xdr:row>
      <xdr:rowOff>114300</xdr:rowOff>
    </xdr:to>
    <xdr:cxnSp macro="">
      <xdr:nvCxnSpPr>
        <xdr:cNvPr id="56" name="Straight Arrow Connector 55">
          <a:extLst>
            <a:ext uri="{FF2B5EF4-FFF2-40B4-BE49-F238E27FC236}">
              <a16:creationId xmlns:a16="http://schemas.microsoft.com/office/drawing/2014/main" id="{39DD9DF9-5161-8F44-8340-DCFA5DD516A3}"/>
            </a:ext>
          </a:extLst>
        </xdr:cNvPr>
        <xdr:cNvCxnSpPr/>
      </xdr:nvCxnSpPr>
      <xdr:spPr>
        <a:xfrm flipH="1">
          <a:off x="346075" y="37376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196</xdr:row>
      <xdr:rowOff>114300</xdr:rowOff>
    </xdr:from>
    <xdr:to>
      <xdr:col>1</xdr:col>
      <xdr:colOff>1219200</xdr:colOff>
      <xdr:row>196</xdr:row>
      <xdr:rowOff>114300</xdr:rowOff>
    </xdr:to>
    <xdr:cxnSp macro="">
      <xdr:nvCxnSpPr>
        <xdr:cNvPr id="57" name="Straight Arrow Connector 56">
          <a:extLst>
            <a:ext uri="{FF2B5EF4-FFF2-40B4-BE49-F238E27FC236}">
              <a16:creationId xmlns:a16="http://schemas.microsoft.com/office/drawing/2014/main" id="{8C1AF870-5216-4A4A-B9D8-CF8A34C12803}"/>
            </a:ext>
          </a:extLst>
        </xdr:cNvPr>
        <xdr:cNvCxnSpPr/>
      </xdr:nvCxnSpPr>
      <xdr:spPr>
        <a:xfrm flipH="1">
          <a:off x="346075" y="37376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196</xdr:row>
      <xdr:rowOff>114300</xdr:rowOff>
    </xdr:from>
    <xdr:to>
      <xdr:col>1</xdr:col>
      <xdr:colOff>1219200</xdr:colOff>
      <xdr:row>196</xdr:row>
      <xdr:rowOff>114300</xdr:rowOff>
    </xdr:to>
    <xdr:cxnSp macro="">
      <xdr:nvCxnSpPr>
        <xdr:cNvPr id="58" name="Straight Arrow Connector 57">
          <a:extLst>
            <a:ext uri="{FF2B5EF4-FFF2-40B4-BE49-F238E27FC236}">
              <a16:creationId xmlns:a16="http://schemas.microsoft.com/office/drawing/2014/main" id="{93C9D608-19DF-7F46-B0DE-B204908E42E0}"/>
            </a:ext>
          </a:extLst>
        </xdr:cNvPr>
        <xdr:cNvCxnSpPr/>
      </xdr:nvCxnSpPr>
      <xdr:spPr>
        <a:xfrm flipH="1">
          <a:off x="346075" y="37376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196</xdr:row>
      <xdr:rowOff>114300</xdr:rowOff>
    </xdr:from>
    <xdr:to>
      <xdr:col>1</xdr:col>
      <xdr:colOff>1219200</xdr:colOff>
      <xdr:row>196</xdr:row>
      <xdr:rowOff>114300</xdr:rowOff>
    </xdr:to>
    <xdr:cxnSp macro="">
      <xdr:nvCxnSpPr>
        <xdr:cNvPr id="59" name="Straight Arrow Connector 58">
          <a:extLst>
            <a:ext uri="{FF2B5EF4-FFF2-40B4-BE49-F238E27FC236}">
              <a16:creationId xmlns:a16="http://schemas.microsoft.com/office/drawing/2014/main" id="{BC71AE45-938D-9045-90A7-4CCCE68A4BF2}"/>
            </a:ext>
          </a:extLst>
        </xdr:cNvPr>
        <xdr:cNvCxnSpPr/>
      </xdr:nvCxnSpPr>
      <xdr:spPr>
        <a:xfrm flipH="1">
          <a:off x="346075" y="373761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142875</xdr:colOff>
      <xdr:row>79</xdr:row>
      <xdr:rowOff>114300</xdr:rowOff>
    </xdr:from>
    <xdr:to>
      <xdr:col>1</xdr:col>
      <xdr:colOff>1219200</xdr:colOff>
      <xdr:row>79</xdr:row>
      <xdr:rowOff>114300</xdr:rowOff>
    </xdr:to>
    <xdr:cxnSp macro="">
      <xdr:nvCxnSpPr>
        <xdr:cNvPr id="60" name="Straight Arrow Connector 59">
          <a:extLst>
            <a:ext uri="{FF2B5EF4-FFF2-40B4-BE49-F238E27FC236}">
              <a16:creationId xmlns:a16="http://schemas.microsoft.com/office/drawing/2014/main" id="{FF4907F0-809B-134A-B854-8B46B2084C29}"/>
            </a:ext>
          </a:extLst>
        </xdr:cNvPr>
        <xdr:cNvCxnSpPr/>
      </xdr:nvCxnSpPr>
      <xdr:spPr>
        <a:xfrm flipH="1">
          <a:off x="346075" y="1395730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314325</xdr:colOff>
      <xdr:row>119</xdr:row>
      <xdr:rowOff>104775</xdr:rowOff>
    </xdr:from>
    <xdr:to>
      <xdr:col>1</xdr:col>
      <xdr:colOff>1390650</xdr:colOff>
      <xdr:row>119</xdr:row>
      <xdr:rowOff>104775</xdr:rowOff>
    </xdr:to>
    <xdr:cxnSp macro="">
      <xdr:nvCxnSpPr>
        <xdr:cNvPr id="6" name="Straight Arrow Connector 5">
          <a:extLst>
            <a:ext uri="{FF2B5EF4-FFF2-40B4-BE49-F238E27FC236}">
              <a16:creationId xmlns:a16="http://schemas.microsoft.com/office/drawing/2014/main" id="{00000000-0008-0000-0400-000006000000}"/>
            </a:ext>
          </a:extLst>
        </xdr:cNvPr>
        <xdr:cNvCxnSpPr/>
      </xdr:nvCxnSpPr>
      <xdr:spPr>
        <a:xfrm flipH="1">
          <a:off x="314325" y="21859875"/>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125</xdr:row>
      <xdr:rowOff>104775</xdr:rowOff>
    </xdr:from>
    <xdr:to>
      <xdr:col>1</xdr:col>
      <xdr:colOff>1390650</xdr:colOff>
      <xdr:row>125</xdr:row>
      <xdr:rowOff>104775</xdr:rowOff>
    </xdr:to>
    <xdr:cxnSp macro="">
      <xdr:nvCxnSpPr>
        <xdr:cNvPr id="17" name="Straight Arrow Connector 16">
          <a:extLst>
            <a:ext uri="{FF2B5EF4-FFF2-40B4-BE49-F238E27FC236}">
              <a16:creationId xmlns:a16="http://schemas.microsoft.com/office/drawing/2014/main" id="{00000000-0008-0000-0400-000011000000}"/>
            </a:ext>
          </a:extLst>
        </xdr:cNvPr>
        <xdr:cNvCxnSpPr/>
      </xdr:nvCxnSpPr>
      <xdr:spPr>
        <a:xfrm flipH="1">
          <a:off x="314325" y="2085975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131</xdr:row>
      <xdr:rowOff>104775</xdr:rowOff>
    </xdr:from>
    <xdr:to>
      <xdr:col>1</xdr:col>
      <xdr:colOff>1390650</xdr:colOff>
      <xdr:row>131</xdr:row>
      <xdr:rowOff>104775</xdr:rowOff>
    </xdr:to>
    <xdr:cxnSp macro="">
      <xdr:nvCxnSpPr>
        <xdr:cNvPr id="18" name="Straight Arrow Connector 17">
          <a:extLst>
            <a:ext uri="{FF2B5EF4-FFF2-40B4-BE49-F238E27FC236}">
              <a16:creationId xmlns:a16="http://schemas.microsoft.com/office/drawing/2014/main" id="{00000000-0008-0000-0400-000012000000}"/>
            </a:ext>
          </a:extLst>
        </xdr:cNvPr>
        <xdr:cNvCxnSpPr/>
      </xdr:nvCxnSpPr>
      <xdr:spPr>
        <a:xfrm flipH="1">
          <a:off x="314325" y="2085975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137</xdr:row>
      <xdr:rowOff>104775</xdr:rowOff>
    </xdr:from>
    <xdr:to>
      <xdr:col>1</xdr:col>
      <xdr:colOff>1390650</xdr:colOff>
      <xdr:row>137</xdr:row>
      <xdr:rowOff>104775</xdr:rowOff>
    </xdr:to>
    <xdr:cxnSp macro="">
      <xdr:nvCxnSpPr>
        <xdr:cNvPr id="19" name="Straight Arrow Connector 18">
          <a:extLst>
            <a:ext uri="{FF2B5EF4-FFF2-40B4-BE49-F238E27FC236}">
              <a16:creationId xmlns:a16="http://schemas.microsoft.com/office/drawing/2014/main" id="{00000000-0008-0000-0400-000013000000}"/>
            </a:ext>
          </a:extLst>
        </xdr:cNvPr>
        <xdr:cNvCxnSpPr/>
      </xdr:nvCxnSpPr>
      <xdr:spPr>
        <a:xfrm flipH="1">
          <a:off x="314325" y="2085975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143</xdr:row>
      <xdr:rowOff>104775</xdr:rowOff>
    </xdr:from>
    <xdr:to>
      <xdr:col>1</xdr:col>
      <xdr:colOff>1390650</xdr:colOff>
      <xdr:row>143</xdr:row>
      <xdr:rowOff>104775</xdr:rowOff>
    </xdr:to>
    <xdr:cxnSp macro="">
      <xdr:nvCxnSpPr>
        <xdr:cNvPr id="20" name="Straight Arrow Connector 19">
          <a:extLst>
            <a:ext uri="{FF2B5EF4-FFF2-40B4-BE49-F238E27FC236}">
              <a16:creationId xmlns:a16="http://schemas.microsoft.com/office/drawing/2014/main" id="{00000000-0008-0000-0400-000014000000}"/>
            </a:ext>
          </a:extLst>
        </xdr:cNvPr>
        <xdr:cNvCxnSpPr/>
      </xdr:nvCxnSpPr>
      <xdr:spPr>
        <a:xfrm flipH="1">
          <a:off x="314325" y="2085975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149</xdr:row>
      <xdr:rowOff>104775</xdr:rowOff>
    </xdr:from>
    <xdr:to>
      <xdr:col>1</xdr:col>
      <xdr:colOff>1390650</xdr:colOff>
      <xdr:row>149</xdr:row>
      <xdr:rowOff>104775</xdr:rowOff>
    </xdr:to>
    <xdr:cxnSp macro="">
      <xdr:nvCxnSpPr>
        <xdr:cNvPr id="21" name="Straight Arrow Connector 20">
          <a:extLst>
            <a:ext uri="{FF2B5EF4-FFF2-40B4-BE49-F238E27FC236}">
              <a16:creationId xmlns:a16="http://schemas.microsoft.com/office/drawing/2014/main" id="{00000000-0008-0000-0400-000015000000}"/>
            </a:ext>
          </a:extLst>
        </xdr:cNvPr>
        <xdr:cNvCxnSpPr/>
      </xdr:nvCxnSpPr>
      <xdr:spPr>
        <a:xfrm flipH="1">
          <a:off x="314325" y="2085975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155</xdr:row>
      <xdr:rowOff>104775</xdr:rowOff>
    </xdr:from>
    <xdr:to>
      <xdr:col>1</xdr:col>
      <xdr:colOff>1390650</xdr:colOff>
      <xdr:row>155</xdr:row>
      <xdr:rowOff>104775</xdr:rowOff>
    </xdr:to>
    <xdr:cxnSp macro="">
      <xdr:nvCxnSpPr>
        <xdr:cNvPr id="22" name="Straight Arrow Connector 21">
          <a:extLst>
            <a:ext uri="{FF2B5EF4-FFF2-40B4-BE49-F238E27FC236}">
              <a16:creationId xmlns:a16="http://schemas.microsoft.com/office/drawing/2014/main" id="{00000000-0008-0000-0400-000016000000}"/>
            </a:ext>
          </a:extLst>
        </xdr:cNvPr>
        <xdr:cNvCxnSpPr/>
      </xdr:nvCxnSpPr>
      <xdr:spPr>
        <a:xfrm flipH="1">
          <a:off x="314325" y="20859750"/>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106</xdr:row>
      <xdr:rowOff>104775</xdr:rowOff>
    </xdr:from>
    <xdr:to>
      <xdr:col>1</xdr:col>
      <xdr:colOff>1390650</xdr:colOff>
      <xdr:row>106</xdr:row>
      <xdr:rowOff>104775</xdr:rowOff>
    </xdr:to>
    <xdr:cxnSp macro="">
      <xdr:nvCxnSpPr>
        <xdr:cNvPr id="23" name="Straight Arrow Connector 22">
          <a:extLst>
            <a:ext uri="{FF2B5EF4-FFF2-40B4-BE49-F238E27FC236}">
              <a16:creationId xmlns:a16="http://schemas.microsoft.com/office/drawing/2014/main" id="{00000000-0008-0000-0400-000017000000}"/>
            </a:ext>
          </a:extLst>
        </xdr:cNvPr>
        <xdr:cNvCxnSpPr/>
      </xdr:nvCxnSpPr>
      <xdr:spPr>
        <a:xfrm flipH="1">
          <a:off x="314325" y="21040725"/>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178</xdr:row>
      <xdr:rowOff>104775</xdr:rowOff>
    </xdr:from>
    <xdr:to>
      <xdr:col>1</xdr:col>
      <xdr:colOff>1390650</xdr:colOff>
      <xdr:row>178</xdr:row>
      <xdr:rowOff>104775</xdr:rowOff>
    </xdr:to>
    <xdr:cxnSp macro="">
      <xdr:nvCxnSpPr>
        <xdr:cNvPr id="24" name="Straight Arrow Connector 23">
          <a:extLst>
            <a:ext uri="{FF2B5EF4-FFF2-40B4-BE49-F238E27FC236}">
              <a16:creationId xmlns:a16="http://schemas.microsoft.com/office/drawing/2014/main" id="{00000000-0008-0000-0400-000018000000}"/>
            </a:ext>
          </a:extLst>
        </xdr:cNvPr>
        <xdr:cNvCxnSpPr/>
      </xdr:nvCxnSpPr>
      <xdr:spPr>
        <a:xfrm flipH="1">
          <a:off x="314325" y="13077825"/>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189</xdr:row>
      <xdr:rowOff>104775</xdr:rowOff>
    </xdr:from>
    <xdr:to>
      <xdr:col>1</xdr:col>
      <xdr:colOff>1390650</xdr:colOff>
      <xdr:row>189</xdr:row>
      <xdr:rowOff>104775</xdr:rowOff>
    </xdr:to>
    <xdr:cxnSp macro="">
      <xdr:nvCxnSpPr>
        <xdr:cNvPr id="25" name="Straight Arrow Connector 24">
          <a:extLst>
            <a:ext uri="{FF2B5EF4-FFF2-40B4-BE49-F238E27FC236}">
              <a16:creationId xmlns:a16="http://schemas.microsoft.com/office/drawing/2014/main" id="{00000000-0008-0000-0400-000019000000}"/>
            </a:ext>
          </a:extLst>
        </xdr:cNvPr>
        <xdr:cNvCxnSpPr/>
      </xdr:nvCxnSpPr>
      <xdr:spPr>
        <a:xfrm flipH="1">
          <a:off x="314325" y="13077825"/>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200</xdr:row>
      <xdr:rowOff>104775</xdr:rowOff>
    </xdr:from>
    <xdr:to>
      <xdr:col>1</xdr:col>
      <xdr:colOff>1390650</xdr:colOff>
      <xdr:row>200</xdr:row>
      <xdr:rowOff>104775</xdr:rowOff>
    </xdr:to>
    <xdr:cxnSp macro="">
      <xdr:nvCxnSpPr>
        <xdr:cNvPr id="26" name="Straight Arrow Connector 25">
          <a:extLst>
            <a:ext uri="{FF2B5EF4-FFF2-40B4-BE49-F238E27FC236}">
              <a16:creationId xmlns:a16="http://schemas.microsoft.com/office/drawing/2014/main" id="{00000000-0008-0000-0400-00001A000000}"/>
            </a:ext>
          </a:extLst>
        </xdr:cNvPr>
        <xdr:cNvCxnSpPr/>
      </xdr:nvCxnSpPr>
      <xdr:spPr>
        <a:xfrm flipH="1">
          <a:off x="314325" y="13077825"/>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211</xdr:row>
      <xdr:rowOff>104775</xdr:rowOff>
    </xdr:from>
    <xdr:to>
      <xdr:col>1</xdr:col>
      <xdr:colOff>1390650</xdr:colOff>
      <xdr:row>211</xdr:row>
      <xdr:rowOff>104775</xdr:rowOff>
    </xdr:to>
    <xdr:cxnSp macro="">
      <xdr:nvCxnSpPr>
        <xdr:cNvPr id="27" name="Straight Arrow Connector 26">
          <a:extLst>
            <a:ext uri="{FF2B5EF4-FFF2-40B4-BE49-F238E27FC236}">
              <a16:creationId xmlns:a16="http://schemas.microsoft.com/office/drawing/2014/main" id="{00000000-0008-0000-0400-00001B000000}"/>
            </a:ext>
          </a:extLst>
        </xdr:cNvPr>
        <xdr:cNvCxnSpPr/>
      </xdr:nvCxnSpPr>
      <xdr:spPr>
        <a:xfrm flipH="1">
          <a:off x="314325" y="13077825"/>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314325</xdr:colOff>
      <xdr:row>222</xdr:row>
      <xdr:rowOff>104775</xdr:rowOff>
    </xdr:from>
    <xdr:to>
      <xdr:col>1</xdr:col>
      <xdr:colOff>1390650</xdr:colOff>
      <xdr:row>222</xdr:row>
      <xdr:rowOff>104775</xdr:rowOff>
    </xdr:to>
    <xdr:cxnSp macro="">
      <xdr:nvCxnSpPr>
        <xdr:cNvPr id="28" name="Straight Arrow Connector 27">
          <a:extLst>
            <a:ext uri="{FF2B5EF4-FFF2-40B4-BE49-F238E27FC236}">
              <a16:creationId xmlns:a16="http://schemas.microsoft.com/office/drawing/2014/main" id="{00000000-0008-0000-0400-00001C000000}"/>
            </a:ext>
          </a:extLst>
        </xdr:cNvPr>
        <xdr:cNvCxnSpPr/>
      </xdr:nvCxnSpPr>
      <xdr:spPr>
        <a:xfrm flipH="1">
          <a:off x="314325" y="25479375"/>
          <a:ext cx="1076325"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9</xdr:col>
      <xdr:colOff>514350</xdr:colOff>
      <xdr:row>4</xdr:row>
      <xdr:rowOff>85724</xdr:rowOff>
    </xdr:from>
    <xdr:to>
      <xdr:col>14</xdr:col>
      <xdr:colOff>238125</xdr:colOff>
      <xdr:row>10</xdr:row>
      <xdr:rowOff>57149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867900" y="885824"/>
          <a:ext cx="2676525"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FF0000"/>
              </a:solidFill>
            </a:rPr>
            <a:t>If</a:t>
          </a:r>
          <a:r>
            <a:rPr lang="en-US" sz="1200" b="1" baseline="0">
              <a:solidFill>
                <a:srgbClr val="FF0000"/>
              </a:solidFill>
            </a:rPr>
            <a:t> rows are hidden or collapsed because they are not necessary, please reset the print formatting so the worksheet prints on as few pages as possible.  </a:t>
          </a:r>
          <a:endParaRPr lang="en-US" sz="1200" b="1">
            <a:solidFill>
              <a:srgbClr val="FF0000"/>
            </a:solidFill>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11</xdr:col>
      <xdr:colOff>215152</xdr:colOff>
      <xdr:row>1</xdr:row>
      <xdr:rowOff>121026</xdr:rowOff>
    </xdr:from>
    <xdr:to>
      <xdr:col>16</xdr:col>
      <xdr:colOff>403413</xdr:colOff>
      <xdr:row>4</xdr:row>
      <xdr:rowOff>145677</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1286564" y="311526"/>
          <a:ext cx="3482790" cy="6073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FF0000"/>
              </a:solidFill>
            </a:rPr>
            <a:t>DO NOT PRINT</a:t>
          </a:r>
          <a:r>
            <a:rPr lang="en-US" sz="1400" b="1" baseline="0">
              <a:solidFill>
                <a:srgbClr val="FF0000"/>
              </a:solidFill>
            </a:rPr>
            <a:t> THIS PAGE OR USE IN MEMO  FOR CALCULATION PURPOSES ONLY</a:t>
          </a:r>
        </a:p>
        <a:p>
          <a:endParaRPr lang="en-US" sz="1400"/>
        </a:p>
      </xdr:txBody>
    </xdr:sp>
    <xdr:clientData/>
  </xdr:twoCellAnchor>
  <xdr:twoCellAnchor>
    <xdr:from>
      <xdr:col>13</xdr:col>
      <xdr:colOff>56030</xdr:colOff>
      <xdr:row>31</xdr:row>
      <xdr:rowOff>172572</xdr:rowOff>
    </xdr:from>
    <xdr:to>
      <xdr:col>17</xdr:col>
      <xdr:colOff>112059</xdr:colOff>
      <xdr:row>55</xdr:row>
      <xdr:rowOff>22413</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2337677" y="4598896"/>
          <a:ext cx="3160058" cy="4679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Typical Soft Costs</a:t>
          </a:r>
        </a:p>
        <a:p>
          <a:r>
            <a:rPr lang="en-US" sz="1100"/>
            <a:t>Packaging</a:t>
          </a:r>
          <a:r>
            <a:rPr lang="en-US" sz="1100" baseline="0"/>
            <a:t> Fee $2,500</a:t>
          </a:r>
        </a:p>
        <a:p>
          <a:r>
            <a:rPr lang="en-US" sz="1100" baseline="0"/>
            <a:t>Origination Fee 1%</a:t>
          </a:r>
        </a:p>
        <a:p>
          <a:r>
            <a:rPr lang="en-US" sz="1100" baseline="0"/>
            <a:t>Commercial Appraisal $4,000 ea</a:t>
          </a:r>
        </a:p>
        <a:p>
          <a:r>
            <a:rPr lang="en-US" sz="1100" baseline="0"/>
            <a:t>Resi Appraisals $700 ea (Full Appr)</a:t>
          </a:r>
        </a:p>
        <a:p>
          <a:r>
            <a:rPr lang="en-US" sz="1100" baseline="0">
              <a:solidFill>
                <a:schemeClr val="dk1"/>
              </a:solidFill>
              <a:effectLst/>
              <a:latin typeface="+mn-lt"/>
              <a:ea typeface="+mn-ea"/>
              <a:cs typeface="+mn-cs"/>
            </a:rPr>
            <a:t>Resi Appraisals $150 ea (BPO/Valuation)</a:t>
          </a:r>
          <a:endParaRPr lang="en-US" sz="1100" baseline="0"/>
        </a:p>
        <a:p>
          <a:r>
            <a:rPr lang="en-US" sz="1100" baseline="0"/>
            <a:t>Business Valuation $2,500 ea</a:t>
          </a:r>
        </a:p>
        <a:p>
          <a:r>
            <a:rPr lang="en-US" sz="1100" baseline="0"/>
            <a:t>TSA/Phase I $2,000 ea</a:t>
          </a:r>
        </a:p>
        <a:p>
          <a:r>
            <a:rPr lang="en-US" sz="1100" baseline="0"/>
            <a:t>Title/Escrow 1% of loan amount</a:t>
          </a:r>
        </a:p>
        <a:p>
          <a:r>
            <a:rPr lang="en-US" sz="1100" baseline="0"/>
            <a:t>Site inspections $150</a:t>
          </a:r>
        </a:p>
        <a:p>
          <a:r>
            <a:rPr lang="en-US" sz="1100" baseline="0"/>
            <a:t>Medical/Dental Feasibility $400</a:t>
          </a:r>
        </a:p>
        <a:p>
          <a:pPr marL="0" marR="0" lvl="0" indent="0" defTabSz="914400" eaLnBrk="1" fontAlgn="auto" latinLnBrk="0" hangingPunct="1">
            <a:lnSpc>
              <a:spcPct val="100000"/>
            </a:lnSpc>
            <a:spcBef>
              <a:spcPts val="0"/>
            </a:spcBef>
            <a:spcAft>
              <a:spcPts val="0"/>
            </a:spcAft>
            <a:buClrTx/>
            <a:buSzTx/>
            <a:buFontTx/>
            <a:buNone/>
            <a:tabLst/>
            <a:defRPr/>
          </a:pPr>
          <a:r>
            <a:rPr lang="en-US" sz="1100" strike="noStrike" baseline="0">
              <a:solidFill>
                <a:schemeClr val="dk1"/>
              </a:solidFill>
              <a:effectLst/>
              <a:latin typeface="+mn-lt"/>
              <a:ea typeface="+mn-ea"/>
              <a:cs typeface="+mn-cs"/>
            </a:rPr>
            <a:t>Real Estate Tax Fee </a:t>
          </a:r>
          <a:r>
            <a:rPr lang="en-US" sz="1100">
              <a:solidFill>
                <a:schemeClr val="dk1"/>
              </a:solidFill>
              <a:effectLst/>
              <a:latin typeface="+mn-lt"/>
              <a:ea typeface="+mn-ea"/>
              <a:cs typeface="+mn-cs"/>
            </a:rPr>
            <a:t>(($166 for the first $500M, then $10 per $100M)</a:t>
          </a:r>
        </a:p>
        <a:p>
          <a:pPr marL="0" marR="0" lvl="0" indent="0" defTabSz="914400" eaLnBrk="1" fontAlgn="auto" latinLnBrk="0" hangingPunct="1">
            <a:lnSpc>
              <a:spcPct val="100000"/>
            </a:lnSpc>
            <a:spcBef>
              <a:spcPts val="0"/>
            </a:spcBef>
            <a:spcAft>
              <a:spcPts val="0"/>
            </a:spcAft>
            <a:buClrTx/>
            <a:buSzTx/>
            <a:buFontTx/>
            <a:buNone/>
            <a:tabLst/>
            <a:defRPr/>
          </a:pPr>
          <a:r>
            <a:rPr lang="en-US" sz="1100" strike="noStrike" baseline="0">
              <a:solidFill>
                <a:schemeClr val="dk1"/>
              </a:solidFill>
              <a:effectLst/>
              <a:latin typeface="+mn-lt"/>
              <a:ea typeface="+mn-ea"/>
              <a:cs typeface="+mn-cs"/>
            </a:rPr>
            <a:t>Doc Stamps for Florida non-CRE ($0.35 per $100 of loan amount $1MM - $3,500)</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Legal Fees for 7a:</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Up to 350,000 -            3,000</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350,001-500,000 -       4,000</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500,001-1,000,000-     5,000</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Over 1,000,000-           6,000</a:t>
          </a: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647700</xdr:colOff>
          <xdr:row>24</xdr:row>
          <xdr:rowOff>127000</xdr:rowOff>
        </xdr:from>
        <xdr:to>
          <xdr:col>16</xdr:col>
          <xdr:colOff>177800</xdr:colOff>
          <xdr:row>26</xdr:row>
          <xdr:rowOff>76200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600-000002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pitchFamily="2" charset="0"/>
                  <a:cs typeface="Calibri" pitchFamily="2" charset="0"/>
                </a:rPr>
                <a:t>7a Proj Adjust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635000</xdr:colOff>
          <xdr:row>27</xdr:row>
          <xdr:rowOff>63500</xdr:rowOff>
        </xdr:from>
        <xdr:to>
          <xdr:col>16</xdr:col>
          <xdr:colOff>215900</xdr:colOff>
          <xdr:row>29</xdr:row>
          <xdr:rowOff>88900</xdr:rowOff>
        </xdr:to>
        <xdr:sp macro="" textlink="">
          <xdr:nvSpPr>
            <xdr:cNvPr id="474116" name="Button 4" hidden="1">
              <a:extLst>
                <a:ext uri="{63B3BB69-23CF-44E3-9099-C40C66FF867C}">
                  <a14:compatExt spid="_x0000_s474116"/>
                </a:ext>
                <a:ext uri="{FF2B5EF4-FFF2-40B4-BE49-F238E27FC236}">
                  <a16:creationId xmlns:a16="http://schemas.microsoft.com/office/drawing/2014/main" id="{00000000-0008-0000-0600-000004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pitchFamily="2" charset="0"/>
                  <a:cs typeface="Calibri" pitchFamily="2" charset="0"/>
                </a:rPr>
                <a:t>504 Proj Adjust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322728</xdr:colOff>
      <xdr:row>95</xdr:row>
      <xdr:rowOff>44824</xdr:rowOff>
    </xdr:from>
    <xdr:to>
      <xdr:col>15</xdr:col>
      <xdr:colOff>134470</xdr:colOff>
      <xdr:row>108</xdr:row>
      <xdr:rowOff>35859</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0121152" y="12254753"/>
          <a:ext cx="2250142" cy="23218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Typical Soft Costs</a:t>
          </a:r>
        </a:p>
        <a:p>
          <a:r>
            <a:rPr lang="en-US" sz="1100"/>
            <a:t>Packaging</a:t>
          </a:r>
          <a:r>
            <a:rPr lang="en-US" sz="1100" baseline="0"/>
            <a:t> Fee $2,500</a:t>
          </a:r>
        </a:p>
        <a:p>
          <a:r>
            <a:rPr lang="en-US" sz="1100" baseline="0"/>
            <a:t>Origination Fee 1%</a:t>
          </a:r>
        </a:p>
        <a:p>
          <a:r>
            <a:rPr lang="en-US" sz="1100" baseline="0"/>
            <a:t>Commercial Appraisal $4,000 ea</a:t>
          </a:r>
        </a:p>
        <a:p>
          <a:r>
            <a:rPr lang="en-US" sz="1100" baseline="0"/>
            <a:t>Resi Appraisals $400 ea</a:t>
          </a:r>
        </a:p>
        <a:p>
          <a:r>
            <a:rPr lang="en-US" sz="1100" baseline="0"/>
            <a:t>Business Valuation $2,500 ea</a:t>
          </a:r>
        </a:p>
        <a:p>
          <a:r>
            <a:rPr lang="en-US" sz="1100" baseline="0"/>
            <a:t>TSA/Phase I $1,000 ea</a:t>
          </a:r>
        </a:p>
        <a:p>
          <a:r>
            <a:rPr lang="en-US" sz="1100" baseline="0"/>
            <a:t>Title/Escrow 1% of loan amount</a:t>
          </a:r>
        </a:p>
        <a:p>
          <a:r>
            <a:rPr lang="en-US" sz="1100" baseline="0"/>
            <a:t>Site inspections $140</a:t>
          </a:r>
        </a:p>
        <a:p>
          <a:r>
            <a:rPr lang="en-US" sz="1100" baseline="0"/>
            <a:t>Legal fees $3,000</a:t>
          </a:r>
        </a:p>
        <a:p>
          <a:r>
            <a:rPr lang="en-US" sz="1100" baseline="0"/>
            <a:t>Medical/Dental Feasibility $400</a:t>
          </a:r>
          <a:endParaRPr lang="en-US" sz="1100"/>
        </a:p>
      </xdr:txBody>
    </xdr:sp>
    <xdr:clientData/>
  </xdr:twoCellAnchor>
  <xdr:twoCellAnchor>
    <xdr:from>
      <xdr:col>13</xdr:col>
      <xdr:colOff>56029</xdr:colOff>
      <xdr:row>31</xdr:row>
      <xdr:rowOff>145676</xdr:rowOff>
    </xdr:from>
    <xdr:to>
      <xdr:col>17</xdr:col>
      <xdr:colOff>136712</xdr:colOff>
      <xdr:row>55</xdr:row>
      <xdr:rowOff>118781</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2158382" y="5143500"/>
          <a:ext cx="2501154" cy="4634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Typical Soft Costs</a:t>
          </a:r>
          <a:endParaRPr lang="en-US">
            <a:effectLst/>
          </a:endParaRPr>
        </a:p>
        <a:p>
          <a:r>
            <a:rPr lang="en-US" sz="1100">
              <a:solidFill>
                <a:schemeClr val="dk1"/>
              </a:solidFill>
              <a:effectLst/>
              <a:latin typeface="+mn-lt"/>
              <a:ea typeface="+mn-ea"/>
              <a:cs typeface="+mn-cs"/>
            </a:rPr>
            <a:t>Packaging</a:t>
          </a:r>
          <a:r>
            <a:rPr lang="en-US" sz="1100" baseline="0">
              <a:solidFill>
                <a:schemeClr val="dk1"/>
              </a:solidFill>
              <a:effectLst/>
              <a:latin typeface="+mn-lt"/>
              <a:ea typeface="+mn-ea"/>
              <a:cs typeface="+mn-cs"/>
            </a:rPr>
            <a:t> Fee $2,500</a:t>
          </a:r>
          <a:endParaRPr lang="en-US">
            <a:effectLst/>
          </a:endParaRPr>
        </a:p>
        <a:p>
          <a:r>
            <a:rPr lang="en-US" sz="1100" baseline="0">
              <a:solidFill>
                <a:schemeClr val="dk1"/>
              </a:solidFill>
              <a:effectLst/>
              <a:latin typeface="+mn-lt"/>
              <a:ea typeface="+mn-ea"/>
              <a:cs typeface="+mn-cs"/>
            </a:rPr>
            <a:t>Origination Fee 1%</a:t>
          </a:r>
          <a:endParaRPr lang="en-US">
            <a:effectLst/>
          </a:endParaRPr>
        </a:p>
        <a:p>
          <a:r>
            <a:rPr lang="en-US" sz="1100" baseline="0">
              <a:solidFill>
                <a:schemeClr val="dk1"/>
              </a:solidFill>
              <a:effectLst/>
              <a:latin typeface="+mn-lt"/>
              <a:ea typeface="+mn-ea"/>
              <a:cs typeface="+mn-cs"/>
            </a:rPr>
            <a:t>Commercial Appraisal $4,000 ea</a:t>
          </a:r>
          <a:endParaRPr lang="en-US">
            <a:effectLst/>
          </a:endParaRPr>
        </a:p>
        <a:p>
          <a:r>
            <a:rPr lang="en-US" sz="1100" baseline="0">
              <a:solidFill>
                <a:schemeClr val="dk1"/>
              </a:solidFill>
              <a:effectLst/>
              <a:latin typeface="+mn-lt"/>
              <a:ea typeface="+mn-ea"/>
              <a:cs typeface="+mn-cs"/>
            </a:rPr>
            <a:t>Resi Appraisals $700 ea (Full Appr)</a:t>
          </a:r>
          <a:endParaRPr lang="en-US">
            <a:effectLst/>
          </a:endParaRPr>
        </a:p>
        <a:p>
          <a:r>
            <a:rPr lang="en-US" sz="1100" baseline="0">
              <a:solidFill>
                <a:schemeClr val="dk1"/>
              </a:solidFill>
              <a:effectLst/>
              <a:latin typeface="+mn-lt"/>
              <a:ea typeface="+mn-ea"/>
              <a:cs typeface="+mn-cs"/>
            </a:rPr>
            <a:t>Resi Appraisals $150 ea (BPO/Valuation)</a:t>
          </a:r>
          <a:endParaRPr lang="en-US">
            <a:effectLst/>
          </a:endParaRPr>
        </a:p>
        <a:p>
          <a:r>
            <a:rPr lang="en-US" sz="1100" baseline="0">
              <a:solidFill>
                <a:schemeClr val="dk1"/>
              </a:solidFill>
              <a:effectLst/>
              <a:latin typeface="+mn-lt"/>
              <a:ea typeface="+mn-ea"/>
              <a:cs typeface="+mn-cs"/>
            </a:rPr>
            <a:t>Business Valuation $2,500 ea</a:t>
          </a:r>
          <a:endParaRPr lang="en-US">
            <a:effectLst/>
          </a:endParaRPr>
        </a:p>
        <a:p>
          <a:r>
            <a:rPr lang="en-US" sz="1100" baseline="0">
              <a:solidFill>
                <a:schemeClr val="dk1"/>
              </a:solidFill>
              <a:effectLst/>
              <a:latin typeface="+mn-lt"/>
              <a:ea typeface="+mn-ea"/>
              <a:cs typeface="+mn-cs"/>
            </a:rPr>
            <a:t>TSA/Phase I $2,000 ea</a:t>
          </a:r>
          <a:endParaRPr lang="en-US">
            <a:effectLst/>
          </a:endParaRPr>
        </a:p>
        <a:p>
          <a:r>
            <a:rPr lang="en-US" sz="1100" baseline="0">
              <a:solidFill>
                <a:schemeClr val="dk1"/>
              </a:solidFill>
              <a:effectLst/>
              <a:latin typeface="+mn-lt"/>
              <a:ea typeface="+mn-ea"/>
              <a:cs typeface="+mn-cs"/>
            </a:rPr>
            <a:t>Title/Escrow 1% of loan amount</a:t>
          </a:r>
          <a:endParaRPr lang="en-US">
            <a:effectLst/>
          </a:endParaRPr>
        </a:p>
        <a:p>
          <a:r>
            <a:rPr lang="en-US" sz="1100" baseline="0">
              <a:solidFill>
                <a:schemeClr val="dk1"/>
              </a:solidFill>
              <a:effectLst/>
              <a:latin typeface="+mn-lt"/>
              <a:ea typeface="+mn-ea"/>
              <a:cs typeface="+mn-cs"/>
            </a:rPr>
            <a:t>Site inspections $150</a:t>
          </a:r>
          <a:endParaRPr lang="en-US">
            <a:effectLst/>
          </a:endParaRPr>
        </a:p>
        <a:p>
          <a:r>
            <a:rPr lang="en-US" sz="1100" baseline="0">
              <a:solidFill>
                <a:schemeClr val="dk1"/>
              </a:solidFill>
              <a:effectLst/>
              <a:latin typeface="+mn-lt"/>
              <a:ea typeface="+mn-ea"/>
              <a:cs typeface="+mn-cs"/>
            </a:rPr>
            <a:t>Medical/Dental Feasibility $400</a:t>
          </a:r>
          <a:endParaRPr lang="en-US">
            <a:effectLst/>
          </a:endParaRPr>
        </a:p>
        <a:p>
          <a:pPr eaLnBrk="1" fontAlgn="auto" latinLnBrk="0" hangingPunct="1"/>
          <a:r>
            <a:rPr lang="en-US" sz="1100" baseline="0">
              <a:solidFill>
                <a:schemeClr val="dk1"/>
              </a:solidFill>
              <a:effectLst/>
              <a:latin typeface="+mn-lt"/>
              <a:ea typeface="+mn-ea"/>
              <a:cs typeface="+mn-cs"/>
            </a:rPr>
            <a:t>Real Estate Tax Fee </a:t>
          </a:r>
          <a:r>
            <a:rPr lang="en-US" sz="1100">
              <a:solidFill>
                <a:schemeClr val="dk1"/>
              </a:solidFill>
              <a:effectLst/>
              <a:latin typeface="+mn-lt"/>
              <a:ea typeface="+mn-ea"/>
              <a:cs typeface="+mn-cs"/>
            </a:rPr>
            <a:t>(($166 for the first $500M, then $10 per $100M)</a:t>
          </a:r>
          <a:endParaRPr lang="en-US">
            <a:effectLst/>
          </a:endParaRPr>
        </a:p>
        <a:p>
          <a:pPr eaLnBrk="1" fontAlgn="auto" latinLnBrk="0" hangingPunct="1"/>
          <a:r>
            <a:rPr lang="en-US" sz="1100" baseline="0">
              <a:solidFill>
                <a:schemeClr val="dk1"/>
              </a:solidFill>
              <a:effectLst/>
              <a:latin typeface="+mn-lt"/>
              <a:ea typeface="+mn-ea"/>
              <a:cs typeface="+mn-cs"/>
            </a:rPr>
            <a:t>Doc Stamps for Florida non-CRE ($0.35 per $100 of loan amount $1MM - $3,500)</a:t>
          </a:r>
          <a:endParaRPr lang="en-US">
            <a:effectLst/>
          </a:endParaRPr>
        </a:p>
        <a:p>
          <a:pPr eaLnBrk="1" fontAlgn="auto" latinLnBrk="0" hangingPunct="1"/>
          <a:r>
            <a:rPr lang="en-US" sz="1100">
              <a:solidFill>
                <a:schemeClr val="dk1"/>
              </a:solidFill>
              <a:effectLst/>
              <a:latin typeface="+mn-lt"/>
              <a:ea typeface="+mn-ea"/>
              <a:cs typeface="+mn-cs"/>
            </a:rPr>
            <a:t>Legal Fees for 7a:</a:t>
          </a:r>
          <a:endParaRPr lang="en-US">
            <a:effectLst/>
          </a:endParaRPr>
        </a:p>
        <a:p>
          <a:pPr eaLnBrk="1" fontAlgn="auto" latinLnBrk="0" hangingPunct="1"/>
          <a:r>
            <a:rPr lang="en-US" sz="1100" baseline="0">
              <a:solidFill>
                <a:schemeClr val="dk1"/>
              </a:solidFill>
              <a:effectLst/>
              <a:latin typeface="+mn-lt"/>
              <a:ea typeface="+mn-ea"/>
              <a:cs typeface="+mn-cs"/>
            </a:rPr>
            <a:t>     Up to 350,000 -            3,000</a:t>
          </a:r>
          <a:endParaRPr lang="en-US">
            <a:effectLst/>
          </a:endParaRPr>
        </a:p>
        <a:p>
          <a:pPr eaLnBrk="1" fontAlgn="auto" latinLnBrk="0" hangingPunct="1"/>
          <a:r>
            <a:rPr lang="en-US" sz="1100" baseline="0">
              <a:solidFill>
                <a:schemeClr val="dk1"/>
              </a:solidFill>
              <a:effectLst/>
              <a:latin typeface="+mn-lt"/>
              <a:ea typeface="+mn-ea"/>
              <a:cs typeface="+mn-cs"/>
            </a:rPr>
            <a:t>     350,001-500,000 -       4,000</a:t>
          </a:r>
          <a:endParaRPr lang="en-US">
            <a:effectLst/>
          </a:endParaRPr>
        </a:p>
        <a:p>
          <a:pPr eaLnBrk="1" fontAlgn="auto" latinLnBrk="0" hangingPunct="1"/>
          <a:r>
            <a:rPr lang="en-US" sz="1100" baseline="0">
              <a:solidFill>
                <a:schemeClr val="dk1"/>
              </a:solidFill>
              <a:effectLst/>
              <a:latin typeface="+mn-lt"/>
              <a:ea typeface="+mn-ea"/>
              <a:cs typeface="+mn-cs"/>
            </a:rPr>
            <a:t>     500,001-1,000,000-     5,000</a:t>
          </a:r>
          <a:endParaRPr lang="en-US">
            <a:effectLst/>
          </a:endParaRPr>
        </a:p>
        <a:p>
          <a:pPr eaLnBrk="1" fontAlgn="auto" latinLnBrk="0" hangingPunct="1"/>
          <a:r>
            <a:rPr lang="en-US" sz="1100" baseline="0">
              <a:solidFill>
                <a:schemeClr val="dk1"/>
              </a:solidFill>
              <a:effectLst/>
              <a:latin typeface="+mn-lt"/>
              <a:ea typeface="+mn-ea"/>
              <a:cs typeface="+mn-cs"/>
            </a:rPr>
            <a:t>     Over 1,000,000-           6,000</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strike="noStrik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endParaRPr lang="en-US" sz="1100"/>
        </a:p>
      </xdr:txBody>
    </xdr:sp>
    <xdr:clientData/>
  </xdr:twoCellAnchor>
  <xdr:twoCellAnchor>
    <xdr:from>
      <xdr:col>11</xdr:col>
      <xdr:colOff>212911</xdr:colOff>
      <xdr:row>1</xdr:row>
      <xdr:rowOff>134471</xdr:rowOff>
    </xdr:from>
    <xdr:to>
      <xdr:col>17</xdr:col>
      <xdr:colOff>64995</xdr:colOff>
      <xdr:row>4</xdr:row>
      <xdr:rowOff>78441</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1105029" y="324971"/>
          <a:ext cx="3482790" cy="526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FF0000"/>
              </a:solidFill>
            </a:rPr>
            <a:t>DO NOT PRINT</a:t>
          </a:r>
          <a:r>
            <a:rPr lang="en-US" sz="1400" b="1" baseline="0">
              <a:solidFill>
                <a:srgbClr val="FF0000"/>
              </a:solidFill>
            </a:rPr>
            <a:t> THIS PAGE OR USE IN MEMO  FOR CALCULATION PURPOSES ONLY</a:t>
          </a:r>
        </a:p>
        <a:p>
          <a:endParaRPr lang="en-US" sz="1400"/>
        </a:p>
      </xdr:txBody>
    </xdr:sp>
    <xdr:clientData/>
  </xdr:twoCellAnchor>
  <mc:AlternateContent xmlns:mc="http://schemas.openxmlformats.org/markup-compatibility/2006">
    <mc:Choice xmlns:a14="http://schemas.microsoft.com/office/drawing/2010/main" Requires="a14">
      <xdr:twoCellAnchor>
        <xdr:from>
          <xdr:col>13</xdr:col>
          <xdr:colOff>292100</xdr:colOff>
          <xdr:row>24</xdr:row>
          <xdr:rowOff>177800</xdr:rowOff>
        </xdr:from>
        <xdr:to>
          <xdr:col>16</xdr:col>
          <xdr:colOff>571500</xdr:colOff>
          <xdr:row>26</xdr:row>
          <xdr:rowOff>139700</xdr:rowOff>
        </xdr:to>
        <xdr:sp macro="" textlink="">
          <xdr:nvSpPr>
            <xdr:cNvPr id="475140" name="Button 4" hidden="1">
              <a:extLst>
                <a:ext uri="{63B3BB69-23CF-44E3-9099-C40C66FF867C}">
                  <a14:compatExt spid="_x0000_s475140"/>
                </a:ext>
                <a:ext uri="{FF2B5EF4-FFF2-40B4-BE49-F238E27FC236}">
                  <a16:creationId xmlns:a16="http://schemas.microsoft.com/office/drawing/2014/main" id="{00000000-0008-0000-0700-0000044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pitchFamily="2" charset="0"/>
                  <a:cs typeface="Calibri" pitchFamily="2" charset="0"/>
                </a:rPr>
                <a:t>7a Proj Adjust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27</xdr:row>
          <xdr:rowOff>50800</xdr:rowOff>
        </xdr:from>
        <xdr:to>
          <xdr:col>16</xdr:col>
          <xdr:colOff>558800</xdr:colOff>
          <xdr:row>29</xdr:row>
          <xdr:rowOff>63500</xdr:rowOff>
        </xdr:to>
        <xdr:sp macro="" textlink="">
          <xdr:nvSpPr>
            <xdr:cNvPr id="475141" name="Button 5" hidden="1">
              <a:extLst>
                <a:ext uri="{63B3BB69-23CF-44E3-9099-C40C66FF867C}">
                  <a14:compatExt spid="_x0000_s475141"/>
                </a:ext>
                <a:ext uri="{FF2B5EF4-FFF2-40B4-BE49-F238E27FC236}">
                  <a16:creationId xmlns:a16="http://schemas.microsoft.com/office/drawing/2014/main" id="{00000000-0008-0000-0700-0000054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pitchFamily="2" charset="0"/>
                  <a:cs typeface="Calibri" pitchFamily="2" charset="0"/>
                </a:rPr>
                <a:t>504 Proj Adjust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235324</xdr:colOff>
      <xdr:row>36</xdr:row>
      <xdr:rowOff>156883</xdr:rowOff>
    </xdr:from>
    <xdr:to>
      <xdr:col>15</xdr:col>
      <xdr:colOff>134471</xdr:colOff>
      <xdr:row>40</xdr:row>
      <xdr:rowOff>112060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8494059" y="7182971"/>
          <a:ext cx="2498912" cy="7283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Choose one of the following 5 choices and only print that page. Last page is for companion 7a loan if needed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11</xdr:col>
      <xdr:colOff>537883</xdr:colOff>
      <xdr:row>73</xdr:row>
      <xdr:rowOff>26895</xdr:rowOff>
    </xdr:from>
    <xdr:to>
      <xdr:col>19</xdr:col>
      <xdr:colOff>17930</xdr:colOff>
      <xdr:row>88</xdr:row>
      <xdr:rowOff>98611</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1546542" y="16539883"/>
          <a:ext cx="4356847" cy="2438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SBA Liquidation Values: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Real Estate:  85% of Market Value</a:t>
          </a:r>
          <a:endParaRPr lang="en-US">
            <a:effectLst/>
          </a:endParaRPr>
        </a:p>
        <a:p>
          <a:r>
            <a:rPr lang="en-US" sz="1100"/>
            <a:t>New M&amp;E: 75% of Price minus any prior</a:t>
          </a:r>
          <a:r>
            <a:rPr lang="en-US" sz="1100" baseline="0"/>
            <a:t> liens</a:t>
          </a:r>
        </a:p>
        <a:p>
          <a:r>
            <a:rPr lang="en-US" sz="1100" baseline="0"/>
            <a:t>Used or existing M&amp;E </a:t>
          </a:r>
        </a:p>
        <a:p>
          <a:r>
            <a:rPr lang="en-US" sz="1100" baseline="0"/>
            <a:t>	50% of Net Book Value OR</a:t>
          </a:r>
        </a:p>
        <a:p>
          <a:r>
            <a:rPr lang="en-US" sz="1100" baseline="0"/>
            <a:t>	80% of Orderly Liquidation Appraisal minus prior liens</a:t>
          </a:r>
        </a:p>
        <a:p>
          <a:r>
            <a:rPr lang="en-US" sz="1100" baseline="0"/>
            <a:t>Trading Assets:  10% of current Book Value</a:t>
          </a:r>
        </a:p>
        <a:p>
          <a:endParaRPr lang="en-US" sz="1100" baseline="0"/>
        </a:p>
        <a:p>
          <a:endParaRPr lang="en-US" sz="1100" b="0" i="0" u="none" strike="noStrike" baseline="0">
            <a:solidFill>
              <a:schemeClr val="dk1"/>
            </a:solidFill>
            <a:latin typeface="+mn-lt"/>
            <a:ea typeface="+mn-ea"/>
            <a:cs typeface="+mn-cs"/>
          </a:endParaRPr>
        </a:p>
        <a:p>
          <a:r>
            <a:rPr lang="en-US" sz="1100" b="0" i="0" u="none" strike="noStrike" baseline="0">
              <a:solidFill>
                <a:schemeClr val="dk1"/>
              </a:solidFill>
              <a:latin typeface="+mn-lt"/>
              <a:ea typeface="+mn-ea"/>
              <a:cs typeface="+mn-cs"/>
            </a:rPr>
            <a:t>“Net book value” is defined as an asset's original price</a:t>
          </a:r>
        </a:p>
        <a:p>
          <a:r>
            <a:rPr lang="en-US" sz="1100" b="0" i="0" u="none" strike="noStrike" baseline="0">
              <a:solidFill>
                <a:schemeClr val="dk1"/>
              </a:solidFill>
              <a:latin typeface="+mn-lt"/>
              <a:ea typeface="+mn-ea"/>
              <a:cs typeface="+mn-cs"/>
            </a:rPr>
            <a:t>minus depreciation and amortization</a:t>
          </a:r>
          <a:endParaRPr lang="en-US" sz="1100"/>
        </a:p>
      </xdr:txBody>
    </xdr:sp>
    <xdr:clientData/>
  </xdr:twoCellAnchor>
  <xdr:twoCellAnchor>
    <xdr:from>
      <xdr:col>12</xdr:col>
      <xdr:colOff>103094</xdr:colOff>
      <xdr:row>6</xdr:row>
      <xdr:rowOff>17929</xdr:rowOff>
    </xdr:from>
    <xdr:to>
      <xdr:col>16</xdr:col>
      <xdr:colOff>600634</xdr:colOff>
      <xdr:row>20</xdr:row>
      <xdr:rowOff>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2776947" y="1138517"/>
          <a:ext cx="2918011" cy="37494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baseline="0">
              <a:solidFill>
                <a:schemeClr val="dk1"/>
              </a:solidFill>
              <a:effectLst/>
              <a:latin typeface="+mn-lt"/>
              <a:ea typeface="+mn-ea"/>
              <a:cs typeface="+mn-cs"/>
            </a:rPr>
            <a:t>SBA does not require a lender to collateralize a loan with a personal real estate to meet the “fully secured” definition when the equity in the real estate is less than 25% of the property’s fair market value.</a:t>
          </a:r>
        </a:p>
        <a:p>
          <a:endParaRPr lang="en-US">
            <a:effectLst/>
          </a:endParaRPr>
        </a:p>
        <a:p>
          <a:r>
            <a:rPr lang="en-US" sz="1100" b="0" i="0" baseline="0">
              <a:solidFill>
                <a:schemeClr val="dk1"/>
              </a:solidFill>
              <a:effectLst/>
              <a:latin typeface="+mn-lt"/>
              <a:ea typeface="+mn-ea"/>
              <a:cs typeface="+mn-cs"/>
            </a:rPr>
            <a:t>Liens on a personal residence or investment property may be limited to the amount of the collateral shortfall</a:t>
          </a:r>
        </a:p>
        <a:p>
          <a:endParaRPr lang="en-US">
            <a:effectLst/>
          </a:endParaRPr>
        </a:p>
        <a:p>
          <a:r>
            <a:rPr lang="en-US" sz="1100" b="0" i="0" baseline="0">
              <a:solidFill>
                <a:schemeClr val="dk1"/>
              </a:solidFill>
              <a:effectLst/>
              <a:latin typeface="+mn-lt"/>
              <a:ea typeface="+mn-ea"/>
              <a:cs typeface="+mn-cs"/>
            </a:rPr>
            <a:t>Liens on a personal residence or investment property may be limited to 150% of the equity in the collateral, if there are tax implications associated with the lien amount in the particular state where the lien is filed.</a:t>
          </a:r>
          <a:endParaRPr lang="en-US">
            <a:effectLst/>
          </a:endParaRPr>
        </a:p>
        <a:p>
          <a:endParaRPr lang="en-US" sz="1100"/>
        </a:p>
      </xdr:txBody>
    </xdr:sp>
    <xdr:clientData/>
  </xdr:twoCellAnchor>
  <xdr:twoCellAnchor>
    <xdr:from>
      <xdr:col>1</xdr:col>
      <xdr:colOff>212912</xdr:colOff>
      <xdr:row>134</xdr:row>
      <xdr:rowOff>123265</xdr:rowOff>
    </xdr:from>
    <xdr:to>
      <xdr:col>1</xdr:col>
      <xdr:colOff>1524000</xdr:colOff>
      <xdr:row>134</xdr:row>
      <xdr:rowOff>123265</xdr:rowOff>
    </xdr:to>
    <xdr:cxnSp macro="">
      <xdr:nvCxnSpPr>
        <xdr:cNvPr id="7" name="Straight Arrow Connector 6">
          <a:extLst>
            <a:ext uri="{FF2B5EF4-FFF2-40B4-BE49-F238E27FC236}">
              <a16:creationId xmlns:a16="http://schemas.microsoft.com/office/drawing/2014/main" id="{00000000-0008-0000-0900-000007000000}"/>
            </a:ext>
          </a:extLst>
        </xdr:cNvPr>
        <xdr:cNvCxnSpPr/>
      </xdr:nvCxnSpPr>
      <xdr:spPr>
        <a:xfrm flipH="1">
          <a:off x="403412" y="23554765"/>
          <a:ext cx="1311088"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212912</xdr:colOff>
      <xdr:row>155</xdr:row>
      <xdr:rowOff>123265</xdr:rowOff>
    </xdr:from>
    <xdr:to>
      <xdr:col>1</xdr:col>
      <xdr:colOff>1524000</xdr:colOff>
      <xdr:row>155</xdr:row>
      <xdr:rowOff>123265</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H="1">
          <a:off x="403412" y="20517971"/>
          <a:ext cx="1311088"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44823</xdr:colOff>
      <xdr:row>69</xdr:row>
      <xdr:rowOff>94129</xdr:rowOff>
    </xdr:from>
    <xdr:to>
      <xdr:col>19</xdr:col>
      <xdr:colOff>129988</xdr:colOff>
      <xdr:row>82</xdr:row>
      <xdr:rowOff>123263</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3200529" y="13922188"/>
          <a:ext cx="4320988" cy="2628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SBA Liquidation Values: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Real Estate:  85% of Market Value</a:t>
          </a:r>
          <a:endParaRPr lang="en-US">
            <a:effectLst/>
          </a:endParaRPr>
        </a:p>
        <a:p>
          <a:r>
            <a:rPr lang="en-US" sz="1100"/>
            <a:t>New M&amp;E: 75% of Price minus any prior</a:t>
          </a:r>
          <a:r>
            <a:rPr lang="en-US" sz="1100" baseline="0"/>
            <a:t> liens</a:t>
          </a:r>
        </a:p>
        <a:p>
          <a:r>
            <a:rPr lang="en-US" sz="1100" baseline="0"/>
            <a:t>Used or existing M&amp;E </a:t>
          </a:r>
        </a:p>
        <a:p>
          <a:r>
            <a:rPr lang="en-US" sz="1100" baseline="0"/>
            <a:t>	50% of Net Book Value OR</a:t>
          </a:r>
        </a:p>
        <a:p>
          <a:r>
            <a:rPr lang="en-US" sz="1100" baseline="0"/>
            <a:t>	80% of Orderly Liquidation Appraisal minus prior liens</a:t>
          </a:r>
        </a:p>
        <a:p>
          <a:r>
            <a:rPr lang="en-US" sz="1100" baseline="0"/>
            <a:t>Trading Assets:  10% of current Book Value</a:t>
          </a:r>
        </a:p>
        <a:p>
          <a:endParaRPr lang="en-US" sz="1100" baseline="0"/>
        </a:p>
        <a:p>
          <a:endParaRPr lang="en-US" sz="1100" b="0" i="0" u="none" strike="noStrike" baseline="0">
            <a:solidFill>
              <a:schemeClr val="dk1"/>
            </a:solidFill>
            <a:latin typeface="+mn-lt"/>
            <a:ea typeface="+mn-ea"/>
            <a:cs typeface="+mn-cs"/>
          </a:endParaRPr>
        </a:p>
        <a:p>
          <a:r>
            <a:rPr lang="en-US" sz="1100" b="0" i="0" u="none" strike="noStrike" baseline="0">
              <a:solidFill>
                <a:schemeClr val="dk1"/>
              </a:solidFill>
              <a:latin typeface="+mn-lt"/>
              <a:ea typeface="+mn-ea"/>
              <a:cs typeface="+mn-cs"/>
            </a:rPr>
            <a:t>“Net book value” is defined as an asset's original price</a:t>
          </a:r>
        </a:p>
        <a:p>
          <a:r>
            <a:rPr lang="en-US" sz="1100" b="0" i="0" u="none" strike="noStrike" baseline="0">
              <a:solidFill>
                <a:schemeClr val="dk1"/>
              </a:solidFill>
              <a:latin typeface="+mn-lt"/>
              <a:ea typeface="+mn-ea"/>
              <a:cs typeface="+mn-cs"/>
            </a:rPr>
            <a:t>minus depreciation and amortization</a:t>
          </a:r>
          <a:endParaRPr lang="en-US" sz="1100"/>
        </a:p>
      </xdr:txBody>
    </xdr:sp>
    <xdr:clientData/>
  </xdr:twoCellAnchor>
  <xdr:twoCellAnchor>
    <xdr:from>
      <xdr:col>12</xdr:col>
      <xdr:colOff>528918</xdr:colOff>
      <xdr:row>25</xdr:row>
      <xdr:rowOff>197222</xdr:rowOff>
    </xdr:from>
    <xdr:to>
      <xdr:col>17</xdr:col>
      <xdr:colOff>421341</xdr:colOff>
      <xdr:row>44</xdr:row>
      <xdr:rowOff>125506</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2576138" y="5775062"/>
          <a:ext cx="2940423" cy="36925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baseline="0">
              <a:solidFill>
                <a:schemeClr val="dk1"/>
              </a:solidFill>
              <a:effectLst/>
              <a:latin typeface="+mn-lt"/>
              <a:ea typeface="+mn-ea"/>
              <a:cs typeface="+mn-cs"/>
            </a:rPr>
            <a:t>SBA does not require a lender to collateralize a loan with a personal real estate to meet the “fully secured” definition when the equity in the real estate is less than 25% of the property’s fair market value.</a:t>
          </a:r>
        </a:p>
        <a:p>
          <a:endParaRPr lang="en-US">
            <a:effectLst/>
          </a:endParaRPr>
        </a:p>
        <a:p>
          <a:r>
            <a:rPr lang="en-US" sz="1100" b="0" i="0" baseline="0">
              <a:solidFill>
                <a:schemeClr val="dk1"/>
              </a:solidFill>
              <a:effectLst/>
              <a:latin typeface="+mn-lt"/>
              <a:ea typeface="+mn-ea"/>
              <a:cs typeface="+mn-cs"/>
            </a:rPr>
            <a:t>Liens on a personal residence or investment property may be limited to the amount of the collateral shortfall</a:t>
          </a:r>
        </a:p>
        <a:p>
          <a:endParaRPr lang="en-US">
            <a:effectLst/>
          </a:endParaRPr>
        </a:p>
        <a:p>
          <a:r>
            <a:rPr lang="en-US" sz="1100" b="0" i="0" baseline="0">
              <a:solidFill>
                <a:schemeClr val="dk1"/>
              </a:solidFill>
              <a:effectLst/>
              <a:latin typeface="+mn-lt"/>
              <a:ea typeface="+mn-ea"/>
              <a:cs typeface="+mn-cs"/>
            </a:rPr>
            <a:t>Liens on a personal residence or investment property may be limited to 150% of the equity in the collateral, if there are tax implications associated with the lien amount in the particular state where the lien is filed.</a:t>
          </a:r>
          <a:endParaRPr lang="en-US">
            <a:effectLst/>
          </a:endParaRPr>
        </a:p>
        <a:p>
          <a:endParaRPr lang="en-US" sz="1100"/>
        </a:p>
      </xdr:txBody>
    </xdr:sp>
    <xdr:clientData/>
  </xdr:twoCellAnchor>
  <xdr:twoCellAnchor>
    <xdr:from>
      <xdr:col>1</xdr:col>
      <xdr:colOff>212912</xdr:colOff>
      <xdr:row>134</xdr:row>
      <xdr:rowOff>123265</xdr:rowOff>
    </xdr:from>
    <xdr:to>
      <xdr:col>1</xdr:col>
      <xdr:colOff>1524000</xdr:colOff>
      <xdr:row>134</xdr:row>
      <xdr:rowOff>123265</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403412" y="23354740"/>
          <a:ext cx="1311088"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212912</xdr:colOff>
      <xdr:row>155</xdr:row>
      <xdr:rowOff>123265</xdr:rowOff>
    </xdr:from>
    <xdr:to>
      <xdr:col>1</xdr:col>
      <xdr:colOff>1524000</xdr:colOff>
      <xdr:row>155</xdr:row>
      <xdr:rowOff>123265</xdr:rowOff>
    </xdr:to>
    <xdr:cxnSp macro="">
      <xdr:nvCxnSpPr>
        <xdr:cNvPr id="6" name="Straight Arrow Connector 5">
          <a:extLst>
            <a:ext uri="{FF2B5EF4-FFF2-40B4-BE49-F238E27FC236}">
              <a16:creationId xmlns:a16="http://schemas.microsoft.com/office/drawing/2014/main" id="{00000000-0008-0000-0A00-000006000000}"/>
            </a:ext>
          </a:extLst>
        </xdr:cNvPr>
        <xdr:cNvCxnSpPr/>
      </xdr:nvCxnSpPr>
      <xdr:spPr>
        <a:xfrm flipH="1">
          <a:off x="403412" y="27593365"/>
          <a:ext cx="1311088"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22</xdr:col>
      <xdr:colOff>179294</xdr:colOff>
      <xdr:row>46</xdr:row>
      <xdr:rowOff>67235</xdr:rowOff>
    </xdr:from>
    <xdr:to>
      <xdr:col>28</xdr:col>
      <xdr:colOff>459441</xdr:colOff>
      <xdr:row>53</xdr:row>
      <xdr:rowOff>156883</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0253382" y="9693088"/>
          <a:ext cx="3843618" cy="2991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Note:  For existing borrowers borrowing funds or stock funds - does the current assets provide enought working capital?</a:t>
          </a:r>
          <a:br>
            <a:rPr lang="en-US" sz="1100" b="0" i="0" u="none" strike="noStrike">
              <a:solidFill>
                <a:schemeClr val="dk1"/>
              </a:solidFill>
              <a:effectLst/>
              <a:latin typeface="+mn-lt"/>
              <a:ea typeface="+mn-ea"/>
              <a:cs typeface="+mn-cs"/>
            </a:rPr>
          </a:b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What current assets, if any, are included in loan and how many days of COGS, OpEx, Debt Service and Officer comp does the total cover?  How many days of COGS does inventory cover? How many days does all the other current assets over in all of expenses?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Why is the working capital acceptable?</a:t>
          </a:r>
          <a:br>
            <a:rPr lang="en-US" sz="1100" b="0" i="0" u="none" strike="noStrike">
              <a:solidFill>
                <a:schemeClr val="dk1"/>
              </a:solidFill>
              <a:effectLst/>
              <a:latin typeface="+mn-lt"/>
              <a:ea typeface="+mn-ea"/>
              <a:cs typeface="+mn-cs"/>
            </a:rPr>
          </a:b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For construction loans: Pre-opening working capital includes</a:t>
          </a:r>
          <a:r>
            <a:rPr lang="en-US"/>
            <a:t> </a:t>
          </a:r>
          <a:endParaRPr lang="en-US" sz="1100"/>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xdr:col>
      <xdr:colOff>26894</xdr:colOff>
      <xdr:row>66</xdr:row>
      <xdr:rowOff>67236</xdr:rowOff>
    </xdr:from>
    <xdr:to>
      <xdr:col>14</xdr:col>
      <xdr:colOff>11206</xdr:colOff>
      <xdr:row>125</xdr:row>
      <xdr:rowOff>89648</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407894" y="12729883"/>
          <a:ext cx="9105900" cy="112619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footnotes in</a:t>
          </a:r>
          <a:r>
            <a:rPr lang="en-US" sz="1100" baseline="0"/>
            <a:t> the FN column to match to footnotes in this box.</a:t>
          </a:r>
          <a:endParaRPr lang="en-US" sz="1100"/>
        </a:p>
        <a:p>
          <a:r>
            <a:rPr lang="en-US" sz="1100"/>
            <a:t>Discuss What line(s) of business is the revnenue comprised of?  </a:t>
          </a:r>
        </a:p>
        <a:p>
          <a:r>
            <a:rPr lang="en-US" sz="1100"/>
            <a:t>XXX line of business comprises of X% of sales</a:t>
          </a:r>
        </a:p>
        <a:p>
          <a:r>
            <a:rPr lang="en-US" sz="1100"/>
            <a:t>Seasonality?</a:t>
          </a:r>
        </a:p>
        <a:p>
          <a:r>
            <a:rPr lang="en-US" sz="1100"/>
            <a:t>Why did sales increase/decrase year over year</a:t>
          </a:r>
        </a:p>
        <a:p>
          <a:r>
            <a:rPr lang="en-US" sz="1100"/>
            <a:t>Why did gross profit margins</a:t>
          </a:r>
          <a:r>
            <a:rPr lang="en-US" sz="1100" baseline="0"/>
            <a:t> </a:t>
          </a:r>
          <a:r>
            <a:rPr lang="en-US" sz="1100"/>
            <a:t>increase/decrease year over year?</a:t>
          </a:r>
        </a:p>
        <a:p>
          <a:r>
            <a:rPr lang="en-US" sz="1100"/>
            <a:t>Why</a:t>
          </a:r>
          <a:r>
            <a:rPr lang="en-US" sz="1100" baseline="0"/>
            <a:t> did net profit margins increase/decrease year over year?</a:t>
          </a:r>
          <a:endParaRPr lang="en-US" sz="1100"/>
        </a:p>
        <a:p>
          <a:r>
            <a:rPr lang="en-US" sz="1100"/>
            <a:t>Discuss</a:t>
          </a:r>
          <a:r>
            <a:rPr lang="en-US" sz="1100" baseline="0"/>
            <a:t> any signifincant changes or trends in the expenses.</a:t>
          </a:r>
          <a:br>
            <a:rPr lang="en-US" sz="1100"/>
          </a:br>
          <a:r>
            <a:rPr lang="en-US" sz="1100">
              <a:solidFill>
                <a:schemeClr val="dk1"/>
              </a:solidFill>
              <a:effectLst/>
              <a:latin typeface="+mn-lt"/>
              <a:ea typeface="+mn-ea"/>
              <a:cs typeface="+mn-cs"/>
            </a:rPr>
            <a:t>Compare to RMA averages</a:t>
          </a:r>
        </a:p>
        <a:p>
          <a:endParaRPr lang="en-US" sz="1100">
            <a:solidFill>
              <a:schemeClr val="dk1"/>
            </a:solidFill>
            <a:effectLst/>
            <a:latin typeface="+mn-lt"/>
            <a:ea typeface="+mn-ea"/>
            <a:cs typeface="+mn-cs"/>
          </a:endParaRPr>
        </a:p>
        <a:p>
          <a:r>
            <a:rPr lang="en-US" sz="1100" u="sng">
              <a:solidFill>
                <a:schemeClr val="dk1"/>
              </a:solidFill>
              <a:effectLst/>
              <a:latin typeface="+mn-lt"/>
              <a:ea typeface="+mn-ea"/>
              <a:cs typeface="+mn-cs"/>
            </a:rPr>
            <a:t>Capitalization – other source of repayment  (Lets discuss, some of these may be Income statement items)</a:t>
          </a:r>
          <a:endParaRPr lang="en-US">
            <a:effectLst/>
          </a:endParaRPr>
        </a:p>
        <a:p>
          <a:r>
            <a:rPr lang="en-US" sz="1100">
              <a:solidFill>
                <a:schemeClr val="dk1"/>
              </a:solidFill>
              <a:effectLst/>
              <a:latin typeface="+mn-lt"/>
              <a:ea typeface="+mn-ea"/>
              <a:cs typeface="+mn-cs"/>
            </a:rPr>
            <a:t>List liquid assets, Savings etc.</a:t>
          </a:r>
          <a:endParaRPr lang="en-US">
            <a:effectLst/>
          </a:endParaRPr>
        </a:p>
        <a:p>
          <a:r>
            <a:rPr lang="en-US" sz="1100" b="0">
              <a:solidFill>
                <a:schemeClr val="dk1"/>
              </a:solidFill>
              <a:effectLst/>
              <a:latin typeface="+mn-lt"/>
              <a:ea typeface="+mn-ea"/>
              <a:cs typeface="+mn-cs"/>
            </a:rPr>
            <a:t>Diversification of revenue of SBC</a:t>
          </a:r>
          <a:endParaRPr lang="en-US">
            <a:effectLst/>
          </a:endParaRPr>
        </a:p>
        <a:p>
          <a:r>
            <a:rPr lang="en-US" sz="1100" b="0">
              <a:solidFill>
                <a:schemeClr val="dk1"/>
              </a:solidFill>
              <a:effectLst/>
              <a:latin typeface="+mn-lt"/>
              <a:ea typeface="+mn-ea"/>
              <a:cs typeface="+mn-cs"/>
            </a:rPr>
            <a:t>Mitigate the seasonality if applicable</a:t>
          </a:r>
          <a:endParaRPr lang="en-US">
            <a:effectLst/>
          </a:endParaRPr>
        </a:p>
        <a:p>
          <a:r>
            <a:rPr lang="en-US" sz="1100">
              <a:solidFill>
                <a:schemeClr val="dk1"/>
              </a:solidFill>
              <a:effectLst/>
              <a:latin typeface="+mn-lt"/>
              <a:ea typeface="+mn-ea"/>
              <a:cs typeface="+mn-cs"/>
            </a:rPr>
            <a:t>No other sources? – mitigate it by stating that the borrower is still strong based on personal credit or the longevity of the business etc.  </a:t>
          </a:r>
          <a:endParaRPr lang="en-US">
            <a:effectLst/>
          </a:endParaRPr>
        </a:p>
        <a:p>
          <a:endParaRPr lang="en-US" sz="1100" u="sng">
            <a:solidFill>
              <a:schemeClr val="dk1"/>
            </a:solidFill>
            <a:effectLst/>
            <a:latin typeface="+mn-lt"/>
            <a:ea typeface="+mn-ea"/>
            <a:cs typeface="+mn-cs"/>
          </a:endParaRPr>
        </a:p>
        <a:p>
          <a:endParaRPr lang="en-US" sz="1100" u="sng">
            <a:solidFill>
              <a:schemeClr val="dk1"/>
            </a:solidFill>
            <a:effectLst/>
            <a:latin typeface="+mn-lt"/>
            <a:ea typeface="+mn-ea"/>
            <a:cs typeface="+mn-cs"/>
          </a:endParaRPr>
        </a:p>
        <a:p>
          <a:r>
            <a:rPr lang="en-US" sz="1100" u="sng">
              <a:solidFill>
                <a:schemeClr val="dk1"/>
              </a:solidFill>
              <a:effectLst/>
              <a:latin typeface="+mn-lt"/>
              <a:ea typeface="+mn-ea"/>
              <a:cs typeface="+mn-cs"/>
            </a:rPr>
            <a:t>Lender’s statements to the validation/verification of the borrower’s tax returns: (also an income statement item, do we need it?)</a:t>
          </a:r>
          <a:endParaRPr lang="en-US">
            <a:effectLst/>
          </a:endParaRPr>
        </a:p>
        <a:p>
          <a:r>
            <a:rPr lang="en-US" sz="1100">
              <a:solidFill>
                <a:schemeClr val="dk1"/>
              </a:solidFill>
              <a:effectLst/>
              <a:latin typeface="+mn-lt"/>
              <a:ea typeface="+mn-ea"/>
              <a:cs typeface="+mn-cs"/>
            </a:rPr>
            <a:t>The ____________________ (years) tax returns for __________________________ (applicant) have been reconciled to the IRS Tax Transcripts received on ________________.  There were no differences and the IRS Tax Transcripts satisfactorily verify the reported income and expenses on the tax returns.  </a:t>
          </a:r>
          <a:endParaRPr lang="en-US">
            <a:effectLst/>
          </a:endParaRPr>
        </a:p>
        <a:p>
          <a:r>
            <a:rPr lang="en-US" sz="1100">
              <a:solidFill>
                <a:schemeClr val="dk1"/>
              </a:solidFill>
              <a:effectLst/>
              <a:latin typeface="+mn-lt"/>
              <a:ea typeface="+mn-ea"/>
              <a:cs typeface="+mn-cs"/>
            </a:rPr>
            <a:t>OR</a:t>
          </a:r>
          <a:endParaRPr lang="en-US">
            <a:effectLst/>
          </a:endParaRPr>
        </a:p>
        <a:p>
          <a:r>
            <a:rPr lang="en-US" sz="1100">
              <a:solidFill>
                <a:schemeClr val="dk1"/>
              </a:solidFill>
              <a:effectLst/>
              <a:latin typeface="+mn-lt"/>
              <a:ea typeface="+mn-ea"/>
              <a:cs typeface="+mn-cs"/>
            </a:rPr>
            <a:t>The ____________________ (years) tax returns for ­­­­­­_____________ (seller) will be reconciled to the IRS Tax Transcripts prior to funding to ensure that there are no differences and the IRS Tax Transcripts satisfactorily verify the reported income and expenses on the tax returns.  </a:t>
          </a:r>
          <a:endParaRPr lang="en-US">
            <a:effectLst/>
          </a:endParaRPr>
        </a:p>
        <a:p>
          <a:r>
            <a:rPr lang="en-US" sz="1100">
              <a:solidFill>
                <a:schemeClr val="dk1"/>
              </a:solidFill>
              <a:effectLst/>
              <a:latin typeface="+mn-lt"/>
              <a:ea typeface="+mn-ea"/>
              <a:cs typeface="+mn-cs"/>
            </a:rPr>
            <a:t>What</a:t>
          </a:r>
          <a:r>
            <a:rPr lang="en-US" sz="1100" baseline="0">
              <a:solidFill>
                <a:schemeClr val="dk1"/>
              </a:solidFill>
              <a:effectLst/>
              <a:latin typeface="+mn-lt"/>
              <a:ea typeface="+mn-ea"/>
              <a:cs typeface="+mn-cs"/>
            </a:rPr>
            <a:t> assumptions are the bank adjusted projections based on?  Why are they different than historical or projected?</a:t>
          </a:r>
          <a:endParaRPr lang="en-US">
            <a:effectLst/>
          </a:endParaRPr>
        </a:p>
        <a:p>
          <a:endParaRPr lang="en-US" sz="1100"/>
        </a:p>
      </xdr:txBody>
    </xdr:sp>
    <xdr:clientData/>
  </xdr:twoCellAnchor>
  <xdr:twoCellAnchor>
    <xdr:from>
      <xdr:col>17</xdr:col>
      <xdr:colOff>78441</xdr:colOff>
      <xdr:row>66</xdr:row>
      <xdr:rowOff>67236</xdr:rowOff>
    </xdr:from>
    <xdr:to>
      <xdr:col>28</xdr:col>
      <xdr:colOff>510988</xdr:colOff>
      <xdr:row>125</xdr:row>
      <xdr:rowOff>89648</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9536206" y="12729883"/>
          <a:ext cx="7761194" cy="112619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Discuss how the projections were derived and who prepared them.</a:t>
          </a:r>
        </a:p>
        <a:p>
          <a:r>
            <a:rPr lang="en-US" sz="1100"/>
            <a:t>The increase in the projections is based on XXXX?</a:t>
          </a:r>
        </a:p>
        <a:p>
          <a:r>
            <a:rPr lang="en-US" sz="1100"/>
            <a:t>Discuss any seasonality in projections and if</a:t>
          </a:r>
          <a:r>
            <a:rPr lang="en-US" sz="1100" baseline="0"/>
            <a:t> it</a:t>
          </a:r>
          <a:r>
            <a:rPr lang="en-US" sz="1100"/>
            <a:t> matches the historical seasonality. </a:t>
          </a:r>
        </a:p>
        <a:p>
          <a:r>
            <a:rPr lang="en-US" sz="1100"/>
            <a:t>Compare</a:t>
          </a:r>
          <a:r>
            <a:rPr lang="en-US" sz="1100" baseline="0"/>
            <a:t> projections to seller financials and discuss significant differences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Explain differences between sellers’ expenses and projections and justify the difference.   </a:t>
          </a:r>
          <a:endParaRPr lang="en-US">
            <a:effectLst/>
          </a:endParaRPr>
        </a:p>
        <a:p>
          <a:r>
            <a:rPr lang="en-US" sz="1100">
              <a:solidFill>
                <a:schemeClr val="dk1"/>
              </a:solidFill>
              <a:effectLst/>
              <a:latin typeface="+mn-lt"/>
              <a:ea typeface="+mn-ea"/>
              <a:cs typeface="+mn-cs"/>
            </a:rPr>
            <a:t>Compare to RMA averages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Address bank adjusted income statement and explain reasoning for bank adjustments.  Only needed if SBC does not historically</a:t>
          </a:r>
          <a:r>
            <a:rPr lang="en-US" sz="1100" baseline="0">
              <a:solidFill>
                <a:schemeClr val="dk1"/>
              </a:solidFill>
              <a:effectLst/>
              <a:latin typeface="+mn-lt"/>
              <a:ea typeface="+mn-ea"/>
              <a:cs typeface="+mn-cs"/>
            </a:rPr>
            <a:t> cash flow or major changes need to be made to borrower's projections.  </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For new businesses, detailed projections, including the supporting assumptions which reflect positive cash flow within 2 years will be required.</a:t>
          </a:r>
          <a:endParaRPr lang="en-US">
            <a:effectLst/>
          </a:endParaRPr>
        </a:p>
        <a:p>
          <a:r>
            <a:rPr lang="en-US" sz="1100">
              <a:solidFill>
                <a:schemeClr val="dk1"/>
              </a:solidFill>
              <a:effectLst/>
              <a:latin typeface="+mn-lt"/>
              <a:ea typeface="+mn-ea"/>
              <a:cs typeface="+mn-cs"/>
            </a:rPr>
            <a:t>Existing business, if the historic cash flow does not show sufficient debt service coverage, Lender must obtain from the Applicant and analyze two years of detailed projections including the supporting assumptions.  See the Working</a:t>
          </a:r>
          <a:r>
            <a:rPr lang="en-US" sz="1100" baseline="0">
              <a:solidFill>
                <a:schemeClr val="dk1"/>
              </a:solidFill>
              <a:effectLst/>
              <a:latin typeface="+mn-lt"/>
              <a:ea typeface="+mn-ea"/>
              <a:cs typeface="+mn-cs"/>
            </a:rPr>
            <a:t> Capital tab</a:t>
          </a:r>
          <a:endParaRPr lang="en-US">
            <a:effectLst/>
          </a:endParaRPr>
        </a:p>
        <a:p>
          <a:r>
            <a:rPr lang="en-US" sz="1100">
              <a:solidFill>
                <a:schemeClr val="dk1"/>
              </a:solidFill>
              <a:effectLst/>
              <a:latin typeface="+mn-lt"/>
              <a:ea typeface="+mn-ea"/>
              <a:cs typeface="+mn-cs"/>
            </a:rPr>
            <a:t>The Applicant’s debt service coverage ratio (OCF/DS) must be equal to or greater than 1.15 on a historical and/or projected cash flow basis and 1:1 on a global basis.</a:t>
          </a:r>
          <a:endParaRPr lang="en-US">
            <a:effectLst/>
          </a:endParaRPr>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19</xdr:col>
      <xdr:colOff>242047</xdr:colOff>
      <xdr:row>18</xdr:row>
      <xdr:rowOff>190500</xdr:rowOff>
    </xdr:from>
    <xdr:to>
      <xdr:col>25</xdr:col>
      <xdr:colOff>457199</xdr:colOff>
      <xdr:row>43</xdr:row>
      <xdr:rowOff>168089</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0428194" y="3854824"/>
          <a:ext cx="3845858" cy="5042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A personal draw is then subtracted to arrive at the total cash available for debt service.  </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15875</xdr:colOff>
      <xdr:row>58</xdr:row>
      <xdr:rowOff>107950</xdr:rowOff>
    </xdr:from>
    <xdr:to>
      <xdr:col>17</xdr:col>
      <xdr:colOff>53975</xdr:colOff>
      <xdr:row>79</xdr:row>
      <xdr:rowOff>179294</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15875" y="10764744"/>
          <a:ext cx="9507071" cy="40718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Debt Repayment Ability Comments:</a:t>
          </a:r>
          <a:r>
            <a:rPr lang="en-US" sz="1100">
              <a:solidFill>
                <a:schemeClr val="dk1"/>
              </a:solidFill>
              <a:effectLst/>
              <a:latin typeface="+mn-lt"/>
              <a:ea typeface="+mn-ea"/>
              <a:cs typeface="+mn-cs"/>
            </a:rPr>
            <a:t>  </a:t>
          </a:r>
          <a:endParaRPr lang="en-US">
            <a:effectLst/>
          </a:endParaRPr>
        </a:p>
        <a:p>
          <a:r>
            <a:rPr lang="en-US" sz="1100">
              <a:solidFill>
                <a:schemeClr val="dk1"/>
              </a:solidFill>
              <a:effectLst/>
              <a:latin typeface="+mn-lt"/>
              <a:ea typeface="+mn-ea"/>
              <a:cs typeface="+mn-cs"/>
            </a:rPr>
            <a:t>Based on the projected cash flow debt repayment is reasonably assured.</a:t>
          </a:r>
          <a:endParaRPr lang="en-US">
            <a:effectLst/>
          </a:endParaRPr>
        </a:p>
        <a:p>
          <a:r>
            <a:rPr lang="en-US" sz="1100">
              <a:solidFill>
                <a:schemeClr val="dk1"/>
              </a:solidFill>
              <a:effectLst/>
              <a:latin typeface="+mn-lt"/>
              <a:ea typeface="+mn-ea"/>
              <a:cs typeface="+mn-cs"/>
            </a:rPr>
            <a:t>Primary source of repayment is from the subject business' cash flow.</a:t>
          </a:r>
          <a:endParaRPr lang="en-US">
            <a:effectLst/>
          </a:endParaRPr>
        </a:p>
        <a:p>
          <a:r>
            <a:rPr lang="en-US" sz="1100">
              <a:solidFill>
                <a:schemeClr val="dk1"/>
              </a:solidFill>
              <a:effectLst/>
              <a:latin typeface="+mn-lt"/>
              <a:ea typeface="+mn-ea"/>
              <a:cs typeface="+mn-cs"/>
            </a:rPr>
            <a:t>Secondary source of repayment is the </a:t>
          </a:r>
        </a:p>
        <a:p>
          <a:r>
            <a:rPr lang="en-US" sz="1100">
              <a:solidFill>
                <a:schemeClr val="dk1"/>
              </a:solidFill>
              <a:effectLst/>
              <a:latin typeface="+mn-lt"/>
              <a:ea typeface="+mn-ea"/>
              <a:cs typeface="+mn-cs"/>
            </a:rPr>
            <a:t>Even if interest rates rise, the company should be able to adequately cover its debt payments</a:t>
          </a:r>
          <a:endParaRPr lang="en-US">
            <a:effectLst/>
          </a:endParaRPr>
        </a:p>
        <a:p>
          <a:r>
            <a:rPr lang="en-US" sz="1100">
              <a:solidFill>
                <a:schemeClr val="dk1"/>
              </a:solidFill>
              <a:effectLst/>
              <a:latin typeface="+mn-lt"/>
              <a:ea typeface="+mn-ea"/>
              <a:cs typeface="+mn-cs"/>
            </a:rPr>
            <a:t> </a:t>
          </a:r>
          <a:endParaRPr lang="en-US">
            <a:effectLst/>
          </a:endParaRPr>
        </a:p>
        <a:p>
          <a:r>
            <a:rPr lang="en-US" sz="1100" u="sng">
              <a:solidFill>
                <a:schemeClr val="dk1"/>
              </a:solidFill>
              <a:effectLst/>
              <a:latin typeface="+mn-lt"/>
              <a:ea typeface="+mn-ea"/>
              <a:cs typeface="+mn-cs"/>
            </a:rPr>
            <a:t>SBC Cash Flow Calculation</a:t>
          </a:r>
          <a:r>
            <a:rPr lang="en-US" sz="1100">
              <a:solidFill>
                <a:schemeClr val="dk1"/>
              </a:solidFill>
              <a:effectLst/>
              <a:latin typeface="+mn-lt"/>
              <a:ea typeface="+mn-ea"/>
              <a:cs typeface="+mn-cs"/>
            </a:rPr>
            <a:t>:</a:t>
          </a:r>
          <a:endParaRPr lang="en-US">
            <a:effectLst/>
          </a:endParaRPr>
        </a:p>
        <a:p>
          <a:r>
            <a:rPr lang="en-US" sz="1100">
              <a:solidFill>
                <a:schemeClr val="dk1"/>
              </a:solidFill>
              <a:effectLst/>
              <a:latin typeface="+mn-lt"/>
              <a:ea typeface="+mn-ea"/>
              <a:cs typeface="+mn-cs"/>
            </a:rPr>
            <a:t>E</a:t>
          </a:r>
          <a:r>
            <a:rPr lang="en-US" sz="1100" baseline="0">
              <a:solidFill>
                <a:schemeClr val="dk1"/>
              </a:solidFill>
              <a:effectLst/>
              <a:latin typeface="+mn-lt"/>
              <a:ea typeface="+mn-ea"/>
              <a:cs typeface="+mn-cs"/>
            </a:rPr>
            <a:t>xplain any unusual addbacks to expenses.</a:t>
          </a:r>
          <a:endParaRPr lang="en-US">
            <a:effectLst/>
          </a:endParaRPr>
        </a:p>
        <a:p>
          <a:r>
            <a:rPr lang="en-US" sz="1100">
              <a:solidFill>
                <a:schemeClr val="dk1"/>
              </a:solidFill>
              <a:effectLst/>
              <a:latin typeface="+mn-lt"/>
              <a:ea typeface="+mn-ea"/>
              <a:cs typeface="+mn-cs"/>
            </a:rPr>
            <a:t>Explain seller note terms</a:t>
          </a:r>
          <a:r>
            <a:rPr lang="en-US" sz="1100" baseline="0">
              <a:solidFill>
                <a:schemeClr val="dk1"/>
              </a:solidFill>
              <a:effectLst/>
              <a:latin typeface="+mn-lt"/>
              <a:ea typeface="+mn-ea"/>
              <a:cs typeface="+mn-cs"/>
            </a:rPr>
            <a:t> or any oddity in other debt payments</a:t>
          </a:r>
          <a:endParaRPr lang="en-US">
            <a:effectLst/>
          </a:endParaRPr>
        </a:p>
        <a:p>
          <a:endParaRPr lang="en-US" sz="1100" u="sng">
            <a:solidFill>
              <a:schemeClr val="dk1"/>
            </a:solidFill>
            <a:effectLst/>
            <a:latin typeface="+mn-lt"/>
            <a:ea typeface="+mn-ea"/>
            <a:cs typeface="+mn-cs"/>
          </a:endParaRP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800100</xdr:colOff>
          <xdr:row>1</xdr:row>
          <xdr:rowOff>63500</xdr:rowOff>
        </xdr:from>
        <xdr:to>
          <xdr:col>8</xdr:col>
          <xdr:colOff>660400</xdr:colOff>
          <xdr:row>2</xdr:row>
          <xdr:rowOff>177800</xdr:rowOff>
        </xdr:to>
        <xdr:sp macro="" textlink="">
          <xdr:nvSpPr>
            <xdr:cNvPr id="15374" name="Button 14" descr="This will add an additional row to the table&#10;" hidden="1">
              <a:extLst>
                <a:ext uri="{63B3BB69-23CF-44E3-9099-C40C66FF867C}">
                  <a14:compatExt spid="_x0000_s15374"/>
                </a:ext>
                <a:ext uri="{FF2B5EF4-FFF2-40B4-BE49-F238E27FC236}">
                  <a16:creationId xmlns:a16="http://schemas.microsoft.com/office/drawing/2014/main" id="{00000000-0008-0000-0F00-00000E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Additional Debt Row</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15</xdr:col>
      <xdr:colOff>67982</xdr:colOff>
      <xdr:row>40</xdr:row>
      <xdr:rowOff>83109</xdr:rowOff>
    </xdr:from>
    <xdr:to>
      <xdr:col>20</xdr:col>
      <xdr:colOff>523875</xdr:colOff>
      <xdr:row>52</xdr:row>
      <xdr:rowOff>47625</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1021732" y="8322234"/>
          <a:ext cx="4742143" cy="24410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Compare top line B/E revneue to historical revenue.  If B/E is higher that historical, explain why,</a:t>
          </a:r>
          <a:r>
            <a:rPr lang="en-US"/>
            <a:t> </a:t>
          </a:r>
          <a:br>
            <a:rPr lang="en-US"/>
          </a:br>
          <a:r>
            <a:rPr lang="en-US" sz="1100">
              <a:solidFill>
                <a:schemeClr val="dk1"/>
              </a:solidFill>
              <a:effectLst/>
              <a:latin typeface="+mn-lt"/>
              <a:ea typeface="+mn-ea"/>
              <a:cs typeface="+mn-cs"/>
            </a:rPr>
            <a:t>Reasonable assurance the business will meet breakeven revenue is  based on</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304800</xdr:colOff>
          <xdr:row>2</xdr:row>
          <xdr:rowOff>63500</xdr:rowOff>
        </xdr:from>
        <xdr:to>
          <xdr:col>17</xdr:col>
          <xdr:colOff>520700</xdr:colOff>
          <xdr:row>3</xdr:row>
          <xdr:rowOff>139700</xdr:rowOff>
        </xdr:to>
        <xdr:sp macro="" textlink="">
          <xdr:nvSpPr>
            <xdr:cNvPr id="519181" name="Drop Down 13" hidden="1">
              <a:extLst>
                <a:ext uri="{63B3BB69-23CF-44E3-9099-C40C66FF867C}">
                  <a14:compatExt spid="_x0000_s519181"/>
                </a:ext>
                <a:ext uri="{FF2B5EF4-FFF2-40B4-BE49-F238E27FC236}">
                  <a16:creationId xmlns:a16="http://schemas.microsoft.com/office/drawing/2014/main" id="{00000000-0008-0000-1000-00000DE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18</xdr:col>
          <xdr:colOff>292100</xdr:colOff>
          <xdr:row>2</xdr:row>
          <xdr:rowOff>63500</xdr:rowOff>
        </xdr:from>
        <xdr:to>
          <xdr:col>20</xdr:col>
          <xdr:colOff>558800</xdr:colOff>
          <xdr:row>3</xdr:row>
          <xdr:rowOff>177800</xdr:rowOff>
        </xdr:to>
        <xdr:sp macro="" textlink="">
          <xdr:nvSpPr>
            <xdr:cNvPr id="519183" name="Button 15" hidden="1">
              <a:extLst>
                <a:ext uri="{63B3BB69-23CF-44E3-9099-C40C66FF867C}">
                  <a14:compatExt spid="_x0000_s519183"/>
                </a:ext>
                <a:ext uri="{FF2B5EF4-FFF2-40B4-BE49-F238E27FC236}">
                  <a16:creationId xmlns:a16="http://schemas.microsoft.com/office/drawing/2014/main" id="{00000000-0008-0000-1000-00000FE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Set BrkEvn Rev</a:t>
              </a:r>
            </a:p>
          </xdr:txBody>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111126</xdr:colOff>
      <xdr:row>64</xdr:row>
      <xdr:rowOff>95250</xdr:rowOff>
    </xdr:from>
    <xdr:to>
      <xdr:col>17</xdr:col>
      <xdr:colOff>49389</xdr:colOff>
      <xdr:row>81</xdr:row>
      <xdr:rowOff>49388</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111126" y="11207750"/>
          <a:ext cx="10204096" cy="3249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Detail what entities/individuals</a:t>
          </a:r>
          <a:r>
            <a:rPr lang="en-US" sz="1100" baseline="0"/>
            <a:t> are included in the global CF.</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Does</a:t>
          </a:r>
          <a:r>
            <a:rPr lang="en-US" sz="1100" baseline="0">
              <a:solidFill>
                <a:schemeClr val="dk1"/>
              </a:solidFill>
              <a:effectLst/>
              <a:latin typeface="+mn-lt"/>
              <a:ea typeface="+mn-ea"/>
              <a:cs typeface="+mn-cs"/>
            </a:rPr>
            <a:t> outside cash flow cover the proposed debt?</a:t>
          </a:r>
          <a:endParaRPr lang="en-US">
            <a:effectLst/>
          </a:endParaRPr>
        </a:p>
        <a:p>
          <a:r>
            <a:rPr lang="en-US" sz="1100">
              <a:solidFill>
                <a:schemeClr val="dk1"/>
              </a:solidFill>
              <a:effectLst/>
              <a:latin typeface="+mn-lt"/>
              <a:ea typeface="+mn-ea"/>
              <a:cs typeface="+mn-cs"/>
            </a:rPr>
            <a:t>Any other adjustments made to cash flow for this analysis discuss here.</a:t>
          </a:r>
          <a:endParaRPr lang="en-US">
            <a:effectLst/>
          </a:endParaRPr>
        </a:p>
        <a:p>
          <a:r>
            <a:rPr lang="en-US" sz="1100">
              <a:solidFill>
                <a:schemeClr val="dk1"/>
              </a:solidFill>
              <a:effectLst/>
              <a:latin typeface="+mn-lt"/>
              <a:ea typeface="+mn-ea"/>
              <a:cs typeface="+mn-cs"/>
            </a:rPr>
            <a:t>Negative cash flow from any entity listed below that is NOT guaranteeing the loan has been included in the calculated draw of a guarantor/principal as stated below in that entities’ section</a:t>
          </a:r>
          <a:endParaRPr lang="en-US" sz="1100"/>
        </a:p>
      </xdr:txBody>
    </xdr:sp>
    <xdr:clientData/>
  </xdr:twoCellAnchor>
  <xdr:twoCellAnchor>
    <xdr:from>
      <xdr:col>19</xdr:col>
      <xdr:colOff>235325</xdr:colOff>
      <xdr:row>1</xdr:row>
      <xdr:rowOff>134471</xdr:rowOff>
    </xdr:from>
    <xdr:to>
      <xdr:col>24</xdr:col>
      <xdr:colOff>246531</xdr:colOff>
      <xdr:row>7</xdr:row>
      <xdr:rowOff>112059</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0410266" y="336177"/>
          <a:ext cx="3227294" cy="1176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Mark the below boxes with an "x" for any pages that should be included in the Global</a:t>
          </a:r>
          <a:r>
            <a:rPr lang="en-US" sz="1100" b="1" baseline="0">
              <a:solidFill>
                <a:srgbClr val="FF0000"/>
              </a:solidFill>
            </a:rPr>
            <a:t> Cash Flow Calculation.</a:t>
          </a:r>
        </a:p>
        <a:p>
          <a:endParaRPr lang="en-US" sz="1100" b="1" baseline="0">
            <a:solidFill>
              <a:srgbClr val="FF0000"/>
            </a:solidFill>
          </a:endParaRPr>
        </a:p>
        <a:p>
          <a:r>
            <a:rPr lang="en-US" sz="1100" b="1" baseline="0">
              <a:solidFill>
                <a:srgbClr val="FF0000"/>
              </a:solidFill>
            </a:rPr>
            <a:t>Hide any personal guarantor/principal lines that are not needed.</a:t>
          </a:r>
          <a:endParaRPr lang="en-US" b="1">
            <a:solidFill>
              <a:srgbClr val="FF0000"/>
            </a:solidFill>
          </a:endParaRPr>
        </a:p>
        <a:p>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156882</xdr:colOff>
      <xdr:row>60</xdr:row>
      <xdr:rowOff>145676</xdr:rowOff>
    </xdr:from>
    <xdr:to>
      <xdr:col>18</xdr:col>
      <xdr:colOff>156883</xdr:colOff>
      <xdr:row>78</xdr:row>
      <xdr:rowOff>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169088" y="12281647"/>
          <a:ext cx="4235824" cy="3518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none" strike="noStrike">
              <a:solidFill>
                <a:schemeClr val="dk1"/>
              </a:solidFill>
              <a:effectLst/>
              <a:latin typeface="+mn-lt"/>
              <a:ea typeface="+mn-ea"/>
              <a:cs typeface="+mn-cs"/>
            </a:rPr>
            <a:t>For Reference Only:</a:t>
          </a:r>
          <a:r>
            <a:rPr lang="en-US"/>
            <a:t> </a:t>
          </a:r>
          <a:br>
            <a:rPr lang="en-US"/>
          </a:br>
          <a:r>
            <a:rPr lang="en-US" sz="1100" b="0" i="0" u="none" strike="noStrike">
              <a:solidFill>
                <a:schemeClr val="dk1"/>
              </a:solidFill>
              <a:effectLst/>
              <a:latin typeface="+mn-lt"/>
              <a:ea typeface="+mn-ea"/>
              <a:cs typeface="+mn-cs"/>
            </a:rPr>
            <a:t>Beg NW</a:t>
          </a:r>
          <a:r>
            <a:rPr lang="en-US"/>
            <a:t> </a:t>
          </a:r>
        </a:p>
        <a:p>
          <a:r>
            <a:rPr lang="en-US" sz="1100" b="0" i="0" u="none" strike="noStrike">
              <a:solidFill>
                <a:schemeClr val="dk1"/>
              </a:solidFill>
              <a:effectLst/>
              <a:latin typeface="+mn-lt"/>
              <a:ea typeface="+mn-ea"/>
              <a:cs typeface="+mn-cs"/>
            </a:rPr>
            <a:t>Add right side of Schedule M-1</a:t>
          </a:r>
          <a:r>
            <a:rPr lang="en-US"/>
            <a:t> </a:t>
          </a:r>
        </a:p>
        <a:p>
          <a:r>
            <a:rPr lang="en-US" sz="1100" b="0" i="0" u="none" strike="noStrike">
              <a:solidFill>
                <a:schemeClr val="dk1"/>
              </a:solidFill>
              <a:effectLst/>
              <a:latin typeface="+mn-lt"/>
              <a:ea typeface="+mn-ea"/>
              <a:cs typeface="+mn-cs"/>
            </a:rPr>
            <a:t>Subtract Sch K line 16c- nondeductible expenses</a:t>
          </a:r>
          <a:r>
            <a:rPr lang="en-US"/>
            <a:t> </a:t>
          </a:r>
        </a:p>
        <a:p>
          <a:r>
            <a:rPr lang="en-US" sz="1100" b="0" i="0" u="none" strike="noStrike">
              <a:solidFill>
                <a:schemeClr val="dk1"/>
              </a:solidFill>
              <a:effectLst/>
              <a:latin typeface="+mn-lt"/>
              <a:ea typeface="+mn-ea"/>
              <a:cs typeface="+mn-cs"/>
            </a:rPr>
            <a:t>Subtract Dividends - Schedule K</a:t>
          </a:r>
          <a:r>
            <a:rPr lang="en-US"/>
            <a:t> </a:t>
          </a:r>
        </a:p>
        <a:p>
          <a:r>
            <a:rPr lang="en-US" sz="1100" b="0" i="0" u="none" strike="noStrike">
              <a:solidFill>
                <a:schemeClr val="dk1"/>
              </a:solidFill>
              <a:effectLst/>
              <a:latin typeface="+mn-lt"/>
              <a:ea typeface="+mn-ea"/>
              <a:cs typeface="+mn-cs"/>
            </a:rPr>
            <a:t>Add Contributions - Schedule K</a:t>
          </a:r>
          <a:r>
            <a:rPr lang="en-US"/>
            <a:t> </a:t>
          </a:r>
        </a:p>
        <a:p>
          <a:r>
            <a:rPr lang="en-US" sz="1100" b="0" i="0" u="none" strike="noStrike">
              <a:solidFill>
                <a:schemeClr val="dk1"/>
              </a:solidFill>
              <a:effectLst/>
              <a:latin typeface="+mn-lt"/>
              <a:ea typeface="+mn-ea"/>
              <a:cs typeface="+mn-cs"/>
            </a:rPr>
            <a:t>Subtract Sch K Lin 11 - 179 expense</a:t>
          </a:r>
          <a:r>
            <a:rPr lang="en-US"/>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Tax income to Book Income</a:t>
          </a:r>
          <a:r>
            <a:rPr lang="en-US"/>
            <a:t> </a:t>
          </a:r>
        </a:p>
        <a:p>
          <a:r>
            <a:rPr lang="en-US" sz="1100" b="0" i="0" u="none" strike="noStrike">
              <a:solidFill>
                <a:schemeClr val="dk1"/>
              </a:solidFill>
              <a:effectLst/>
              <a:latin typeface="+mn-lt"/>
              <a:ea typeface="+mn-ea"/>
              <a:cs typeface="+mn-cs"/>
            </a:rPr>
            <a:t>Tax income</a:t>
          </a:r>
          <a:r>
            <a:rPr lang="en-US"/>
            <a:t> </a:t>
          </a:r>
        </a:p>
        <a:p>
          <a:r>
            <a:rPr lang="en-US" sz="1100" b="0" i="0" u="none" strike="noStrike">
              <a:solidFill>
                <a:schemeClr val="dk1"/>
              </a:solidFill>
              <a:effectLst/>
              <a:latin typeface="+mn-lt"/>
              <a:ea typeface="+mn-ea"/>
              <a:cs typeface="+mn-cs"/>
            </a:rPr>
            <a:t>add interest income</a:t>
          </a:r>
          <a:r>
            <a:rPr lang="en-US"/>
            <a:t> </a:t>
          </a:r>
        </a:p>
        <a:p>
          <a:r>
            <a:rPr lang="en-US" sz="1100" b="0" i="0" u="none" strike="noStrike">
              <a:solidFill>
                <a:schemeClr val="dk1"/>
              </a:solidFill>
              <a:effectLst/>
              <a:latin typeface="+mn-lt"/>
              <a:ea typeface="+mn-ea"/>
              <a:cs typeface="+mn-cs"/>
            </a:rPr>
            <a:t>Add Sch K 17a</a:t>
          </a:r>
          <a:r>
            <a:rPr lang="en-US"/>
            <a:t> </a:t>
          </a:r>
          <a:r>
            <a:rPr lang="en-US" sz="1100" b="0" i="0" u="none" strike="noStrike">
              <a:solidFill>
                <a:schemeClr val="dk1"/>
              </a:solidFill>
              <a:effectLst/>
              <a:latin typeface="+mn-lt"/>
              <a:ea typeface="+mn-ea"/>
              <a:cs typeface="+mn-cs"/>
            </a:rPr>
            <a:t>Subtract Sch K Lin 11 - 179 expense</a:t>
          </a:r>
          <a:r>
            <a:rPr lang="en-US"/>
            <a:t> </a:t>
          </a:r>
        </a:p>
        <a:p>
          <a:r>
            <a:rPr lang="en-US" sz="1100" b="0" i="0" u="none" strike="noStrike">
              <a:solidFill>
                <a:schemeClr val="dk1"/>
              </a:solidFill>
              <a:effectLst/>
              <a:latin typeface="+mn-lt"/>
              <a:ea typeface="+mn-ea"/>
              <a:cs typeface="+mn-cs"/>
            </a:rPr>
            <a:t>subtract contributions - Schedule K</a:t>
          </a:r>
          <a:r>
            <a:rPr lang="en-US"/>
            <a:t> </a:t>
          </a:r>
        </a:p>
        <a:p>
          <a:r>
            <a:rPr lang="en-US" sz="1100" b="0" i="0" u="none" strike="noStrike">
              <a:solidFill>
                <a:schemeClr val="dk1"/>
              </a:solidFill>
              <a:effectLst/>
              <a:latin typeface="+mn-lt"/>
              <a:ea typeface="+mn-ea"/>
              <a:cs typeface="+mn-cs"/>
            </a:rPr>
            <a:t>Add M-1 5 income recorded on books, not included on taxes</a:t>
          </a:r>
        </a:p>
        <a:p>
          <a:r>
            <a:rPr lang="en-US" sz="1100" b="0" i="0" u="none" strike="noStrike">
              <a:solidFill>
                <a:schemeClr val="dk1"/>
              </a:solidFill>
              <a:effectLst/>
              <a:latin typeface="+mn-lt"/>
              <a:ea typeface="+mn-ea"/>
              <a:cs typeface="+mn-cs"/>
            </a:rPr>
            <a:t>Add M-1  6 -  expenses on taxes, not included on books</a:t>
          </a:r>
        </a:p>
        <a:p>
          <a:r>
            <a:rPr lang="en-US" sz="1100" b="0" i="0" u="none" strike="noStrike">
              <a:solidFill>
                <a:schemeClr val="dk1"/>
              </a:solidFill>
              <a:effectLst/>
              <a:latin typeface="+mn-lt"/>
              <a:ea typeface="+mn-ea"/>
              <a:cs typeface="+mn-cs"/>
            </a:rPr>
            <a:t>Subtract M-1 #2 income recorded on taxes, not on books</a:t>
          </a:r>
          <a:r>
            <a:rPr lang="en-US"/>
            <a:t> </a:t>
          </a:r>
        </a:p>
        <a:p>
          <a:r>
            <a:rPr lang="en-US" sz="1100" b="0" i="0" u="none" strike="noStrike">
              <a:solidFill>
                <a:schemeClr val="dk1"/>
              </a:solidFill>
              <a:effectLst/>
              <a:latin typeface="+mn-lt"/>
              <a:ea typeface="+mn-ea"/>
              <a:cs typeface="+mn-cs"/>
            </a:rPr>
            <a:t>Subtract Schedule M -1, #3 expenses on books, not included on taxes</a:t>
          </a:r>
          <a:r>
            <a:rPr lang="en-US"/>
            <a:t> </a:t>
          </a:r>
        </a:p>
        <a:p>
          <a:r>
            <a:rPr lang="en-US" sz="1100" b="0" i="0" u="none" strike="noStrike">
              <a:solidFill>
                <a:schemeClr val="dk1"/>
              </a:solidFill>
              <a:effectLst/>
              <a:latin typeface="+mn-lt"/>
              <a:ea typeface="+mn-ea"/>
              <a:cs typeface="+mn-cs"/>
            </a:rPr>
            <a:t>Add non-deductible expenses</a:t>
          </a:r>
          <a:r>
            <a:rPr lang="en-US"/>
            <a:t> </a:t>
          </a:r>
          <a:r>
            <a:rPr lang="en-US" sz="1100" b="0" i="0" u="none" strike="noStrike">
              <a:solidFill>
                <a:schemeClr val="dk1"/>
              </a:solidFill>
              <a:effectLst/>
              <a:latin typeface="+mn-lt"/>
              <a:ea typeface="+mn-ea"/>
              <a:cs typeface="+mn-cs"/>
            </a:rPr>
            <a:t>Book income</a:t>
          </a:r>
          <a:r>
            <a:rPr lang="en-US"/>
            <a:t> </a:t>
          </a:r>
          <a:endParaRPr lang="en-US" sz="1100"/>
        </a:p>
      </xdr:txBody>
    </xdr:sp>
    <xdr:clientData fPrintsWithSheet="0"/>
  </xdr:twoCellAnchor>
  <xdr:twoCellAnchor>
    <xdr:from>
      <xdr:col>0</xdr:col>
      <xdr:colOff>44824</xdr:colOff>
      <xdr:row>78</xdr:row>
      <xdr:rowOff>44824</xdr:rowOff>
    </xdr:from>
    <xdr:to>
      <xdr:col>9</xdr:col>
      <xdr:colOff>448236</xdr:colOff>
      <xdr:row>121</xdr:row>
      <xdr:rowOff>134471</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44824" y="15845118"/>
          <a:ext cx="6936441" cy="828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63500</xdr:colOff>
      <xdr:row>61</xdr:row>
      <xdr:rowOff>44823</xdr:rowOff>
    </xdr:from>
    <xdr:to>
      <xdr:col>9</xdr:col>
      <xdr:colOff>459441</xdr:colOff>
      <xdr:row>95</xdr:row>
      <xdr:rowOff>127000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63500" y="12371294"/>
          <a:ext cx="6368676" cy="65591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Choose </a:t>
          </a:r>
          <a:endParaRPr lang="en-US">
            <a:effectLst/>
          </a:endParaRPr>
        </a:p>
        <a:p>
          <a:r>
            <a:rPr lang="en-US" sz="1100">
              <a:solidFill>
                <a:schemeClr val="dk1"/>
              </a:solidFill>
              <a:effectLst/>
              <a:latin typeface="+mn-lt"/>
              <a:ea typeface="+mn-ea"/>
              <a:cs typeface="+mn-cs"/>
            </a:rPr>
            <a:t>This project is a start-up business and historical financial statements are not available.  This analysis is prepared based upon the pro forma balance sheet which was created based upon the debits and credits associated with the project.  Benchmarking data, unless otherwise specified, is based upon RMA industry statistics for NAICS __________________, ________________, for industry peers with sales between $1MM-$3MM.</a:t>
          </a:r>
          <a:endParaRPr lang="en-US">
            <a:effectLst/>
          </a:endParaRPr>
        </a:p>
        <a:p>
          <a:r>
            <a:rPr lang="en-US" sz="1100">
              <a:solidFill>
                <a:schemeClr val="dk1"/>
              </a:solidFill>
              <a:effectLst/>
              <a:latin typeface="+mn-lt"/>
              <a:ea typeface="+mn-ea"/>
              <a:cs typeface="+mn-cs"/>
            </a:rPr>
            <a:t> </a:t>
          </a:r>
          <a:endParaRPr lang="en-US">
            <a:effectLst/>
          </a:endParaRPr>
        </a:p>
        <a:p>
          <a:r>
            <a:rPr lang="en-US" sz="1100">
              <a:solidFill>
                <a:schemeClr val="dk1"/>
              </a:solidFill>
              <a:effectLst/>
              <a:latin typeface="+mn-lt"/>
              <a:ea typeface="+mn-ea"/>
              <a:cs typeface="+mn-cs"/>
            </a:rPr>
            <a:t>OR</a:t>
          </a:r>
          <a:endParaRPr lang="en-US">
            <a:effectLst/>
          </a:endParaRPr>
        </a:p>
        <a:p>
          <a:r>
            <a:rPr lang="en-US" sz="1100">
              <a:solidFill>
                <a:schemeClr val="dk1"/>
              </a:solidFill>
              <a:effectLst/>
              <a:latin typeface="+mn-lt"/>
              <a:ea typeface="+mn-ea"/>
              <a:cs typeface="+mn-cs"/>
            </a:rPr>
            <a:t> </a:t>
          </a:r>
          <a:endParaRPr lang="en-US">
            <a:effectLst/>
          </a:endParaRPr>
        </a:p>
        <a:p>
          <a:r>
            <a:rPr lang="en-US" sz="1100">
              <a:solidFill>
                <a:schemeClr val="dk1"/>
              </a:solidFill>
              <a:effectLst/>
              <a:latin typeface="+mn-lt"/>
              <a:ea typeface="+mn-ea"/>
              <a:cs typeface="+mn-cs"/>
            </a:rPr>
            <a:t>The proposed loan is for an acquisition of an existing business’s assets; as such, the historical balance sheets are not relevant to the analysis since the acquisition will result in a new owner who will have a starting balance sheet based upon the cost of the assets acquired and the capital injected into the new project.  Therefore, the only relevant balance sheet analysis is that of the pro forma balance sheet, which is addressed next.  Benchmarking data, unless otherwise specified, is based upon RMA industry statistics for NAICS __________________, ________________, for industry peers with sales between $1MM-$3MM.</a:t>
          </a:r>
          <a:endParaRPr lang="en-US">
            <a:effectLst/>
          </a:endParaRPr>
        </a:p>
        <a:p>
          <a:r>
            <a:rPr lang="en-US" sz="1100">
              <a:solidFill>
                <a:schemeClr val="dk1"/>
              </a:solidFill>
              <a:effectLst/>
              <a:latin typeface="+mn-lt"/>
              <a:ea typeface="+mn-ea"/>
              <a:cs typeface="+mn-cs"/>
            </a:rPr>
            <a:t> </a:t>
          </a:r>
          <a:endParaRPr lang="en-US">
            <a:effectLst/>
          </a:endParaRPr>
        </a:p>
        <a:p>
          <a:r>
            <a:rPr lang="en-US" sz="1100" u="sng">
              <a:solidFill>
                <a:schemeClr val="dk1"/>
              </a:solidFill>
              <a:effectLst/>
              <a:latin typeface="+mn-lt"/>
              <a:ea typeface="+mn-ea"/>
              <a:cs typeface="+mn-cs"/>
            </a:rPr>
            <a:t>Pro Forma Balance Sheet Comments: (choose one)</a:t>
          </a:r>
          <a:endParaRPr lang="en-US">
            <a:effectLst/>
          </a:endParaRPr>
        </a:p>
        <a:p>
          <a:r>
            <a:rPr lang="en-US" sz="1100">
              <a:solidFill>
                <a:schemeClr val="dk1"/>
              </a:solidFill>
              <a:effectLst/>
              <a:latin typeface="+mn-lt"/>
              <a:ea typeface="+mn-ea"/>
              <a:cs typeface="+mn-cs"/>
            </a:rPr>
            <a:t>The pro forma balance sheet is prepared using the current interim balance sheet statement dated XXX and adjusting it for the credits and debits associated with the proposed transaction.</a:t>
          </a:r>
          <a:endParaRPr lang="en-US">
            <a:effectLst/>
          </a:endParaRPr>
        </a:p>
        <a:p>
          <a:r>
            <a:rPr lang="en-US" sz="1100">
              <a:solidFill>
                <a:schemeClr val="dk1"/>
              </a:solidFill>
              <a:effectLst/>
              <a:latin typeface="+mn-lt"/>
              <a:ea typeface="+mn-ea"/>
              <a:cs typeface="+mn-cs"/>
            </a:rPr>
            <a:t>The pro forma balance sheet is prepared using credits and debits associated with the proposed transaction.</a:t>
          </a:r>
          <a:endParaRPr lang="en-US">
            <a:effectLst/>
          </a:endParaRPr>
        </a:p>
        <a:p>
          <a:r>
            <a:rPr lang="en-US" sz="1100" u="sng">
              <a:solidFill>
                <a:schemeClr val="dk1"/>
              </a:solidFill>
              <a:effectLst/>
              <a:latin typeface="+mn-lt"/>
              <a:ea typeface="+mn-ea"/>
              <a:cs typeface="+mn-cs"/>
            </a:rPr>
            <a:t>Proforma Footnotes:</a:t>
          </a:r>
          <a:endParaRPr lang="en-US">
            <a:effectLst/>
          </a:endParaRPr>
        </a:p>
        <a:p>
          <a:r>
            <a:rPr lang="en-US" sz="1100">
              <a:solidFill>
                <a:schemeClr val="dk1"/>
              </a:solidFill>
              <a:effectLst/>
              <a:latin typeface="+mn-lt"/>
              <a:ea typeface="+mn-ea"/>
              <a:cs typeface="+mn-cs"/>
            </a:rPr>
            <a:t>1.</a:t>
          </a:r>
          <a:endParaRPr lang="en-US">
            <a:effectLst/>
          </a:endParaRPr>
        </a:p>
        <a:p>
          <a:r>
            <a:rPr lang="en-US" sz="1100">
              <a:solidFill>
                <a:schemeClr val="dk1"/>
              </a:solidFill>
              <a:effectLst/>
              <a:latin typeface="+mn-lt"/>
              <a:ea typeface="+mn-ea"/>
              <a:cs typeface="+mn-cs"/>
            </a:rPr>
            <a:t>2.</a:t>
          </a:r>
          <a:endParaRPr lang="en-US">
            <a:effectLst/>
          </a:endParaRPr>
        </a:p>
        <a:p>
          <a:r>
            <a:rPr lang="en-US" sz="1100">
              <a:solidFill>
                <a:schemeClr val="dk1"/>
              </a:solidFill>
              <a:effectLst/>
              <a:latin typeface="+mn-lt"/>
              <a:ea typeface="+mn-ea"/>
              <a:cs typeface="+mn-cs"/>
            </a:rPr>
            <a:t>3.</a:t>
          </a:r>
          <a:endParaRPr lang="en-US">
            <a:effectLst/>
          </a:endParaRPr>
        </a:p>
        <a:p>
          <a:r>
            <a:rPr lang="en-US" sz="1100">
              <a:solidFill>
                <a:schemeClr val="dk1"/>
              </a:solidFill>
              <a:effectLst/>
              <a:latin typeface="+mn-lt"/>
              <a:ea typeface="+mn-ea"/>
              <a:cs typeface="+mn-cs"/>
            </a:rPr>
            <a:t>4.</a:t>
          </a:r>
          <a:endParaRPr lang="en-US">
            <a:effectLst/>
          </a:endParaRPr>
        </a:p>
        <a:p>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50800</xdr:colOff>
      <xdr:row>66</xdr:row>
      <xdr:rowOff>78442</xdr:rowOff>
    </xdr:from>
    <xdr:to>
      <xdr:col>13</xdr:col>
      <xdr:colOff>89647</xdr:colOff>
      <xdr:row>125</xdr:row>
      <xdr:rowOff>139700</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50800" y="11799795"/>
          <a:ext cx="8611347" cy="11300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44824</xdr:colOff>
      <xdr:row>78</xdr:row>
      <xdr:rowOff>56030</xdr:rowOff>
    </xdr:from>
    <xdr:to>
      <xdr:col>9</xdr:col>
      <xdr:colOff>459442</xdr:colOff>
      <xdr:row>121</xdr:row>
      <xdr:rowOff>112059</xdr:rowOff>
    </xdr:to>
    <xdr:sp macro="" textlink="">
      <xdr:nvSpPr>
        <xdr:cNvPr id="3" name="TextBox 2">
          <a:extLst>
            <a:ext uri="{FF2B5EF4-FFF2-40B4-BE49-F238E27FC236}">
              <a16:creationId xmlns:a16="http://schemas.microsoft.com/office/drawing/2014/main" id="{00000000-0008-0000-1600-000003000000}"/>
            </a:ext>
          </a:extLst>
        </xdr:cNvPr>
        <xdr:cNvSpPr txBox="1"/>
      </xdr:nvSpPr>
      <xdr:spPr>
        <a:xfrm>
          <a:off x="44824" y="15856324"/>
          <a:ext cx="6656294" cy="8247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53340</xdr:colOff>
      <xdr:row>58</xdr:row>
      <xdr:rowOff>15240</xdr:rowOff>
    </xdr:from>
    <xdr:to>
      <xdr:col>17</xdr:col>
      <xdr:colOff>98612</xdr:colOff>
      <xdr:row>86</xdr:row>
      <xdr:rowOff>38100</xdr:rowOff>
    </xdr:to>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53340" y="9616440"/>
          <a:ext cx="11259372" cy="51028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20</xdr:col>
      <xdr:colOff>0</xdr:colOff>
      <xdr:row>10</xdr:row>
      <xdr:rowOff>0</xdr:rowOff>
    </xdr:from>
    <xdr:to>
      <xdr:col>26</xdr:col>
      <xdr:colOff>215152</xdr:colOff>
      <xdr:row>61</xdr:row>
      <xdr:rowOff>129989</xdr:rowOff>
    </xdr:to>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12449735" y="2028265"/>
          <a:ext cx="2691652" cy="64164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0</xdr:colOff>
          <xdr:row>7</xdr:row>
          <xdr:rowOff>0</xdr:rowOff>
        </xdr:to>
        <xdr:sp macro="" textlink="">
          <xdr:nvSpPr>
            <xdr:cNvPr id="88087" name="Drop Down 23" hidden="1">
              <a:extLst>
                <a:ext uri="{63B3BB69-23CF-44E3-9099-C40C66FF867C}">
                  <a14:compatExt spid="_x0000_s88087"/>
                </a:ext>
                <a:ext uri="{FF2B5EF4-FFF2-40B4-BE49-F238E27FC236}">
                  <a16:creationId xmlns:a16="http://schemas.microsoft.com/office/drawing/2014/main" id="{00000000-0008-0000-1800-000017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88089" name="Drop Down 25" hidden="1">
              <a:extLst>
                <a:ext uri="{63B3BB69-23CF-44E3-9099-C40C66FF867C}">
                  <a14:compatExt spid="_x0000_s88089"/>
                </a:ext>
                <a:ext uri="{FF2B5EF4-FFF2-40B4-BE49-F238E27FC236}">
                  <a16:creationId xmlns:a16="http://schemas.microsoft.com/office/drawing/2014/main" id="{00000000-0008-0000-1800-000019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88090" name="Drop Down 26" hidden="1">
              <a:extLst>
                <a:ext uri="{63B3BB69-23CF-44E3-9099-C40C66FF867C}">
                  <a14:compatExt spid="_x0000_s88090"/>
                </a:ext>
                <a:ext uri="{FF2B5EF4-FFF2-40B4-BE49-F238E27FC236}">
                  <a16:creationId xmlns:a16="http://schemas.microsoft.com/office/drawing/2014/main" id="{00000000-0008-0000-1800-00001A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88091" name="Drop Down 27" hidden="1">
              <a:extLst>
                <a:ext uri="{63B3BB69-23CF-44E3-9099-C40C66FF867C}">
                  <a14:compatExt spid="_x0000_s88091"/>
                </a:ext>
                <a:ext uri="{FF2B5EF4-FFF2-40B4-BE49-F238E27FC236}">
                  <a16:creationId xmlns:a16="http://schemas.microsoft.com/office/drawing/2014/main" id="{00000000-0008-0000-1800-00001B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12</xdr:col>
      <xdr:colOff>336176</xdr:colOff>
      <xdr:row>27</xdr:row>
      <xdr:rowOff>67235</xdr:rowOff>
    </xdr:from>
    <xdr:to>
      <xdr:col>17</xdr:col>
      <xdr:colOff>179294</xdr:colOff>
      <xdr:row>51</xdr:row>
      <xdr:rowOff>44823</xdr:rowOff>
    </xdr:to>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9906000" y="5658970"/>
          <a:ext cx="3675529" cy="4818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Draw Requirement:</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To calculate the owner’s draw, the underwriter utilized the principal’s current personal credit report, current personal financial statement and personal income and expense analysis.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principal’s total salary requirement was calculated to be $______M to service personal debt obligations.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Underwriter doubled the monthly payments of the personal debt obligations listed on the CBR/PFS to cover the debt payments,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The following obligation was added to this calculation as the borrower co-signed a loan for their daughter/son/mother etc.</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A lifestyle adjustment was made based on the principal’s Income/Expense worksheet where the principal stated they need $XX for all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calculated owner’s draw has been deducted from the operating cash flow of the subject business.</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 has outside income that will continue of $XXX, therefore only $XXX has been deducted from the subject business.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Only $24M minim draw was deducted from the SBC cash flow.</a:t>
          </a:r>
          <a:br>
            <a:rPr lang="en-US" sz="1100" b="0" i="0" u="none" strike="noStrike">
              <a:solidFill>
                <a:schemeClr val="dk1"/>
              </a:solidFill>
              <a:effectLst/>
              <a:latin typeface="+mn-lt"/>
              <a:ea typeface="+mn-ea"/>
              <a:cs typeface="+mn-cs"/>
            </a:rPr>
          </a:br>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0</xdr:colOff>
      <xdr:row>27</xdr:row>
      <xdr:rowOff>0</xdr:rowOff>
    </xdr:from>
    <xdr:to>
      <xdr:col>16</xdr:col>
      <xdr:colOff>448235</xdr:colOff>
      <xdr:row>50</xdr:row>
      <xdr:rowOff>123264</xdr:rowOff>
    </xdr:to>
    <xdr:sp macro="" textlink="">
      <xdr:nvSpPr>
        <xdr:cNvPr id="2" name="TextBox 1">
          <a:extLst>
            <a:ext uri="{FF2B5EF4-FFF2-40B4-BE49-F238E27FC236}">
              <a16:creationId xmlns:a16="http://schemas.microsoft.com/office/drawing/2014/main" id="{00000000-0008-0000-1B00-000002000000}"/>
            </a:ext>
          </a:extLst>
        </xdr:cNvPr>
        <xdr:cNvSpPr txBox="1"/>
      </xdr:nvSpPr>
      <xdr:spPr>
        <a:xfrm>
          <a:off x="9569824" y="5602941"/>
          <a:ext cx="3675529" cy="4818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Draw Requirement:</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To calculate the owner’s draw, the underwriter utilized the principal’s current personal credit report, current personal financial statement and personal income and expense analysis.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principal’s total salary requirement was calculated to be $______M to service personal debt obligations.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Underwriter doubled the monthly payments of the personal debt obligations listed on the CBR/PFS to cover the debt payments,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The following obligation was added to this calculation as the borrower co-signed a loan for their daughter/son/mother etc.</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A lifestyle adjustment was made based on the principal’s Income/Expense worksheet where the principal stated they need $XX for all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calculated owner’s draw has been deducted from the operating cash flow of the subject business.</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 has outside income that will continue of $XXX, therefore only $XXX has been deducted from the subject business.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Only $24M minim draw was deducted from the SBC cash flow.</a:t>
          </a:r>
          <a:br>
            <a:rPr lang="en-US" sz="1100" b="0" i="0" u="none" strike="noStrike">
              <a:solidFill>
                <a:schemeClr val="dk1"/>
              </a:solidFill>
              <a:effectLst/>
              <a:latin typeface="+mn-lt"/>
              <a:ea typeface="+mn-ea"/>
              <a:cs typeface="+mn-cs"/>
            </a:rPr>
          </a:br>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0</xdr:colOff>
      <xdr:row>29</xdr:row>
      <xdr:rowOff>0</xdr:rowOff>
    </xdr:from>
    <xdr:to>
      <xdr:col>16</xdr:col>
      <xdr:colOff>448235</xdr:colOff>
      <xdr:row>52</xdr:row>
      <xdr:rowOff>145676</xdr:rowOff>
    </xdr:to>
    <xdr:sp macro="" textlink="">
      <xdr:nvSpPr>
        <xdr:cNvPr id="2" name="TextBox 1">
          <a:extLst>
            <a:ext uri="{FF2B5EF4-FFF2-40B4-BE49-F238E27FC236}">
              <a16:creationId xmlns:a16="http://schemas.microsoft.com/office/drawing/2014/main" id="{00000000-0008-0000-1E00-000002000000}"/>
            </a:ext>
          </a:extLst>
        </xdr:cNvPr>
        <xdr:cNvSpPr txBox="1"/>
      </xdr:nvSpPr>
      <xdr:spPr>
        <a:xfrm>
          <a:off x="9569824" y="5995147"/>
          <a:ext cx="3675529" cy="4818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Draw Requirement:</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To calculate the owner’s draw, the underwriter utilized the principal’s current personal credit report, current personal financial statement and personal income and expense analysis.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principal’s total salary requirement was calculated to be $______M to service personal debt obligations.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Underwriter doubled the monthly payments of the personal debt obligations listed on the CBR/PFS to cover the debt payments,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The following obligation was added to this calculation as the borrower co-signed a loan for their daughter/son/mother etc.</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A lifestyle adjustment was made based on the principal’s Income/Expense worksheet where the principal stated they need $XX for all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calculated owner’s draw has been deducted from the operating cash flow of the subject business.</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 has outside income that will continue of $XXX, therefore only $XXX has been deducted from the subject business.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Only $24M minim draw was deducted from the SBC cash flow.</a:t>
          </a:r>
          <a:br>
            <a:rPr lang="en-US" sz="1100" b="0" i="0" u="none" strike="noStrike">
              <a:solidFill>
                <a:schemeClr val="dk1"/>
              </a:solidFill>
              <a:effectLst/>
              <a:latin typeface="+mn-lt"/>
              <a:ea typeface="+mn-ea"/>
              <a:cs typeface="+mn-cs"/>
            </a:rPr>
          </a:br>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0</xdr:colOff>
      <xdr:row>27</xdr:row>
      <xdr:rowOff>0</xdr:rowOff>
    </xdr:from>
    <xdr:to>
      <xdr:col>17</xdr:col>
      <xdr:colOff>448235</xdr:colOff>
      <xdr:row>50</xdr:row>
      <xdr:rowOff>112058</xdr:rowOff>
    </xdr:to>
    <xdr:sp macro="" textlink="">
      <xdr:nvSpPr>
        <xdr:cNvPr id="2" name="TextBox 1">
          <a:extLst>
            <a:ext uri="{FF2B5EF4-FFF2-40B4-BE49-F238E27FC236}">
              <a16:creationId xmlns:a16="http://schemas.microsoft.com/office/drawing/2014/main" id="{00000000-0008-0000-2100-000002000000}"/>
            </a:ext>
          </a:extLst>
        </xdr:cNvPr>
        <xdr:cNvSpPr txBox="1"/>
      </xdr:nvSpPr>
      <xdr:spPr>
        <a:xfrm>
          <a:off x="10275794" y="5602941"/>
          <a:ext cx="3675529" cy="4818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Draw Requirement:</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To calculate the owner’s draw, the underwriter utilized the principal’s current personal credit report, current personal financial statement and personal income and expense analysis.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principal’s total salary requirement was calculated to be $______M to service personal debt obligations.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Underwriter doubled the monthly payments of the personal debt obligations listed on the CBR/PFS to cover the debt payments,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The following obligation was added to this calculation as the borrower co-signed a loan for their daughter/son/mother etc.</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o A lifestyle adjustment was made based on the principal’s Income/Expense worksheet where the principal stated they need $XX for all personal expenses and taxes.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calculated owner’s draw has been deducted from the operating cash flow of the subject business.</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The principal has outside income that will continue of $XXX, therefore only $XXX has been deducted from the subject business.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 Only $24M minim draw was deducted from the SBC cash flow.</a:t>
          </a:r>
          <a:br>
            <a:rPr lang="en-US" sz="1100" b="0" i="0" u="none" strike="noStrike">
              <a:solidFill>
                <a:schemeClr val="dk1"/>
              </a:solidFill>
              <a:effectLst/>
              <a:latin typeface="+mn-lt"/>
              <a:ea typeface="+mn-ea"/>
              <a:cs typeface="+mn-cs"/>
            </a:rPr>
          </a:br>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66</xdr:row>
      <xdr:rowOff>67235</xdr:rowOff>
    </xdr:from>
    <xdr:to>
      <xdr:col>14</xdr:col>
      <xdr:colOff>56028</xdr:colOff>
      <xdr:row>125</xdr:row>
      <xdr:rowOff>114301</xdr:rowOff>
    </xdr:to>
    <xdr:sp macro="" textlink="">
      <xdr:nvSpPr>
        <xdr:cNvPr id="3" name="TextBox 2">
          <a:extLst>
            <a:ext uri="{FF2B5EF4-FFF2-40B4-BE49-F238E27FC236}">
              <a16:creationId xmlns:a16="http://schemas.microsoft.com/office/drawing/2014/main" id="{00000000-0008-0000-2800-000003000000}"/>
            </a:ext>
          </a:extLst>
        </xdr:cNvPr>
        <xdr:cNvSpPr txBox="1"/>
      </xdr:nvSpPr>
      <xdr:spPr>
        <a:xfrm>
          <a:off x="0" y="11799794"/>
          <a:ext cx="8740587" cy="11286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Name –</a:t>
          </a:r>
          <a:r>
            <a:rPr lang="en-US" sz="1100" b="1">
              <a:solidFill>
                <a:srgbClr val="FF0000"/>
              </a:solidFill>
              <a:effectLst/>
              <a:latin typeface="+mn-lt"/>
              <a:ea typeface="+mn-ea"/>
              <a:cs typeface="+mn-cs"/>
            </a:rPr>
            <a:t> </a:t>
          </a:r>
          <a:endParaRPr lang="en-US">
            <a:solidFill>
              <a:srgbClr val="FF0000"/>
            </a:solidFill>
            <a:effectLst/>
          </a:endParaRPr>
        </a:p>
        <a:p>
          <a:r>
            <a:rPr lang="en-US" sz="1100" b="1">
              <a:solidFill>
                <a:schemeClr val="dk1"/>
              </a:solidFill>
              <a:effectLst/>
              <a:latin typeface="+mn-lt"/>
              <a:ea typeface="+mn-ea"/>
              <a:cs typeface="+mn-cs"/>
            </a:rPr>
            <a:t>Guarantor or Non-Guarantor</a:t>
          </a:r>
          <a:endParaRPr lang="en-US">
            <a:effectLst/>
          </a:endParaRPr>
        </a:p>
        <a:p>
          <a:r>
            <a:rPr lang="en-US" sz="1100" b="1">
              <a:solidFill>
                <a:schemeClr val="dk1"/>
              </a:solidFill>
              <a:effectLst/>
              <a:latin typeface="+mn-lt"/>
              <a:ea typeface="+mn-ea"/>
              <a:cs typeface="+mn-cs"/>
            </a:rPr>
            <a:t>Affiliate</a:t>
          </a:r>
          <a:r>
            <a:rPr lang="en-US" sz="1100" b="1" baseline="0">
              <a:solidFill>
                <a:schemeClr val="dk1"/>
              </a:solidFill>
              <a:effectLst/>
              <a:latin typeface="+mn-lt"/>
              <a:ea typeface="+mn-ea"/>
              <a:cs typeface="+mn-cs"/>
            </a:rPr>
            <a:t> or Related Entity </a:t>
          </a:r>
        </a:p>
        <a:p>
          <a:r>
            <a:rPr lang="en-US" sz="1100">
              <a:solidFill>
                <a:schemeClr val="dk1"/>
              </a:solidFill>
              <a:effectLst/>
              <a:latin typeface="+mn-lt"/>
              <a:ea typeface="+mn-ea"/>
              <a:cs typeface="+mn-cs"/>
            </a:rPr>
            <a:t> </a:t>
          </a:r>
          <a:endParaRPr lang="en-US">
            <a:effectLst/>
          </a:endParaRPr>
        </a:p>
        <a:p>
          <a:r>
            <a:rPr lang="en-US" sz="1100">
              <a:solidFill>
                <a:schemeClr val="dk1"/>
              </a:solidFill>
              <a:effectLst/>
              <a:latin typeface="+mn-lt"/>
              <a:ea typeface="+mn-ea"/>
              <a:cs typeface="+mn-cs"/>
            </a:rPr>
            <a:t>(Not) Considered an affiliate due to:</a:t>
          </a:r>
          <a:endParaRPr lang="en-US">
            <a:effectLst/>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Ownership: </a:t>
          </a:r>
          <a:endParaRPr lang="en-US">
            <a:effectLst/>
          </a:endParaRPr>
        </a:p>
        <a:p>
          <a:endParaRPr lang="en-US">
            <a:effectLst/>
          </a:endParaRPr>
        </a:p>
        <a:p>
          <a:r>
            <a:rPr lang="en-US" sz="1100">
              <a:solidFill>
                <a:schemeClr val="dk1"/>
              </a:solidFill>
              <a:effectLst/>
              <a:latin typeface="+mn-lt"/>
              <a:ea typeface="+mn-ea"/>
              <a:cs typeface="+mn-cs"/>
            </a:rPr>
            <a:t>Background:  </a:t>
          </a:r>
          <a:endParaRPr lang="en-US">
            <a:effectLst/>
          </a:endParaRPr>
        </a:p>
        <a:p>
          <a:r>
            <a:rPr lang="en-US" sz="1100">
              <a:solidFill>
                <a:schemeClr val="dk1"/>
              </a:solidFill>
              <a:effectLst/>
              <a:latin typeface="+mn-lt"/>
              <a:ea typeface="+mn-ea"/>
              <a:cs typeface="+mn-cs"/>
            </a:rPr>
            <a:t>Number of Employees:</a:t>
          </a:r>
          <a:endParaRPr lang="en-US">
            <a:effectLst/>
          </a:endParaRPr>
        </a:p>
        <a:p>
          <a:r>
            <a:rPr lang="en-US" sz="1100">
              <a:solidFill>
                <a:schemeClr val="dk1"/>
              </a:solidFill>
              <a:effectLst/>
              <a:latin typeface="+mn-lt"/>
              <a:ea typeface="+mn-ea"/>
              <a:cs typeface="+mn-cs"/>
            </a:rPr>
            <a:t>Primary Industry:	</a:t>
          </a:r>
          <a:endParaRPr lang="en-US">
            <a:effectLst/>
          </a:endParaRPr>
        </a:p>
        <a:p>
          <a:r>
            <a:rPr lang="en-US" sz="1100" b="1">
              <a:solidFill>
                <a:schemeClr val="dk1"/>
              </a:solidFill>
              <a:effectLst/>
              <a:latin typeface="+mn-lt"/>
              <a:ea typeface="+mn-ea"/>
              <a:cs typeface="+mn-cs"/>
            </a:rPr>
            <a:t>Business Report</a:t>
          </a:r>
          <a:endParaRPr lang="en-US">
            <a:effectLst/>
          </a:endParaRPr>
        </a:p>
        <a:p>
          <a:r>
            <a:rPr lang="en-US" sz="1100" b="1">
              <a:solidFill>
                <a:schemeClr val="dk1"/>
              </a:solidFill>
              <a:effectLst/>
              <a:latin typeface="+mn-lt"/>
              <a:ea typeface="+mn-ea"/>
              <a:cs typeface="+mn-cs"/>
            </a:rPr>
            <a:t>Experian – Affiliate Name</a:t>
          </a:r>
          <a:endParaRPr lang="en-US">
            <a:effectLst/>
          </a:endParaRPr>
        </a:p>
        <a:p>
          <a:r>
            <a:rPr lang="en-US" sz="1100">
              <a:solidFill>
                <a:schemeClr val="dk1"/>
              </a:solidFill>
              <a:effectLst/>
              <a:latin typeface="+mn-lt"/>
              <a:ea typeface="+mn-ea"/>
              <a:cs typeface="+mn-cs"/>
            </a:rPr>
            <a:t>Date</a:t>
          </a:r>
          <a:endParaRPr lang="en-US">
            <a:effectLst/>
          </a:endParaRPr>
        </a:p>
        <a:p>
          <a:r>
            <a:rPr lang="en-US" sz="1100">
              <a:solidFill>
                <a:schemeClr val="dk1"/>
              </a:solidFill>
              <a:effectLst/>
              <a:latin typeface="+mn-lt"/>
              <a:ea typeface="+mn-ea"/>
              <a:cs typeface="+mn-cs"/>
            </a:rPr>
            <a:t>Credit Score</a:t>
          </a:r>
          <a:endParaRPr lang="en-US">
            <a:effectLst/>
          </a:endParaRPr>
        </a:p>
        <a:p>
          <a:r>
            <a:rPr lang="en-US" sz="1100">
              <a:solidFill>
                <a:schemeClr val="dk1"/>
              </a:solidFill>
              <a:effectLst/>
              <a:latin typeface="+mn-lt"/>
              <a:ea typeface="+mn-ea"/>
              <a:cs typeface="+mn-cs"/>
            </a:rPr>
            <a:t>Liens</a:t>
          </a:r>
          <a:endParaRPr lang="en-US">
            <a:effectLst/>
          </a:endParaRPr>
        </a:p>
        <a:p>
          <a:r>
            <a:rPr lang="en-US" sz="1100">
              <a:solidFill>
                <a:schemeClr val="dk1"/>
              </a:solidFill>
              <a:effectLst/>
              <a:latin typeface="+mn-lt"/>
              <a:ea typeface="+mn-ea"/>
              <a:cs typeface="+mn-cs"/>
            </a:rPr>
            <a:t># of Accounts</a:t>
          </a:r>
          <a:endParaRPr lang="en-US">
            <a:effectLst/>
          </a:endParaRPr>
        </a:p>
        <a:p>
          <a:r>
            <a:rPr lang="en-US" sz="1100">
              <a:solidFill>
                <a:schemeClr val="dk1"/>
              </a:solidFill>
              <a:effectLst/>
              <a:latin typeface="+mn-lt"/>
              <a:ea typeface="+mn-ea"/>
              <a:cs typeface="+mn-cs"/>
            </a:rPr>
            <a:t>Public Records</a:t>
          </a:r>
          <a:endParaRPr lang="en-US">
            <a:effectLst/>
          </a:endParaRPr>
        </a:p>
        <a:p>
          <a:r>
            <a:rPr lang="en-US" sz="1100">
              <a:solidFill>
                <a:schemeClr val="dk1"/>
              </a:solidFill>
              <a:effectLst/>
              <a:latin typeface="+mn-lt"/>
              <a:ea typeface="+mn-ea"/>
              <a:cs typeface="+mn-cs"/>
            </a:rPr>
            <a:t> </a:t>
          </a:r>
          <a:endParaRPr lang="en-US">
            <a:effectLst/>
          </a:endParaRPr>
        </a:p>
        <a:p>
          <a:endParaRPr lang="en-US" sz="110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63500</xdr:colOff>
      <xdr:row>78</xdr:row>
      <xdr:rowOff>47625</xdr:rowOff>
    </xdr:from>
    <xdr:to>
      <xdr:col>9</xdr:col>
      <xdr:colOff>476250</xdr:colOff>
      <xdr:row>121</xdr:row>
      <xdr:rowOff>111125</xdr:rowOff>
    </xdr:to>
    <xdr:sp macro="" textlink="">
      <xdr:nvSpPr>
        <xdr:cNvPr id="2" name="TextBox 1">
          <a:extLst>
            <a:ext uri="{FF2B5EF4-FFF2-40B4-BE49-F238E27FC236}">
              <a16:creationId xmlns:a16="http://schemas.microsoft.com/office/drawing/2014/main" id="{00000000-0008-0000-2900-000002000000}"/>
            </a:ext>
          </a:extLst>
        </xdr:cNvPr>
        <xdr:cNvSpPr txBox="1"/>
      </xdr:nvSpPr>
      <xdr:spPr>
        <a:xfrm>
          <a:off x="63500" y="16033750"/>
          <a:ext cx="6635750" cy="825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Balance Sheet Comments:  </a:t>
          </a:r>
          <a:endParaRPr lang="en-US">
            <a:effectLst/>
          </a:endParaRPr>
        </a:p>
        <a:p>
          <a:r>
            <a:rPr lang="en-US" sz="1100">
              <a:solidFill>
                <a:schemeClr val="dk1"/>
              </a:solidFill>
              <a:effectLst/>
              <a:latin typeface="+mn-lt"/>
              <a:ea typeface="+mn-ea"/>
              <a:cs typeface="+mn-cs"/>
            </a:rPr>
            <a:t>Have All assets have been financed correctly?</a:t>
          </a:r>
          <a:endParaRPr lang="en-US">
            <a:effectLst/>
          </a:endParaRPr>
        </a:p>
        <a:p>
          <a:r>
            <a:rPr lang="en-US" sz="1100">
              <a:solidFill>
                <a:schemeClr val="dk1"/>
              </a:solidFill>
              <a:effectLst/>
              <a:latin typeface="+mn-lt"/>
              <a:ea typeface="+mn-ea"/>
              <a:cs typeface="+mn-cs"/>
            </a:rPr>
            <a:t>Liquidity and leverage ratios are acceptable.?</a:t>
          </a:r>
        </a:p>
        <a:p>
          <a:r>
            <a:rPr lang="en-US" sz="1100">
              <a:solidFill>
                <a:schemeClr val="dk1"/>
              </a:solidFill>
              <a:effectLst/>
              <a:latin typeface="+mn-lt"/>
              <a:ea typeface="+mn-ea"/>
              <a:cs typeface="+mn-cs"/>
            </a:rPr>
            <a:t>Trends?</a:t>
          </a:r>
        </a:p>
        <a:p>
          <a:r>
            <a:rPr lang="en-US" sz="1100">
              <a:solidFill>
                <a:schemeClr val="dk1"/>
              </a:solidFill>
              <a:effectLst/>
              <a:latin typeface="+mn-lt"/>
              <a:ea typeface="+mn-ea"/>
              <a:cs typeface="+mn-cs"/>
            </a:rPr>
            <a:t>How</a:t>
          </a:r>
          <a:r>
            <a:rPr lang="en-US" sz="1100" baseline="0">
              <a:solidFill>
                <a:schemeClr val="dk1"/>
              </a:solidFill>
              <a:effectLst/>
              <a:latin typeface="+mn-lt"/>
              <a:ea typeface="+mn-ea"/>
              <a:cs typeface="+mn-cs"/>
            </a:rPr>
            <a:t> is loss covered?</a:t>
          </a:r>
        </a:p>
        <a:p>
          <a:endParaRPr lang="en-US">
            <a:effectLst/>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20</xdr:col>
      <xdr:colOff>2802</xdr:colOff>
      <xdr:row>10</xdr:row>
      <xdr:rowOff>134471</xdr:rowOff>
    </xdr:from>
    <xdr:to>
      <xdr:col>25</xdr:col>
      <xdr:colOff>178173</xdr:colOff>
      <xdr:row>79</xdr:row>
      <xdr:rowOff>78442</xdr:rowOff>
    </xdr:to>
    <xdr:sp macro="" textlink="">
      <xdr:nvSpPr>
        <xdr:cNvPr id="2" name="TextBox 1">
          <a:extLst>
            <a:ext uri="{FF2B5EF4-FFF2-40B4-BE49-F238E27FC236}">
              <a16:creationId xmlns:a16="http://schemas.microsoft.com/office/drawing/2014/main" id="{00000000-0008-0000-2A00-000002000000}"/>
            </a:ext>
          </a:extLst>
        </xdr:cNvPr>
        <xdr:cNvSpPr txBox="1"/>
      </xdr:nvSpPr>
      <xdr:spPr>
        <a:xfrm>
          <a:off x="9863978" y="1972236"/>
          <a:ext cx="2349313" cy="98723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2A00-000003000000}"/>
            </a:ext>
          </a:extLst>
        </xdr:cNvPr>
        <xdr:cNvSpPr txBox="1"/>
      </xdr:nvSpPr>
      <xdr:spPr>
        <a:xfrm>
          <a:off x="50800" y="9530080"/>
          <a:ext cx="948690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Debt Service Coverage/Cash Flow Comments:</a:t>
          </a:r>
          <a:endParaRPr lang="en-US">
            <a:effectLst/>
          </a:endParaRPr>
        </a:p>
        <a:p>
          <a:r>
            <a:rPr lang="en-US" sz="1100">
              <a:solidFill>
                <a:schemeClr val="dk1"/>
              </a:solidFill>
              <a:effectLst/>
              <a:latin typeface="+mn-lt"/>
              <a:ea typeface="+mn-ea"/>
              <a:cs typeface="+mn-cs"/>
            </a:rPr>
            <a:t>As this entity’s cash flow covers all of its debt, there is no impact on the SBC’s cash flow.  </a:t>
          </a:r>
          <a:endParaRPr lang="en-US">
            <a:effectLst/>
          </a:endParaRPr>
        </a:p>
        <a:p>
          <a:r>
            <a:rPr lang="en-US" sz="1100">
              <a:solidFill>
                <a:schemeClr val="dk1"/>
              </a:solidFill>
              <a:effectLst/>
              <a:latin typeface="+mn-lt"/>
              <a:ea typeface="+mn-ea"/>
              <a:cs typeface="+mn-cs"/>
            </a:rPr>
            <a:t>As there is a negative cash flow, that amount has been included in XXX’s calculated draw.  </a:t>
          </a:r>
          <a:endParaRPr lang="en-US">
            <a:effectLst/>
          </a:endParaRPr>
        </a:p>
        <a:p>
          <a:r>
            <a:rPr lang="en-US" sz="1100">
              <a:solidFill>
                <a:schemeClr val="dk1"/>
              </a:solidFill>
              <a:effectLst/>
              <a:latin typeface="+mn-lt"/>
              <a:ea typeface="+mn-ea"/>
              <a:cs typeface="+mn-cs"/>
            </a:rPr>
            <a:t>$XX has been deducted from this entity to cover XX’s draw.  </a:t>
          </a:r>
          <a:endParaRPr lang="en-US">
            <a:effectLst/>
          </a:endParaRPr>
        </a:p>
        <a:p>
          <a:r>
            <a:rPr lang="en-US" sz="1100">
              <a:solidFill>
                <a:schemeClr val="dk1"/>
              </a:solidFill>
              <a:effectLst/>
              <a:latin typeface="+mn-lt"/>
              <a:ea typeface="+mn-ea"/>
              <a:cs typeface="+mn-cs"/>
            </a:rPr>
            <a:t>If this entity is in the same industry, should compare gross and net profit margins to projections if applicable.</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210947" name="Drop Down 3" hidden="1">
              <a:extLst>
                <a:ext uri="{63B3BB69-23CF-44E3-9099-C40C66FF867C}">
                  <a14:compatExt spid="_x0000_s210947"/>
                </a:ext>
                <a:ext uri="{FF2B5EF4-FFF2-40B4-BE49-F238E27FC236}">
                  <a16:creationId xmlns:a16="http://schemas.microsoft.com/office/drawing/2014/main" id="{00000000-0008-0000-2B00-0000033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210948" name="Drop Down 4" hidden="1">
              <a:extLst>
                <a:ext uri="{63B3BB69-23CF-44E3-9099-C40C66FF867C}">
                  <a14:compatExt spid="_x0000_s210948"/>
                </a:ext>
                <a:ext uri="{FF2B5EF4-FFF2-40B4-BE49-F238E27FC236}">
                  <a16:creationId xmlns:a16="http://schemas.microsoft.com/office/drawing/2014/main" id="{00000000-0008-0000-2B00-0000043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210949" name="Drop Down 5" hidden="1">
              <a:extLst>
                <a:ext uri="{63B3BB69-23CF-44E3-9099-C40C66FF867C}">
                  <a14:compatExt spid="_x0000_s210949"/>
                </a:ext>
                <a:ext uri="{FF2B5EF4-FFF2-40B4-BE49-F238E27FC236}">
                  <a16:creationId xmlns:a16="http://schemas.microsoft.com/office/drawing/2014/main" id="{00000000-0008-0000-2B00-0000053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210950" name="Drop Down 6" hidden="1">
              <a:extLst>
                <a:ext uri="{63B3BB69-23CF-44E3-9099-C40C66FF867C}">
                  <a14:compatExt spid="_x0000_s210950"/>
                </a:ext>
                <a:ext uri="{FF2B5EF4-FFF2-40B4-BE49-F238E27FC236}">
                  <a16:creationId xmlns:a16="http://schemas.microsoft.com/office/drawing/2014/main" id="{00000000-0008-0000-2B00-0000063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1</xdr:col>
      <xdr:colOff>0</xdr:colOff>
      <xdr:row>66</xdr:row>
      <xdr:rowOff>33617</xdr:rowOff>
    </xdr:from>
    <xdr:to>
      <xdr:col>14</xdr:col>
      <xdr:colOff>56028</xdr:colOff>
      <xdr:row>125</xdr:row>
      <xdr:rowOff>114300</xdr:rowOff>
    </xdr:to>
    <xdr:sp macro="" textlink="">
      <xdr:nvSpPr>
        <xdr:cNvPr id="3" name="TextBox 2">
          <a:extLst>
            <a:ext uri="{FF2B5EF4-FFF2-40B4-BE49-F238E27FC236}">
              <a16:creationId xmlns:a16="http://schemas.microsoft.com/office/drawing/2014/main" id="{00000000-0008-0000-2B00-000003000000}"/>
            </a:ext>
          </a:extLst>
        </xdr:cNvPr>
        <xdr:cNvSpPr txBox="1"/>
      </xdr:nvSpPr>
      <xdr:spPr>
        <a:xfrm>
          <a:off x="0" y="11766176"/>
          <a:ext cx="8740587" cy="113201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79375</xdr:colOff>
      <xdr:row>78</xdr:row>
      <xdr:rowOff>47625</xdr:rowOff>
    </xdr:from>
    <xdr:to>
      <xdr:col>9</xdr:col>
      <xdr:colOff>444500</xdr:colOff>
      <xdr:row>121</xdr:row>
      <xdr:rowOff>79375</xdr:rowOff>
    </xdr:to>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79375" y="16033750"/>
          <a:ext cx="6588125" cy="8223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2D00-000002000000}"/>
            </a:ext>
          </a:extLst>
        </xdr:cNvPr>
        <xdr:cNvSpPr txBox="1"/>
      </xdr:nvSpPr>
      <xdr:spPr>
        <a:xfrm>
          <a:off x="10467191" y="1925171"/>
          <a:ext cx="3872752" cy="7270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63500</xdr:colOff>
      <xdr:row>58</xdr:row>
      <xdr:rowOff>25400</xdr:rowOff>
    </xdr:from>
    <xdr:to>
      <xdr:col>17</xdr:col>
      <xdr:colOff>101600</xdr:colOff>
      <xdr:row>77</xdr:row>
      <xdr:rowOff>114300</xdr:rowOff>
    </xdr:to>
    <xdr:sp macro="" textlink="">
      <xdr:nvSpPr>
        <xdr:cNvPr id="3" name="TextBox 2">
          <a:extLst>
            <a:ext uri="{FF2B5EF4-FFF2-40B4-BE49-F238E27FC236}">
              <a16:creationId xmlns:a16="http://schemas.microsoft.com/office/drawing/2014/main" id="{00000000-0008-0000-2D00-000003000000}"/>
            </a:ext>
          </a:extLst>
        </xdr:cNvPr>
        <xdr:cNvSpPr txBox="1"/>
      </xdr:nvSpPr>
      <xdr:spPr>
        <a:xfrm>
          <a:off x="63500" y="10198100"/>
          <a:ext cx="9499600" cy="3467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212995" name="Drop Down 3" hidden="1">
              <a:extLst>
                <a:ext uri="{63B3BB69-23CF-44E3-9099-C40C66FF867C}">
                  <a14:compatExt spid="_x0000_s212995"/>
                </a:ext>
                <a:ext uri="{FF2B5EF4-FFF2-40B4-BE49-F238E27FC236}">
                  <a16:creationId xmlns:a16="http://schemas.microsoft.com/office/drawing/2014/main" id="{00000000-0008-0000-2E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212996" name="Drop Down 4" hidden="1">
              <a:extLst>
                <a:ext uri="{63B3BB69-23CF-44E3-9099-C40C66FF867C}">
                  <a14:compatExt spid="_x0000_s212996"/>
                </a:ext>
                <a:ext uri="{FF2B5EF4-FFF2-40B4-BE49-F238E27FC236}">
                  <a16:creationId xmlns:a16="http://schemas.microsoft.com/office/drawing/2014/main" id="{00000000-0008-0000-2E00-000004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212997" name="Drop Down 5" hidden="1">
              <a:extLst>
                <a:ext uri="{63B3BB69-23CF-44E3-9099-C40C66FF867C}">
                  <a14:compatExt spid="_x0000_s212997"/>
                </a:ext>
                <a:ext uri="{FF2B5EF4-FFF2-40B4-BE49-F238E27FC236}">
                  <a16:creationId xmlns:a16="http://schemas.microsoft.com/office/drawing/2014/main" id="{00000000-0008-0000-2E00-000005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212998" name="Drop Down 6" hidden="1">
              <a:extLst>
                <a:ext uri="{63B3BB69-23CF-44E3-9099-C40C66FF867C}">
                  <a14:compatExt spid="_x0000_s212998"/>
                </a:ext>
                <a:ext uri="{FF2B5EF4-FFF2-40B4-BE49-F238E27FC236}">
                  <a16:creationId xmlns:a16="http://schemas.microsoft.com/office/drawing/2014/main" id="{00000000-0008-0000-2E00-000006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1</xdr:col>
      <xdr:colOff>0</xdr:colOff>
      <xdr:row>66</xdr:row>
      <xdr:rowOff>78442</xdr:rowOff>
    </xdr:from>
    <xdr:to>
      <xdr:col>14</xdr:col>
      <xdr:colOff>78441</xdr:colOff>
      <xdr:row>125</xdr:row>
      <xdr:rowOff>114300</xdr:rowOff>
    </xdr:to>
    <xdr:sp macro="" textlink="">
      <xdr:nvSpPr>
        <xdr:cNvPr id="3" name="TextBox 2">
          <a:extLst>
            <a:ext uri="{FF2B5EF4-FFF2-40B4-BE49-F238E27FC236}">
              <a16:creationId xmlns:a16="http://schemas.microsoft.com/office/drawing/2014/main" id="{00000000-0008-0000-2E00-000003000000}"/>
            </a:ext>
          </a:extLst>
        </xdr:cNvPr>
        <xdr:cNvSpPr txBox="1"/>
      </xdr:nvSpPr>
      <xdr:spPr>
        <a:xfrm>
          <a:off x="0" y="11811001"/>
          <a:ext cx="8763000" cy="112753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95250</xdr:colOff>
      <xdr:row>78</xdr:row>
      <xdr:rowOff>47625</xdr:rowOff>
    </xdr:from>
    <xdr:to>
      <xdr:col>9</xdr:col>
      <xdr:colOff>444500</xdr:colOff>
      <xdr:row>121</xdr:row>
      <xdr:rowOff>127000</xdr:rowOff>
    </xdr:to>
    <xdr:sp macro="" textlink="">
      <xdr:nvSpPr>
        <xdr:cNvPr id="2" name="TextBox 1">
          <a:extLst>
            <a:ext uri="{FF2B5EF4-FFF2-40B4-BE49-F238E27FC236}">
              <a16:creationId xmlns:a16="http://schemas.microsoft.com/office/drawing/2014/main" id="{00000000-0008-0000-2F00-000002000000}"/>
            </a:ext>
          </a:extLst>
        </xdr:cNvPr>
        <xdr:cNvSpPr txBox="1"/>
      </xdr:nvSpPr>
      <xdr:spPr>
        <a:xfrm>
          <a:off x="95250" y="16033750"/>
          <a:ext cx="6572250" cy="8270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3000-000002000000}"/>
            </a:ext>
          </a:extLst>
        </xdr:cNvPr>
        <xdr:cNvSpPr txBox="1"/>
      </xdr:nvSpPr>
      <xdr:spPr>
        <a:xfrm>
          <a:off x="10467191" y="1925171"/>
          <a:ext cx="3872752" cy="7270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3000-000003000000}"/>
            </a:ext>
          </a:extLst>
        </xdr:cNvPr>
        <xdr:cNvSpPr txBox="1"/>
      </xdr:nvSpPr>
      <xdr:spPr>
        <a:xfrm>
          <a:off x="50800" y="10101580"/>
          <a:ext cx="948690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214019" name="Drop Down 3" hidden="1">
              <a:extLst>
                <a:ext uri="{63B3BB69-23CF-44E3-9099-C40C66FF867C}">
                  <a14:compatExt spid="_x0000_s214019"/>
                </a:ext>
                <a:ext uri="{FF2B5EF4-FFF2-40B4-BE49-F238E27FC236}">
                  <a16:creationId xmlns:a16="http://schemas.microsoft.com/office/drawing/2014/main" id="{00000000-0008-0000-3100-000003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214020" name="Drop Down 4" hidden="1">
              <a:extLst>
                <a:ext uri="{63B3BB69-23CF-44E3-9099-C40C66FF867C}">
                  <a14:compatExt spid="_x0000_s214020"/>
                </a:ext>
                <a:ext uri="{FF2B5EF4-FFF2-40B4-BE49-F238E27FC236}">
                  <a16:creationId xmlns:a16="http://schemas.microsoft.com/office/drawing/2014/main" id="{00000000-0008-0000-3100-000004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214021" name="Drop Down 5" hidden="1">
              <a:extLst>
                <a:ext uri="{63B3BB69-23CF-44E3-9099-C40C66FF867C}">
                  <a14:compatExt spid="_x0000_s214021"/>
                </a:ext>
                <a:ext uri="{FF2B5EF4-FFF2-40B4-BE49-F238E27FC236}">
                  <a16:creationId xmlns:a16="http://schemas.microsoft.com/office/drawing/2014/main" id="{00000000-0008-0000-3100-000005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214022" name="Drop Down 6" hidden="1">
              <a:extLst>
                <a:ext uri="{63B3BB69-23CF-44E3-9099-C40C66FF867C}">
                  <a14:compatExt spid="_x0000_s214022"/>
                </a:ext>
                <a:ext uri="{FF2B5EF4-FFF2-40B4-BE49-F238E27FC236}">
                  <a16:creationId xmlns:a16="http://schemas.microsoft.com/office/drawing/2014/main" id="{00000000-0008-0000-3100-000006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xdr:col>
      <xdr:colOff>0</xdr:colOff>
      <xdr:row>66</xdr:row>
      <xdr:rowOff>89648</xdr:rowOff>
    </xdr:from>
    <xdr:to>
      <xdr:col>14</xdr:col>
      <xdr:colOff>67235</xdr:colOff>
      <xdr:row>125</xdr:row>
      <xdr:rowOff>114300</xdr:rowOff>
    </xdr:to>
    <xdr:sp macro="" textlink="">
      <xdr:nvSpPr>
        <xdr:cNvPr id="3" name="TextBox 2">
          <a:extLst>
            <a:ext uri="{FF2B5EF4-FFF2-40B4-BE49-F238E27FC236}">
              <a16:creationId xmlns:a16="http://schemas.microsoft.com/office/drawing/2014/main" id="{00000000-0008-0000-3100-000003000000}"/>
            </a:ext>
          </a:extLst>
        </xdr:cNvPr>
        <xdr:cNvSpPr txBox="1"/>
      </xdr:nvSpPr>
      <xdr:spPr>
        <a:xfrm>
          <a:off x="0" y="11822207"/>
          <a:ext cx="8751794" cy="11264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95250</xdr:colOff>
      <xdr:row>78</xdr:row>
      <xdr:rowOff>47625</xdr:rowOff>
    </xdr:from>
    <xdr:to>
      <xdr:col>9</xdr:col>
      <xdr:colOff>412750</xdr:colOff>
      <xdr:row>121</xdr:row>
      <xdr:rowOff>111125</xdr:rowOff>
    </xdr:to>
    <xdr:sp macro="" textlink="">
      <xdr:nvSpPr>
        <xdr:cNvPr id="2" name="TextBox 1">
          <a:extLst>
            <a:ext uri="{FF2B5EF4-FFF2-40B4-BE49-F238E27FC236}">
              <a16:creationId xmlns:a16="http://schemas.microsoft.com/office/drawing/2014/main" id="{00000000-0008-0000-3200-000002000000}"/>
            </a:ext>
          </a:extLst>
        </xdr:cNvPr>
        <xdr:cNvSpPr txBox="1"/>
      </xdr:nvSpPr>
      <xdr:spPr>
        <a:xfrm>
          <a:off x="95250" y="16033750"/>
          <a:ext cx="6540500" cy="825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3300-000002000000}"/>
            </a:ext>
          </a:extLst>
        </xdr:cNvPr>
        <xdr:cNvSpPr txBox="1"/>
      </xdr:nvSpPr>
      <xdr:spPr>
        <a:xfrm>
          <a:off x="10467191" y="1925171"/>
          <a:ext cx="3872752" cy="7270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3300-000003000000}"/>
            </a:ext>
          </a:extLst>
        </xdr:cNvPr>
        <xdr:cNvSpPr txBox="1"/>
      </xdr:nvSpPr>
      <xdr:spPr>
        <a:xfrm>
          <a:off x="50800" y="10101580"/>
          <a:ext cx="948690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215043" name="Drop Down 3" hidden="1">
              <a:extLst>
                <a:ext uri="{63B3BB69-23CF-44E3-9099-C40C66FF867C}">
                  <a14:compatExt spid="_x0000_s215043"/>
                </a:ext>
                <a:ext uri="{FF2B5EF4-FFF2-40B4-BE49-F238E27FC236}">
                  <a16:creationId xmlns:a16="http://schemas.microsoft.com/office/drawing/2014/main" id="{00000000-0008-0000-3400-0000034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215044" name="Drop Down 4" hidden="1">
              <a:extLst>
                <a:ext uri="{63B3BB69-23CF-44E3-9099-C40C66FF867C}">
                  <a14:compatExt spid="_x0000_s215044"/>
                </a:ext>
                <a:ext uri="{FF2B5EF4-FFF2-40B4-BE49-F238E27FC236}">
                  <a16:creationId xmlns:a16="http://schemas.microsoft.com/office/drawing/2014/main" id="{00000000-0008-0000-3400-0000044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215045" name="Drop Down 5" hidden="1">
              <a:extLst>
                <a:ext uri="{63B3BB69-23CF-44E3-9099-C40C66FF867C}">
                  <a14:compatExt spid="_x0000_s215045"/>
                </a:ext>
                <a:ext uri="{FF2B5EF4-FFF2-40B4-BE49-F238E27FC236}">
                  <a16:creationId xmlns:a16="http://schemas.microsoft.com/office/drawing/2014/main" id="{00000000-0008-0000-3400-0000054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215046" name="Drop Down 6" hidden="1">
              <a:extLst>
                <a:ext uri="{63B3BB69-23CF-44E3-9099-C40C66FF867C}">
                  <a14:compatExt spid="_x0000_s215046"/>
                </a:ext>
                <a:ext uri="{FF2B5EF4-FFF2-40B4-BE49-F238E27FC236}">
                  <a16:creationId xmlns:a16="http://schemas.microsoft.com/office/drawing/2014/main" id="{00000000-0008-0000-3400-0000064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3" name="TextBox 2">
          <a:extLst>
            <a:ext uri="{FF2B5EF4-FFF2-40B4-BE49-F238E27FC236}">
              <a16:creationId xmlns:a16="http://schemas.microsoft.com/office/drawing/2014/main" id="{00000000-0008-0000-3400-000003000000}"/>
            </a:ext>
          </a:extLst>
        </xdr:cNvPr>
        <xdr:cNvSpPr txBox="1"/>
      </xdr:nvSpPr>
      <xdr:spPr>
        <a:xfrm>
          <a:off x="0" y="11844618"/>
          <a:ext cx="8740587" cy="112417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10467191" y="1925171"/>
          <a:ext cx="3872752" cy="7270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3600-000003000000}"/>
            </a:ext>
          </a:extLst>
        </xdr:cNvPr>
        <xdr:cNvSpPr txBox="1"/>
      </xdr:nvSpPr>
      <xdr:spPr>
        <a:xfrm>
          <a:off x="50800" y="10101580"/>
          <a:ext cx="948690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216067" name="Drop Down 3" hidden="1">
              <a:extLst>
                <a:ext uri="{63B3BB69-23CF-44E3-9099-C40C66FF867C}">
                  <a14:compatExt spid="_x0000_s216067"/>
                </a:ext>
                <a:ext uri="{FF2B5EF4-FFF2-40B4-BE49-F238E27FC236}">
                  <a16:creationId xmlns:a16="http://schemas.microsoft.com/office/drawing/2014/main" id="{00000000-0008-0000-3700-000003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216068" name="Drop Down 4" hidden="1">
              <a:extLst>
                <a:ext uri="{63B3BB69-23CF-44E3-9099-C40C66FF867C}">
                  <a14:compatExt spid="_x0000_s216068"/>
                </a:ext>
                <a:ext uri="{FF2B5EF4-FFF2-40B4-BE49-F238E27FC236}">
                  <a16:creationId xmlns:a16="http://schemas.microsoft.com/office/drawing/2014/main" id="{00000000-0008-0000-3700-000004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216069" name="Drop Down 5" hidden="1">
              <a:extLst>
                <a:ext uri="{63B3BB69-23CF-44E3-9099-C40C66FF867C}">
                  <a14:compatExt spid="_x0000_s216069"/>
                </a:ext>
                <a:ext uri="{FF2B5EF4-FFF2-40B4-BE49-F238E27FC236}">
                  <a16:creationId xmlns:a16="http://schemas.microsoft.com/office/drawing/2014/main" id="{00000000-0008-0000-37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216070" name="Drop Down 6" hidden="1">
              <a:extLst>
                <a:ext uri="{63B3BB69-23CF-44E3-9099-C40C66FF867C}">
                  <a14:compatExt spid="_x0000_s216070"/>
                </a:ext>
                <a:ext uri="{FF2B5EF4-FFF2-40B4-BE49-F238E27FC236}">
                  <a16:creationId xmlns:a16="http://schemas.microsoft.com/office/drawing/2014/main" id="{00000000-0008-0000-3700-000006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3700-000002000000}"/>
            </a:ext>
          </a:extLst>
        </xdr:cNvPr>
        <xdr:cNvSpPr txBox="1"/>
      </xdr:nvSpPr>
      <xdr:spPr>
        <a:xfrm>
          <a:off x="381000" y="11723034"/>
          <a:ext cx="8714253" cy="112417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3900-000002000000}"/>
            </a:ext>
          </a:extLst>
        </xdr:cNvPr>
        <xdr:cNvSpPr txBox="1"/>
      </xdr:nvSpPr>
      <xdr:spPr>
        <a:xfrm>
          <a:off x="9907121" y="1953746"/>
          <a:ext cx="2367802" cy="51423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3900-000003000000}"/>
            </a:ext>
          </a:extLst>
        </xdr:cNvPr>
        <xdr:cNvSpPr txBox="1"/>
      </xdr:nvSpPr>
      <xdr:spPr>
        <a:xfrm>
          <a:off x="50800" y="7508875"/>
          <a:ext cx="9467850" cy="370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32833" name="Drop Down 1" hidden="1">
              <a:extLst>
                <a:ext uri="{63B3BB69-23CF-44E3-9099-C40C66FF867C}">
                  <a14:compatExt spid="_x0000_s632833"/>
                </a:ext>
                <a:ext uri="{FF2B5EF4-FFF2-40B4-BE49-F238E27FC236}">
                  <a16:creationId xmlns:a16="http://schemas.microsoft.com/office/drawing/2014/main" id="{00000000-0008-0000-3A00-000001A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32834" name="Drop Down 2" hidden="1">
              <a:extLst>
                <a:ext uri="{63B3BB69-23CF-44E3-9099-C40C66FF867C}">
                  <a14:compatExt spid="_x0000_s632834"/>
                </a:ext>
                <a:ext uri="{FF2B5EF4-FFF2-40B4-BE49-F238E27FC236}">
                  <a16:creationId xmlns:a16="http://schemas.microsoft.com/office/drawing/2014/main" id="{00000000-0008-0000-3A00-000002A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32835" name="Drop Down 3" hidden="1">
              <a:extLst>
                <a:ext uri="{63B3BB69-23CF-44E3-9099-C40C66FF867C}">
                  <a14:compatExt spid="_x0000_s632835"/>
                </a:ext>
                <a:ext uri="{FF2B5EF4-FFF2-40B4-BE49-F238E27FC236}">
                  <a16:creationId xmlns:a16="http://schemas.microsoft.com/office/drawing/2014/main" id="{00000000-0008-0000-3A00-000003A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32836" name="Drop Down 4" hidden="1">
              <a:extLst>
                <a:ext uri="{63B3BB69-23CF-44E3-9099-C40C66FF867C}">
                  <a14:compatExt spid="_x0000_s632836"/>
                </a:ext>
                <a:ext uri="{FF2B5EF4-FFF2-40B4-BE49-F238E27FC236}">
                  <a16:creationId xmlns:a16="http://schemas.microsoft.com/office/drawing/2014/main" id="{00000000-0008-0000-3A00-000004A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3A00-000002000000}"/>
            </a:ext>
          </a:extLst>
        </xdr:cNvPr>
        <xdr:cNvSpPr txBox="1"/>
      </xdr:nvSpPr>
      <xdr:spPr>
        <a:xfrm>
          <a:off x="381000" y="11723034"/>
          <a:ext cx="8714253" cy="112417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3C00-000002000000}"/>
            </a:ext>
          </a:extLst>
        </xdr:cNvPr>
        <xdr:cNvSpPr txBox="1"/>
      </xdr:nvSpPr>
      <xdr:spPr>
        <a:xfrm>
          <a:off x="9907121" y="1953746"/>
          <a:ext cx="2367802" cy="51423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3C00-000003000000}"/>
            </a:ext>
          </a:extLst>
        </xdr:cNvPr>
        <xdr:cNvSpPr txBox="1"/>
      </xdr:nvSpPr>
      <xdr:spPr>
        <a:xfrm>
          <a:off x="50800" y="7508875"/>
          <a:ext cx="9467850" cy="370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34881" name="Drop Down 1" hidden="1">
              <a:extLst>
                <a:ext uri="{63B3BB69-23CF-44E3-9099-C40C66FF867C}">
                  <a14:compatExt spid="_x0000_s634881"/>
                </a:ext>
                <a:ext uri="{FF2B5EF4-FFF2-40B4-BE49-F238E27FC236}">
                  <a16:creationId xmlns:a16="http://schemas.microsoft.com/office/drawing/2014/main" id="{00000000-0008-0000-3D00-000001B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34882" name="Drop Down 2" hidden="1">
              <a:extLst>
                <a:ext uri="{63B3BB69-23CF-44E3-9099-C40C66FF867C}">
                  <a14:compatExt spid="_x0000_s634882"/>
                </a:ext>
                <a:ext uri="{FF2B5EF4-FFF2-40B4-BE49-F238E27FC236}">
                  <a16:creationId xmlns:a16="http://schemas.microsoft.com/office/drawing/2014/main" id="{00000000-0008-0000-3D00-000002B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34883" name="Drop Down 3" hidden="1">
              <a:extLst>
                <a:ext uri="{63B3BB69-23CF-44E3-9099-C40C66FF867C}">
                  <a14:compatExt spid="_x0000_s634883"/>
                </a:ext>
                <a:ext uri="{FF2B5EF4-FFF2-40B4-BE49-F238E27FC236}">
                  <a16:creationId xmlns:a16="http://schemas.microsoft.com/office/drawing/2014/main" id="{00000000-0008-0000-3D00-000003B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34884" name="Drop Down 4" hidden="1">
              <a:extLst>
                <a:ext uri="{63B3BB69-23CF-44E3-9099-C40C66FF867C}">
                  <a14:compatExt spid="_x0000_s634884"/>
                </a:ext>
                <a:ext uri="{FF2B5EF4-FFF2-40B4-BE49-F238E27FC236}">
                  <a16:creationId xmlns:a16="http://schemas.microsoft.com/office/drawing/2014/main" id="{00000000-0008-0000-3D00-000004B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3D00-000002000000}"/>
            </a:ext>
          </a:extLst>
        </xdr:cNvPr>
        <xdr:cNvSpPr txBox="1"/>
      </xdr:nvSpPr>
      <xdr:spPr>
        <a:xfrm>
          <a:off x="381000" y="11723034"/>
          <a:ext cx="8714253" cy="112417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3F00-000002000000}"/>
            </a:ext>
          </a:extLst>
        </xdr:cNvPr>
        <xdr:cNvSpPr txBox="1"/>
      </xdr:nvSpPr>
      <xdr:spPr>
        <a:xfrm>
          <a:off x="9907121" y="1953746"/>
          <a:ext cx="2367802" cy="51423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3F00-000003000000}"/>
            </a:ext>
          </a:extLst>
        </xdr:cNvPr>
        <xdr:cNvSpPr txBox="1"/>
      </xdr:nvSpPr>
      <xdr:spPr>
        <a:xfrm>
          <a:off x="50800" y="7508875"/>
          <a:ext cx="9467850" cy="370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37953" name="Drop Down 1" hidden="1">
              <a:extLst>
                <a:ext uri="{63B3BB69-23CF-44E3-9099-C40C66FF867C}">
                  <a14:compatExt spid="_x0000_s637953"/>
                </a:ext>
                <a:ext uri="{FF2B5EF4-FFF2-40B4-BE49-F238E27FC236}">
                  <a16:creationId xmlns:a16="http://schemas.microsoft.com/office/drawing/2014/main" id="{00000000-0008-0000-4000-000001BC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37954" name="Drop Down 2" hidden="1">
              <a:extLst>
                <a:ext uri="{63B3BB69-23CF-44E3-9099-C40C66FF867C}">
                  <a14:compatExt spid="_x0000_s637954"/>
                </a:ext>
                <a:ext uri="{FF2B5EF4-FFF2-40B4-BE49-F238E27FC236}">
                  <a16:creationId xmlns:a16="http://schemas.microsoft.com/office/drawing/2014/main" id="{00000000-0008-0000-4000-000002BC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37955" name="Drop Down 3" hidden="1">
              <a:extLst>
                <a:ext uri="{63B3BB69-23CF-44E3-9099-C40C66FF867C}">
                  <a14:compatExt spid="_x0000_s637955"/>
                </a:ext>
                <a:ext uri="{FF2B5EF4-FFF2-40B4-BE49-F238E27FC236}">
                  <a16:creationId xmlns:a16="http://schemas.microsoft.com/office/drawing/2014/main" id="{00000000-0008-0000-4000-000003BC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37956" name="Drop Down 4" hidden="1">
              <a:extLst>
                <a:ext uri="{63B3BB69-23CF-44E3-9099-C40C66FF867C}">
                  <a14:compatExt spid="_x0000_s637956"/>
                </a:ext>
                <a:ext uri="{FF2B5EF4-FFF2-40B4-BE49-F238E27FC236}">
                  <a16:creationId xmlns:a16="http://schemas.microsoft.com/office/drawing/2014/main" id="{00000000-0008-0000-4000-000004BC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4000-000002000000}"/>
            </a:ext>
          </a:extLst>
        </xdr:cNvPr>
        <xdr:cNvSpPr txBox="1"/>
      </xdr:nvSpPr>
      <xdr:spPr>
        <a:xfrm>
          <a:off x="381000" y="11723034"/>
          <a:ext cx="8714253" cy="112417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4200-000002000000}"/>
            </a:ext>
          </a:extLst>
        </xdr:cNvPr>
        <xdr:cNvSpPr txBox="1"/>
      </xdr:nvSpPr>
      <xdr:spPr>
        <a:xfrm>
          <a:off x="9907121" y="1953746"/>
          <a:ext cx="2367802" cy="51423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4200-000003000000}"/>
            </a:ext>
          </a:extLst>
        </xdr:cNvPr>
        <xdr:cNvSpPr txBox="1"/>
      </xdr:nvSpPr>
      <xdr:spPr>
        <a:xfrm>
          <a:off x="50800" y="7508875"/>
          <a:ext cx="9467850" cy="370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41025" name="Drop Down 1" hidden="1">
              <a:extLst>
                <a:ext uri="{63B3BB69-23CF-44E3-9099-C40C66FF867C}">
                  <a14:compatExt spid="_x0000_s641025"/>
                </a:ext>
                <a:ext uri="{FF2B5EF4-FFF2-40B4-BE49-F238E27FC236}">
                  <a16:creationId xmlns:a16="http://schemas.microsoft.com/office/drawing/2014/main" id="{00000000-0008-0000-4300-000001C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41026" name="Drop Down 2" hidden="1">
              <a:extLst>
                <a:ext uri="{63B3BB69-23CF-44E3-9099-C40C66FF867C}">
                  <a14:compatExt spid="_x0000_s641026"/>
                </a:ext>
                <a:ext uri="{FF2B5EF4-FFF2-40B4-BE49-F238E27FC236}">
                  <a16:creationId xmlns:a16="http://schemas.microsoft.com/office/drawing/2014/main" id="{00000000-0008-0000-4300-000002C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41027" name="Drop Down 3" hidden="1">
              <a:extLst>
                <a:ext uri="{63B3BB69-23CF-44E3-9099-C40C66FF867C}">
                  <a14:compatExt spid="_x0000_s641027"/>
                </a:ext>
                <a:ext uri="{FF2B5EF4-FFF2-40B4-BE49-F238E27FC236}">
                  <a16:creationId xmlns:a16="http://schemas.microsoft.com/office/drawing/2014/main" id="{00000000-0008-0000-4300-000003C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41028" name="Drop Down 4" hidden="1">
              <a:extLst>
                <a:ext uri="{63B3BB69-23CF-44E3-9099-C40C66FF867C}">
                  <a14:compatExt spid="_x0000_s641028"/>
                </a:ext>
                <a:ext uri="{FF2B5EF4-FFF2-40B4-BE49-F238E27FC236}">
                  <a16:creationId xmlns:a16="http://schemas.microsoft.com/office/drawing/2014/main" id="{00000000-0008-0000-4300-000004C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4300-000002000000}"/>
            </a:ext>
          </a:extLst>
        </xdr:cNvPr>
        <xdr:cNvSpPr txBox="1"/>
      </xdr:nvSpPr>
      <xdr:spPr>
        <a:xfrm>
          <a:off x="381000" y="11723034"/>
          <a:ext cx="8714253" cy="112417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4500-000002000000}"/>
            </a:ext>
          </a:extLst>
        </xdr:cNvPr>
        <xdr:cNvSpPr txBox="1"/>
      </xdr:nvSpPr>
      <xdr:spPr>
        <a:xfrm>
          <a:off x="9907121" y="1953746"/>
          <a:ext cx="2367802" cy="51423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4500-000003000000}"/>
            </a:ext>
          </a:extLst>
        </xdr:cNvPr>
        <xdr:cNvSpPr txBox="1"/>
      </xdr:nvSpPr>
      <xdr:spPr>
        <a:xfrm>
          <a:off x="50800" y="7508875"/>
          <a:ext cx="9467850" cy="370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44097" name="Drop Down 1" hidden="1">
              <a:extLst>
                <a:ext uri="{63B3BB69-23CF-44E3-9099-C40C66FF867C}">
                  <a14:compatExt spid="_x0000_s644097"/>
                </a:ext>
                <a:ext uri="{FF2B5EF4-FFF2-40B4-BE49-F238E27FC236}">
                  <a16:creationId xmlns:a16="http://schemas.microsoft.com/office/drawing/2014/main" id="{00000000-0008-0000-4600-000001D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44098" name="Drop Down 2" hidden="1">
              <a:extLst>
                <a:ext uri="{63B3BB69-23CF-44E3-9099-C40C66FF867C}">
                  <a14:compatExt spid="_x0000_s644098"/>
                </a:ext>
                <a:ext uri="{FF2B5EF4-FFF2-40B4-BE49-F238E27FC236}">
                  <a16:creationId xmlns:a16="http://schemas.microsoft.com/office/drawing/2014/main" id="{00000000-0008-0000-4600-000002D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44099" name="Drop Down 3" hidden="1">
              <a:extLst>
                <a:ext uri="{63B3BB69-23CF-44E3-9099-C40C66FF867C}">
                  <a14:compatExt spid="_x0000_s644099"/>
                </a:ext>
                <a:ext uri="{FF2B5EF4-FFF2-40B4-BE49-F238E27FC236}">
                  <a16:creationId xmlns:a16="http://schemas.microsoft.com/office/drawing/2014/main" id="{00000000-0008-0000-4600-000003D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44100" name="Drop Down 4" hidden="1">
              <a:extLst>
                <a:ext uri="{63B3BB69-23CF-44E3-9099-C40C66FF867C}">
                  <a14:compatExt spid="_x0000_s644100"/>
                </a:ext>
                <a:ext uri="{FF2B5EF4-FFF2-40B4-BE49-F238E27FC236}">
                  <a16:creationId xmlns:a16="http://schemas.microsoft.com/office/drawing/2014/main" id="{00000000-0008-0000-4600-000004D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46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48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48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75841" name="Drop Down 1" hidden="1">
              <a:extLst>
                <a:ext uri="{63B3BB69-23CF-44E3-9099-C40C66FF867C}">
                  <a14:compatExt spid="_x0000_s675841"/>
                </a:ext>
                <a:ext uri="{FF2B5EF4-FFF2-40B4-BE49-F238E27FC236}">
                  <a16:creationId xmlns:a16="http://schemas.microsoft.com/office/drawing/2014/main" id="{00000000-0008-0000-4900-0000015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75842" name="Drop Down 2" hidden="1">
              <a:extLst>
                <a:ext uri="{63B3BB69-23CF-44E3-9099-C40C66FF867C}">
                  <a14:compatExt spid="_x0000_s675842"/>
                </a:ext>
                <a:ext uri="{FF2B5EF4-FFF2-40B4-BE49-F238E27FC236}">
                  <a16:creationId xmlns:a16="http://schemas.microsoft.com/office/drawing/2014/main" id="{00000000-0008-0000-4900-0000025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75843" name="Drop Down 3" hidden="1">
              <a:extLst>
                <a:ext uri="{63B3BB69-23CF-44E3-9099-C40C66FF867C}">
                  <a14:compatExt spid="_x0000_s675843"/>
                </a:ext>
                <a:ext uri="{FF2B5EF4-FFF2-40B4-BE49-F238E27FC236}">
                  <a16:creationId xmlns:a16="http://schemas.microsoft.com/office/drawing/2014/main" id="{00000000-0008-0000-4900-0000035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75844" name="Drop Down 4" hidden="1">
              <a:extLst>
                <a:ext uri="{63B3BB69-23CF-44E3-9099-C40C66FF867C}">
                  <a14:compatExt spid="_x0000_s675844"/>
                </a:ext>
                <a:ext uri="{FF2B5EF4-FFF2-40B4-BE49-F238E27FC236}">
                  <a16:creationId xmlns:a16="http://schemas.microsoft.com/office/drawing/2014/main" id="{00000000-0008-0000-4900-0000045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49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4B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4B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78913" name="Drop Down 1" hidden="1">
              <a:extLst>
                <a:ext uri="{63B3BB69-23CF-44E3-9099-C40C66FF867C}">
                  <a14:compatExt spid="_x0000_s678913"/>
                </a:ext>
                <a:ext uri="{FF2B5EF4-FFF2-40B4-BE49-F238E27FC236}">
                  <a16:creationId xmlns:a16="http://schemas.microsoft.com/office/drawing/2014/main" id="{00000000-0008-0000-4C00-0000015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78914" name="Drop Down 2" hidden="1">
              <a:extLst>
                <a:ext uri="{63B3BB69-23CF-44E3-9099-C40C66FF867C}">
                  <a14:compatExt spid="_x0000_s678914"/>
                </a:ext>
                <a:ext uri="{FF2B5EF4-FFF2-40B4-BE49-F238E27FC236}">
                  <a16:creationId xmlns:a16="http://schemas.microsoft.com/office/drawing/2014/main" id="{00000000-0008-0000-4C00-0000025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78915" name="Drop Down 3" hidden="1">
              <a:extLst>
                <a:ext uri="{63B3BB69-23CF-44E3-9099-C40C66FF867C}">
                  <a14:compatExt spid="_x0000_s678915"/>
                </a:ext>
                <a:ext uri="{FF2B5EF4-FFF2-40B4-BE49-F238E27FC236}">
                  <a16:creationId xmlns:a16="http://schemas.microsoft.com/office/drawing/2014/main" id="{00000000-0008-0000-4C00-0000035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78916" name="Drop Down 4" hidden="1">
              <a:extLst>
                <a:ext uri="{63B3BB69-23CF-44E3-9099-C40C66FF867C}">
                  <a14:compatExt spid="_x0000_s678916"/>
                </a:ext>
                <a:ext uri="{FF2B5EF4-FFF2-40B4-BE49-F238E27FC236}">
                  <a16:creationId xmlns:a16="http://schemas.microsoft.com/office/drawing/2014/main" id="{00000000-0008-0000-4C00-0000045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4C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4E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4E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81985" name="Drop Down 1" hidden="1">
              <a:extLst>
                <a:ext uri="{63B3BB69-23CF-44E3-9099-C40C66FF867C}">
                  <a14:compatExt spid="_x0000_s681985"/>
                </a:ext>
                <a:ext uri="{FF2B5EF4-FFF2-40B4-BE49-F238E27FC236}">
                  <a16:creationId xmlns:a16="http://schemas.microsoft.com/office/drawing/2014/main" id="{00000000-0008-0000-4F00-0000016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81986" name="Drop Down 2" hidden="1">
              <a:extLst>
                <a:ext uri="{63B3BB69-23CF-44E3-9099-C40C66FF867C}">
                  <a14:compatExt spid="_x0000_s681986"/>
                </a:ext>
                <a:ext uri="{FF2B5EF4-FFF2-40B4-BE49-F238E27FC236}">
                  <a16:creationId xmlns:a16="http://schemas.microsoft.com/office/drawing/2014/main" id="{00000000-0008-0000-4F00-0000026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81987" name="Drop Down 3" hidden="1">
              <a:extLst>
                <a:ext uri="{63B3BB69-23CF-44E3-9099-C40C66FF867C}">
                  <a14:compatExt spid="_x0000_s681987"/>
                </a:ext>
                <a:ext uri="{FF2B5EF4-FFF2-40B4-BE49-F238E27FC236}">
                  <a16:creationId xmlns:a16="http://schemas.microsoft.com/office/drawing/2014/main" id="{00000000-0008-0000-4F00-0000036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81988" name="Drop Down 4" hidden="1">
              <a:extLst>
                <a:ext uri="{63B3BB69-23CF-44E3-9099-C40C66FF867C}">
                  <a14:compatExt spid="_x0000_s681988"/>
                </a:ext>
                <a:ext uri="{FF2B5EF4-FFF2-40B4-BE49-F238E27FC236}">
                  <a16:creationId xmlns:a16="http://schemas.microsoft.com/office/drawing/2014/main" id="{00000000-0008-0000-4F00-0000046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4F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51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51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85057" name="Drop Down 1" hidden="1">
              <a:extLst>
                <a:ext uri="{63B3BB69-23CF-44E3-9099-C40C66FF867C}">
                  <a14:compatExt spid="_x0000_s685057"/>
                </a:ext>
                <a:ext uri="{FF2B5EF4-FFF2-40B4-BE49-F238E27FC236}">
                  <a16:creationId xmlns:a16="http://schemas.microsoft.com/office/drawing/2014/main" id="{00000000-0008-0000-5200-0000017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85058" name="Drop Down 2" hidden="1">
              <a:extLst>
                <a:ext uri="{63B3BB69-23CF-44E3-9099-C40C66FF867C}">
                  <a14:compatExt spid="_x0000_s685058"/>
                </a:ext>
                <a:ext uri="{FF2B5EF4-FFF2-40B4-BE49-F238E27FC236}">
                  <a16:creationId xmlns:a16="http://schemas.microsoft.com/office/drawing/2014/main" id="{00000000-0008-0000-5200-0000027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85059" name="Drop Down 3" hidden="1">
              <a:extLst>
                <a:ext uri="{63B3BB69-23CF-44E3-9099-C40C66FF867C}">
                  <a14:compatExt spid="_x0000_s685059"/>
                </a:ext>
                <a:ext uri="{FF2B5EF4-FFF2-40B4-BE49-F238E27FC236}">
                  <a16:creationId xmlns:a16="http://schemas.microsoft.com/office/drawing/2014/main" id="{00000000-0008-0000-5200-0000037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85060" name="Drop Down 4" hidden="1">
              <a:extLst>
                <a:ext uri="{63B3BB69-23CF-44E3-9099-C40C66FF867C}">
                  <a14:compatExt spid="_x0000_s685060"/>
                </a:ext>
                <a:ext uri="{FF2B5EF4-FFF2-40B4-BE49-F238E27FC236}">
                  <a16:creationId xmlns:a16="http://schemas.microsoft.com/office/drawing/2014/main" id="{00000000-0008-0000-5200-0000047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52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54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54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88129" name="Drop Down 1" hidden="1">
              <a:extLst>
                <a:ext uri="{63B3BB69-23CF-44E3-9099-C40C66FF867C}">
                  <a14:compatExt spid="_x0000_s688129"/>
                </a:ext>
                <a:ext uri="{FF2B5EF4-FFF2-40B4-BE49-F238E27FC236}">
                  <a16:creationId xmlns:a16="http://schemas.microsoft.com/office/drawing/2014/main" id="{00000000-0008-0000-5500-0000018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88130" name="Drop Down 2" hidden="1">
              <a:extLst>
                <a:ext uri="{63B3BB69-23CF-44E3-9099-C40C66FF867C}">
                  <a14:compatExt spid="_x0000_s688130"/>
                </a:ext>
                <a:ext uri="{FF2B5EF4-FFF2-40B4-BE49-F238E27FC236}">
                  <a16:creationId xmlns:a16="http://schemas.microsoft.com/office/drawing/2014/main" id="{00000000-0008-0000-5500-0000028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88131" name="Drop Down 3" hidden="1">
              <a:extLst>
                <a:ext uri="{63B3BB69-23CF-44E3-9099-C40C66FF867C}">
                  <a14:compatExt spid="_x0000_s688131"/>
                </a:ext>
                <a:ext uri="{FF2B5EF4-FFF2-40B4-BE49-F238E27FC236}">
                  <a16:creationId xmlns:a16="http://schemas.microsoft.com/office/drawing/2014/main" id="{00000000-0008-0000-5500-0000038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88132" name="Drop Down 4" hidden="1">
              <a:extLst>
                <a:ext uri="{63B3BB69-23CF-44E3-9099-C40C66FF867C}">
                  <a14:compatExt spid="_x0000_s688132"/>
                </a:ext>
                <a:ext uri="{FF2B5EF4-FFF2-40B4-BE49-F238E27FC236}">
                  <a16:creationId xmlns:a16="http://schemas.microsoft.com/office/drawing/2014/main" id="{00000000-0008-0000-5500-0000048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55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57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57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91201" name="Drop Down 1" hidden="1">
              <a:extLst>
                <a:ext uri="{63B3BB69-23CF-44E3-9099-C40C66FF867C}">
                  <a14:compatExt spid="_x0000_s691201"/>
                </a:ext>
                <a:ext uri="{FF2B5EF4-FFF2-40B4-BE49-F238E27FC236}">
                  <a16:creationId xmlns:a16="http://schemas.microsoft.com/office/drawing/2014/main" id="{00000000-0008-0000-5800-0000018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91202" name="Drop Down 2" hidden="1">
              <a:extLst>
                <a:ext uri="{63B3BB69-23CF-44E3-9099-C40C66FF867C}">
                  <a14:compatExt spid="_x0000_s691202"/>
                </a:ext>
                <a:ext uri="{FF2B5EF4-FFF2-40B4-BE49-F238E27FC236}">
                  <a16:creationId xmlns:a16="http://schemas.microsoft.com/office/drawing/2014/main" id="{00000000-0008-0000-5800-0000028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91203" name="Drop Down 3" hidden="1">
              <a:extLst>
                <a:ext uri="{63B3BB69-23CF-44E3-9099-C40C66FF867C}">
                  <a14:compatExt spid="_x0000_s691203"/>
                </a:ext>
                <a:ext uri="{FF2B5EF4-FFF2-40B4-BE49-F238E27FC236}">
                  <a16:creationId xmlns:a16="http://schemas.microsoft.com/office/drawing/2014/main" id="{00000000-0008-0000-5800-0000038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91204" name="Drop Down 4" hidden="1">
              <a:extLst>
                <a:ext uri="{63B3BB69-23CF-44E3-9099-C40C66FF867C}">
                  <a14:compatExt spid="_x0000_s691204"/>
                </a:ext>
                <a:ext uri="{FF2B5EF4-FFF2-40B4-BE49-F238E27FC236}">
                  <a16:creationId xmlns:a16="http://schemas.microsoft.com/office/drawing/2014/main" id="{00000000-0008-0000-5800-0000048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58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5A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5A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94273" name="Drop Down 1" hidden="1">
              <a:extLst>
                <a:ext uri="{63B3BB69-23CF-44E3-9099-C40C66FF867C}">
                  <a14:compatExt spid="_x0000_s694273"/>
                </a:ext>
                <a:ext uri="{FF2B5EF4-FFF2-40B4-BE49-F238E27FC236}">
                  <a16:creationId xmlns:a16="http://schemas.microsoft.com/office/drawing/2014/main" id="{00000000-0008-0000-5B00-0000019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94274" name="Drop Down 2" hidden="1">
              <a:extLst>
                <a:ext uri="{63B3BB69-23CF-44E3-9099-C40C66FF867C}">
                  <a14:compatExt spid="_x0000_s694274"/>
                </a:ext>
                <a:ext uri="{FF2B5EF4-FFF2-40B4-BE49-F238E27FC236}">
                  <a16:creationId xmlns:a16="http://schemas.microsoft.com/office/drawing/2014/main" id="{00000000-0008-0000-5B00-0000029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94275" name="Drop Down 3" hidden="1">
              <a:extLst>
                <a:ext uri="{63B3BB69-23CF-44E3-9099-C40C66FF867C}">
                  <a14:compatExt spid="_x0000_s694275"/>
                </a:ext>
                <a:ext uri="{FF2B5EF4-FFF2-40B4-BE49-F238E27FC236}">
                  <a16:creationId xmlns:a16="http://schemas.microsoft.com/office/drawing/2014/main" id="{00000000-0008-0000-5B00-0000039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94276" name="Drop Down 4" hidden="1">
              <a:extLst>
                <a:ext uri="{63B3BB69-23CF-44E3-9099-C40C66FF867C}">
                  <a14:compatExt spid="_x0000_s694276"/>
                </a:ext>
                <a:ext uri="{FF2B5EF4-FFF2-40B4-BE49-F238E27FC236}">
                  <a16:creationId xmlns:a16="http://schemas.microsoft.com/office/drawing/2014/main" id="{00000000-0008-0000-5B00-0000049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xdr:from>
      <xdr:col>1</xdr:col>
      <xdr:colOff>0</xdr:colOff>
      <xdr:row>66</xdr:row>
      <xdr:rowOff>112059</xdr:rowOff>
    </xdr:from>
    <xdr:to>
      <xdr:col>14</xdr:col>
      <xdr:colOff>56028</xdr:colOff>
      <xdr:row>125</xdr:row>
      <xdr:rowOff>114300</xdr:rowOff>
    </xdr:to>
    <xdr:sp macro="" textlink="">
      <xdr:nvSpPr>
        <xdr:cNvPr id="2" name="TextBox 1">
          <a:extLst>
            <a:ext uri="{FF2B5EF4-FFF2-40B4-BE49-F238E27FC236}">
              <a16:creationId xmlns:a16="http://schemas.microsoft.com/office/drawing/2014/main" id="{00000000-0008-0000-5B00-000002000000}"/>
            </a:ext>
          </a:extLst>
        </xdr:cNvPr>
        <xdr:cNvSpPr txBox="1"/>
      </xdr:nvSpPr>
      <xdr:spPr>
        <a:xfrm>
          <a:off x="388620" y="11610639"/>
          <a:ext cx="8933328" cy="108302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19</xdr:col>
      <xdr:colOff>286871</xdr:colOff>
      <xdr:row>10</xdr:row>
      <xdr:rowOff>134471</xdr:rowOff>
    </xdr:from>
    <xdr:to>
      <xdr:col>25</xdr:col>
      <xdr:colOff>502023</xdr:colOff>
      <xdr:row>51</xdr:row>
      <xdr:rowOff>89647</xdr:rowOff>
    </xdr:to>
    <xdr:sp macro="" textlink="">
      <xdr:nvSpPr>
        <xdr:cNvPr id="2" name="TextBox 1">
          <a:extLst>
            <a:ext uri="{FF2B5EF4-FFF2-40B4-BE49-F238E27FC236}">
              <a16:creationId xmlns:a16="http://schemas.microsoft.com/office/drawing/2014/main" id="{00000000-0008-0000-5D00-000002000000}"/>
            </a:ext>
          </a:extLst>
        </xdr:cNvPr>
        <xdr:cNvSpPr txBox="1"/>
      </xdr:nvSpPr>
      <xdr:spPr>
        <a:xfrm>
          <a:off x="10185251" y="1940411"/>
          <a:ext cx="2379232" cy="5092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Cash Flow Note / Guidelines:</a:t>
          </a:r>
        </a:p>
        <a:p>
          <a:endParaRPr lang="en-US" sz="1100"/>
        </a:p>
        <a:p>
          <a:r>
            <a:rPr lang="en-US" sz="1100"/>
            <a:t>1. CF Starts with net income after taxes, it is carried over from the Income Statement tab,  then other expenses are added back.  Add backs generally include depreciation, amortization, interest, rent, saved salaries and expenses, and officer’s compensation.</a:t>
          </a:r>
        </a:p>
        <a:p>
          <a:endParaRPr lang="en-US" sz="1100"/>
        </a:p>
        <a:p>
          <a:r>
            <a:rPr lang="en-US" sz="1100"/>
            <a:t>2. If there are any affiliate guarantors, the total cash available from their cash flow analysis is also added in.</a:t>
          </a:r>
        </a:p>
        <a:p>
          <a:endParaRPr lang="en-US" sz="1100"/>
        </a:p>
        <a:p>
          <a:r>
            <a:rPr lang="en-US" sz="1100"/>
            <a:t>3. A personal draw is then subtracted to arrive at the total cash available for debt service.  Personal needs are calculated by taking total ongoing personal debt payments and dividing them by 50% (40% for BPS Loans).  The resulting number is then multiplied by 12 to get a yearly need.  Any ongoing outside income is then deducted from that number to arrive at the final draw needed from the operating company.  This would include cash flow from affiliates that are not guarantors on the subject loan.</a:t>
          </a:r>
        </a:p>
        <a:p>
          <a:endParaRPr lang="en-US" sz="1100"/>
        </a:p>
        <a:p>
          <a:r>
            <a:rPr lang="en-US" sz="1100"/>
            <a:t>4. Once total cash available for debt service is calculated, total cash required is then calculated.  This is calculated by multiplying existing debt payments, subject loan payments, any seller carry debt by the number of months in each period.  Adjustments for property taxes and insurance are also made if they are not already expensed in the operating company’s financials.  Property taxes are estimated based off of historical numbers or a reasonable percentage when historical taxes are not available or the value of the property will be increasing as a result of construction funds from the proposed loan.  Insurance is estimated based on conversations with the borrower and their quotes recieved</a:t>
          </a:r>
        </a:p>
        <a:p>
          <a:endParaRPr lang="en-US" sz="1100"/>
        </a:p>
        <a:p>
          <a:r>
            <a:rPr lang="en-US" sz="1100"/>
            <a:t>5. After the total cash required is calculated, it is divided into the total cash available to get the DCR.</a:t>
          </a:r>
        </a:p>
      </xdr:txBody>
    </xdr:sp>
    <xdr:clientData/>
  </xdr:twoCellAnchor>
  <xdr:twoCellAnchor>
    <xdr:from>
      <xdr:col>0</xdr:col>
      <xdr:colOff>50800</xdr:colOff>
      <xdr:row>58</xdr:row>
      <xdr:rowOff>12700</xdr:rowOff>
    </xdr:from>
    <xdr:to>
      <xdr:col>17</xdr:col>
      <xdr:colOff>88900</xdr:colOff>
      <xdr:row>77</xdr:row>
      <xdr:rowOff>101600</xdr:rowOff>
    </xdr:to>
    <xdr:sp macro="" textlink="">
      <xdr:nvSpPr>
        <xdr:cNvPr id="3" name="TextBox 2">
          <a:extLst>
            <a:ext uri="{FF2B5EF4-FFF2-40B4-BE49-F238E27FC236}">
              <a16:creationId xmlns:a16="http://schemas.microsoft.com/office/drawing/2014/main" id="{00000000-0008-0000-5D00-000003000000}"/>
            </a:ext>
          </a:extLst>
        </xdr:cNvPr>
        <xdr:cNvSpPr txBox="1"/>
      </xdr:nvSpPr>
      <xdr:spPr>
        <a:xfrm>
          <a:off x="50800" y="7442200"/>
          <a:ext cx="9745980" cy="3563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6</xdr:row>
          <xdr:rowOff>0</xdr:rowOff>
        </xdr:from>
        <xdr:to>
          <xdr:col>21</xdr:col>
          <xdr:colOff>114300</xdr:colOff>
          <xdr:row>7</xdr:row>
          <xdr:rowOff>0</xdr:rowOff>
        </xdr:to>
        <xdr:sp macro="" textlink="">
          <xdr:nvSpPr>
            <xdr:cNvPr id="697345" name="Drop Down 1" hidden="1">
              <a:extLst>
                <a:ext uri="{63B3BB69-23CF-44E3-9099-C40C66FF867C}">
                  <a14:compatExt spid="_x0000_s697345"/>
                </a:ext>
                <a:ext uri="{FF2B5EF4-FFF2-40B4-BE49-F238E27FC236}">
                  <a16:creationId xmlns:a16="http://schemas.microsoft.com/office/drawing/2014/main" id="{00000000-0008-0000-5E00-000001A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114300</xdr:colOff>
          <xdr:row>7</xdr:row>
          <xdr:rowOff>0</xdr:rowOff>
        </xdr:to>
        <xdr:sp macro="" textlink="">
          <xdr:nvSpPr>
            <xdr:cNvPr id="697346" name="Drop Down 2" hidden="1">
              <a:extLst>
                <a:ext uri="{63B3BB69-23CF-44E3-9099-C40C66FF867C}">
                  <a14:compatExt spid="_x0000_s697346"/>
                </a:ext>
                <a:ext uri="{FF2B5EF4-FFF2-40B4-BE49-F238E27FC236}">
                  <a16:creationId xmlns:a16="http://schemas.microsoft.com/office/drawing/2014/main" id="{00000000-0008-0000-5E00-000002A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0</xdr:rowOff>
        </xdr:from>
        <xdr:to>
          <xdr:col>25</xdr:col>
          <xdr:colOff>114300</xdr:colOff>
          <xdr:row>7</xdr:row>
          <xdr:rowOff>0</xdr:rowOff>
        </xdr:to>
        <xdr:sp macro="" textlink="">
          <xdr:nvSpPr>
            <xdr:cNvPr id="697347" name="Drop Down 3" hidden="1">
              <a:extLst>
                <a:ext uri="{63B3BB69-23CF-44E3-9099-C40C66FF867C}">
                  <a14:compatExt spid="_x0000_s697347"/>
                </a:ext>
                <a:ext uri="{FF2B5EF4-FFF2-40B4-BE49-F238E27FC236}">
                  <a16:creationId xmlns:a16="http://schemas.microsoft.com/office/drawing/2014/main" id="{00000000-0008-0000-5E00-000003A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114300</xdr:colOff>
          <xdr:row>7</xdr:row>
          <xdr:rowOff>0</xdr:rowOff>
        </xdr:to>
        <xdr:sp macro="" textlink="">
          <xdr:nvSpPr>
            <xdr:cNvPr id="697348" name="Drop Down 4" hidden="1">
              <a:extLst>
                <a:ext uri="{63B3BB69-23CF-44E3-9099-C40C66FF867C}">
                  <a14:compatExt spid="_x0000_s697348"/>
                </a:ext>
                <a:ext uri="{FF2B5EF4-FFF2-40B4-BE49-F238E27FC236}">
                  <a16:creationId xmlns:a16="http://schemas.microsoft.com/office/drawing/2014/main" id="{00000000-0008-0000-5E00-000004A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330200</xdr:colOff>
          <xdr:row>2</xdr:row>
          <xdr:rowOff>12700</xdr:rowOff>
        </xdr:from>
        <xdr:to>
          <xdr:col>3</xdr:col>
          <xdr:colOff>330200</xdr:colOff>
          <xdr:row>2</xdr:row>
          <xdr:rowOff>25400</xdr:rowOff>
        </xdr:to>
        <xdr:sp macro="" textlink="">
          <xdr:nvSpPr>
            <xdr:cNvPr id="334849" name="Check Box 1" hidden="1">
              <a:extLst>
                <a:ext uri="{63B3BB69-23CF-44E3-9099-C40C66FF867C}">
                  <a14:compatExt spid="_x0000_s334849"/>
                </a:ext>
                <a:ext uri="{FF2B5EF4-FFF2-40B4-BE49-F238E27FC236}">
                  <a16:creationId xmlns:a16="http://schemas.microsoft.com/office/drawing/2014/main" id="{00000000-0008-0000-5F00-000001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330200</xdr:colOff>
          <xdr:row>2</xdr:row>
          <xdr:rowOff>12700</xdr:rowOff>
        </xdr:from>
        <xdr:to>
          <xdr:col>3</xdr:col>
          <xdr:colOff>330200</xdr:colOff>
          <xdr:row>2</xdr:row>
          <xdr:rowOff>25400</xdr:rowOff>
        </xdr:to>
        <xdr:sp macro="" textlink="">
          <xdr:nvSpPr>
            <xdr:cNvPr id="334850" name="Check Box 2" hidden="1">
              <a:extLst>
                <a:ext uri="{63B3BB69-23CF-44E3-9099-C40C66FF867C}">
                  <a14:compatExt spid="_x0000_s334850"/>
                </a:ext>
                <a:ext uri="{FF2B5EF4-FFF2-40B4-BE49-F238E27FC236}">
                  <a16:creationId xmlns:a16="http://schemas.microsoft.com/office/drawing/2014/main" id="{00000000-0008-0000-5F00-000002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330200</xdr:colOff>
          <xdr:row>24</xdr:row>
          <xdr:rowOff>12700</xdr:rowOff>
        </xdr:from>
        <xdr:to>
          <xdr:col>3</xdr:col>
          <xdr:colOff>330200</xdr:colOff>
          <xdr:row>24</xdr:row>
          <xdr:rowOff>25400</xdr:rowOff>
        </xdr:to>
        <xdr:sp macro="" textlink="">
          <xdr:nvSpPr>
            <xdr:cNvPr id="334851" name="Check Box 3" hidden="1">
              <a:extLst>
                <a:ext uri="{63B3BB69-23CF-44E3-9099-C40C66FF867C}">
                  <a14:compatExt spid="_x0000_s334851"/>
                </a:ext>
                <a:ext uri="{FF2B5EF4-FFF2-40B4-BE49-F238E27FC236}">
                  <a16:creationId xmlns:a16="http://schemas.microsoft.com/office/drawing/2014/main" id="{00000000-0008-0000-5F00-000003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330200</xdr:colOff>
          <xdr:row>24</xdr:row>
          <xdr:rowOff>12700</xdr:rowOff>
        </xdr:from>
        <xdr:to>
          <xdr:col>3</xdr:col>
          <xdr:colOff>330200</xdr:colOff>
          <xdr:row>24</xdr:row>
          <xdr:rowOff>25400</xdr:rowOff>
        </xdr:to>
        <xdr:sp macro="" textlink="">
          <xdr:nvSpPr>
            <xdr:cNvPr id="334852" name="Check Box 4" hidden="1">
              <a:extLst>
                <a:ext uri="{63B3BB69-23CF-44E3-9099-C40C66FF867C}">
                  <a14:compatExt spid="_x0000_s334852"/>
                </a:ext>
                <a:ext uri="{FF2B5EF4-FFF2-40B4-BE49-F238E27FC236}">
                  <a16:creationId xmlns:a16="http://schemas.microsoft.com/office/drawing/2014/main" id="{00000000-0008-0000-5F00-000004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330200</xdr:colOff>
          <xdr:row>47</xdr:row>
          <xdr:rowOff>12700</xdr:rowOff>
        </xdr:from>
        <xdr:to>
          <xdr:col>3</xdr:col>
          <xdr:colOff>330200</xdr:colOff>
          <xdr:row>47</xdr:row>
          <xdr:rowOff>25400</xdr:rowOff>
        </xdr:to>
        <xdr:sp macro="" textlink="">
          <xdr:nvSpPr>
            <xdr:cNvPr id="334853" name="Check Box 5" hidden="1">
              <a:extLst>
                <a:ext uri="{63B3BB69-23CF-44E3-9099-C40C66FF867C}">
                  <a14:compatExt spid="_x0000_s334853"/>
                </a:ext>
                <a:ext uri="{FF2B5EF4-FFF2-40B4-BE49-F238E27FC236}">
                  <a16:creationId xmlns:a16="http://schemas.microsoft.com/office/drawing/2014/main" id="{00000000-0008-0000-5F00-000005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330200</xdr:colOff>
          <xdr:row>47</xdr:row>
          <xdr:rowOff>12700</xdr:rowOff>
        </xdr:from>
        <xdr:to>
          <xdr:col>3</xdr:col>
          <xdr:colOff>330200</xdr:colOff>
          <xdr:row>47</xdr:row>
          <xdr:rowOff>25400</xdr:rowOff>
        </xdr:to>
        <xdr:sp macro="" textlink="">
          <xdr:nvSpPr>
            <xdr:cNvPr id="334854" name="Check Box 6" hidden="1">
              <a:extLst>
                <a:ext uri="{63B3BB69-23CF-44E3-9099-C40C66FF867C}">
                  <a14:compatExt spid="_x0000_s334854"/>
                </a:ext>
                <a:ext uri="{FF2B5EF4-FFF2-40B4-BE49-F238E27FC236}">
                  <a16:creationId xmlns:a16="http://schemas.microsoft.com/office/drawing/2014/main" id="{00000000-0008-0000-5F00-000006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330200</xdr:colOff>
          <xdr:row>69</xdr:row>
          <xdr:rowOff>12700</xdr:rowOff>
        </xdr:from>
        <xdr:to>
          <xdr:col>3</xdr:col>
          <xdr:colOff>330200</xdr:colOff>
          <xdr:row>69</xdr:row>
          <xdr:rowOff>25400</xdr:rowOff>
        </xdr:to>
        <xdr:sp macro="" textlink="">
          <xdr:nvSpPr>
            <xdr:cNvPr id="334855" name="Check Box 7" hidden="1">
              <a:extLst>
                <a:ext uri="{63B3BB69-23CF-44E3-9099-C40C66FF867C}">
                  <a14:compatExt spid="_x0000_s334855"/>
                </a:ext>
                <a:ext uri="{FF2B5EF4-FFF2-40B4-BE49-F238E27FC236}">
                  <a16:creationId xmlns:a16="http://schemas.microsoft.com/office/drawing/2014/main" id="{00000000-0008-0000-5F00-000007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330200</xdr:colOff>
          <xdr:row>69</xdr:row>
          <xdr:rowOff>12700</xdr:rowOff>
        </xdr:from>
        <xdr:to>
          <xdr:col>3</xdr:col>
          <xdr:colOff>330200</xdr:colOff>
          <xdr:row>69</xdr:row>
          <xdr:rowOff>25400</xdr:rowOff>
        </xdr:to>
        <xdr:sp macro="" textlink="">
          <xdr:nvSpPr>
            <xdr:cNvPr id="334856" name="Check Box 8" hidden="1">
              <a:extLst>
                <a:ext uri="{63B3BB69-23CF-44E3-9099-C40C66FF867C}">
                  <a14:compatExt spid="_x0000_s334856"/>
                </a:ext>
                <a:ext uri="{FF2B5EF4-FFF2-40B4-BE49-F238E27FC236}">
                  <a16:creationId xmlns:a16="http://schemas.microsoft.com/office/drawing/2014/main" id="{00000000-0008-0000-5F00-0000081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xdr:from>
      <xdr:col>2</xdr:col>
      <xdr:colOff>276226</xdr:colOff>
      <xdr:row>0</xdr:row>
      <xdr:rowOff>209550</xdr:rowOff>
    </xdr:from>
    <xdr:to>
      <xdr:col>6</xdr:col>
      <xdr:colOff>611506</xdr:colOff>
      <xdr:row>0</xdr:row>
      <xdr:rowOff>685800</xdr:rowOff>
    </xdr:to>
    <xdr:sp macro="" textlink="">
      <xdr:nvSpPr>
        <xdr:cNvPr id="2" name="TextBox 1">
          <a:extLst>
            <a:ext uri="{FF2B5EF4-FFF2-40B4-BE49-F238E27FC236}">
              <a16:creationId xmlns:a16="http://schemas.microsoft.com/office/drawing/2014/main" id="{00000000-0008-0000-6000-000002000000}"/>
            </a:ext>
          </a:extLst>
        </xdr:cNvPr>
        <xdr:cNvSpPr txBox="1"/>
      </xdr:nvSpPr>
      <xdr:spPr>
        <a:xfrm>
          <a:off x="1476376" y="209550"/>
          <a:ext cx="406908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0000"/>
              </a:solidFill>
            </a:rPr>
            <a:t>Data flows from other pages do not overtype</a:t>
          </a:r>
        </a:p>
        <a:p>
          <a:endParaRPr lang="en-US" sz="1100"/>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3</xdr:col>
      <xdr:colOff>161925</xdr:colOff>
      <xdr:row>0</xdr:row>
      <xdr:rowOff>209550</xdr:rowOff>
    </xdr:from>
    <xdr:to>
      <xdr:col>7</xdr:col>
      <xdr:colOff>582930</xdr:colOff>
      <xdr:row>0</xdr:row>
      <xdr:rowOff>685800</xdr:rowOff>
    </xdr:to>
    <xdr:sp macro="" textlink="">
      <xdr:nvSpPr>
        <xdr:cNvPr id="2" name="TextBox 1">
          <a:extLst>
            <a:ext uri="{FF2B5EF4-FFF2-40B4-BE49-F238E27FC236}">
              <a16:creationId xmlns:a16="http://schemas.microsoft.com/office/drawing/2014/main" id="{00000000-0008-0000-6100-000002000000}"/>
            </a:ext>
          </a:extLst>
        </xdr:cNvPr>
        <xdr:cNvSpPr txBox="1"/>
      </xdr:nvSpPr>
      <xdr:spPr>
        <a:xfrm>
          <a:off x="2390775" y="209550"/>
          <a:ext cx="406908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0000"/>
              </a:solidFill>
            </a:rPr>
            <a:t>Data flows from other pages do not overtype</a:t>
          </a:r>
        </a:p>
        <a:p>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davework/Downloads/Spread%20Template/Spreads%20-Ferrell%20Electric%20(1).xlsm" TargetMode="External"/><Relationship Id="rId1" Type="http://schemas.openxmlformats.org/officeDocument/2006/relationships/externalLinkPath" Target="Spreads%20-Ferrell%20Electric%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e of Contents"/>
      <sheetName val="BDO Prequal"/>
      <sheetName val="Scores"/>
      <sheetName val="Wksht Print Separately"/>
      <sheetName val="UOP"/>
      <sheetName val="UOP (2)"/>
      <sheetName val="Memo Grid"/>
      <sheetName val="Memo Grid 504"/>
      <sheetName val="Coll"/>
      <sheetName val="Coll (2)"/>
      <sheetName val="Ratios"/>
      <sheetName val="Hist IS and Proj"/>
      <sheetName val="Cash Flow"/>
      <sheetName val="Debt Sch"/>
      <sheetName val="Break Even"/>
      <sheetName val="Global CF"/>
      <sheetName val="Hist BS"/>
      <sheetName val="Pro-forma"/>
      <sheetName val="WC Analysis"/>
      <sheetName val="Biz Val Internal"/>
      <sheetName val="EPC IS"/>
      <sheetName val="EPC BS"/>
      <sheetName val="EPC CF"/>
      <sheetName val="Per Need 1"/>
      <sheetName val="PFS 1"/>
      <sheetName val="Per RE 1"/>
      <sheetName val="Per Need 2"/>
      <sheetName val="PFS 2"/>
      <sheetName val="Per RE 2"/>
      <sheetName val="Per Need 3"/>
      <sheetName val="PFS 3"/>
      <sheetName val="Per RE 3"/>
      <sheetName val="Per Need 4"/>
      <sheetName val="PFS 4"/>
      <sheetName val="Per RE 4"/>
      <sheetName val="SBA Elig"/>
      <sheetName val="EPC Elig"/>
      <sheetName val="SBA Debt Refi Elig"/>
      <sheetName val="Bus Acq Elig"/>
      <sheetName val="Aff 1 IS"/>
      <sheetName val="Aff 1 BS"/>
      <sheetName val="Aff 1 CF"/>
      <sheetName val="Aff 2 IS"/>
      <sheetName val="Aff 2 BS"/>
      <sheetName val="Aff 2 CF"/>
      <sheetName val="Aff 3 IS"/>
      <sheetName val="Aff 3 BS"/>
      <sheetName val="Aff 3 CF"/>
      <sheetName val="Aff 4 IS"/>
      <sheetName val="Aff 4 BS"/>
      <sheetName val="Aff 4 CF"/>
      <sheetName val="Aff 5 IS"/>
      <sheetName val="Aff 5 BS"/>
      <sheetName val="Aff 5 CF"/>
      <sheetName val="Aff 6 IS"/>
      <sheetName val="Aff 6 BS"/>
      <sheetName val="Aff 6 CF"/>
      <sheetName val="Aff 7 IS"/>
      <sheetName val="Aff 7 BS"/>
      <sheetName val="Aff 7 CF"/>
      <sheetName val="Aff 8 IS"/>
      <sheetName val="Aff 8 BS"/>
      <sheetName val="Aff 8 CF"/>
      <sheetName val="Aff 9 IS"/>
      <sheetName val="Aff 9 BS"/>
      <sheetName val="Aff 9 CF"/>
      <sheetName val="Aff 10 IS"/>
      <sheetName val="Aff 10 BS"/>
      <sheetName val="Aff 10 CF"/>
      <sheetName val="Aff 11 IS"/>
      <sheetName val="Aff 11 BS"/>
      <sheetName val="Aff 11 CF"/>
      <sheetName val="Aff 12 IS"/>
      <sheetName val="Aff 12 BS"/>
      <sheetName val="Aff 12 CF"/>
      <sheetName val="Aff 13 IS"/>
      <sheetName val="Aff 13 BS"/>
      <sheetName val="Aff 13 CF"/>
      <sheetName val="Aff 14 IS"/>
      <sheetName val="Aff 14 BS"/>
      <sheetName val="Aff 14 CF"/>
      <sheetName val="Aff 15 IS"/>
      <sheetName val="Aff 15 BS"/>
      <sheetName val="Aff 15 CF"/>
      <sheetName val="Aff 16 IS"/>
      <sheetName val="Aff 16 BS"/>
      <sheetName val="Aff 16 CF"/>
      <sheetName val="Aff 17 IS"/>
      <sheetName val="Aff 17 BS"/>
      <sheetName val="Aff 17 CF"/>
      <sheetName val="Aff 18 IS"/>
      <sheetName val="Aff 18 BS"/>
      <sheetName val="Aff 18 CF"/>
      <sheetName val="SBA Personal Resource Test"/>
      <sheetName val="Pmt Calcs"/>
      <sheetName val="Amort Sch"/>
      <sheetName val="Amort Sch (2)"/>
      <sheetName val="Lists"/>
      <sheetName val="Version"/>
      <sheetName val="Spreads -Ferrell Electric (1)"/>
    </sheetNames>
    <definedNames>
      <definedName name="BDO_Proj_Adjus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row r="2">
          <cell r="A2" t="str">
            <v>Loan Amortization Schedule</v>
          </cell>
        </row>
        <row r="5">
          <cell r="B5" t="str">
            <v>Enter values</v>
          </cell>
          <cell r="F5" t="str">
            <v>Loan summary</v>
          </cell>
        </row>
        <row r="6">
          <cell r="C6" t="str">
            <v>Loan amount</v>
          </cell>
          <cell r="D6">
            <v>0</v>
          </cell>
          <cell r="G6" t="str">
            <v>Scheduled payment</v>
          </cell>
          <cell r="H6" t="str">
            <v/>
          </cell>
        </row>
        <row r="7">
          <cell r="C7" t="str">
            <v>Annual interest rate</v>
          </cell>
          <cell r="D7">
            <v>0</v>
          </cell>
          <cell r="G7" t="str">
            <v>Scheduled number of payments</v>
          </cell>
          <cell r="H7" t="str">
            <v/>
          </cell>
        </row>
        <row r="8">
          <cell r="C8" t="str">
            <v>Loan period in years</v>
          </cell>
          <cell r="D8">
            <v>0</v>
          </cell>
          <cell r="G8" t="str">
            <v>Actual number of payments</v>
          </cell>
          <cell r="H8" t="str">
            <v/>
          </cell>
        </row>
        <row r="9">
          <cell r="C9" t="str">
            <v>Number of payments per year</v>
          </cell>
          <cell r="D9">
            <v>12</v>
          </cell>
          <cell r="G9" t="str">
            <v>Total early payments</v>
          </cell>
          <cell r="H9" t="str">
            <v/>
          </cell>
        </row>
        <row r="10">
          <cell r="C10" t="str">
            <v>Start date of loan</v>
          </cell>
          <cell r="D10">
            <v>45627</v>
          </cell>
          <cell r="G10" t="str">
            <v>Total interest</v>
          </cell>
          <cell r="H10" t="str">
            <v/>
          </cell>
        </row>
        <row r="11">
          <cell r="C11" t="str">
            <v>Optional extra payments</v>
          </cell>
        </row>
        <row r="13">
          <cell r="B13" t="str">
            <v>Lender name:</v>
          </cell>
        </row>
        <row r="17">
          <cell r="A17" t="str">
            <v>PmtNo.</v>
          </cell>
          <cell r="B17" t="str">
            <v>Payment Date</v>
          </cell>
          <cell r="C17" t="str">
            <v>Beginning Balance</v>
          </cell>
          <cell r="D17" t="str">
            <v>Scheduled Payment</v>
          </cell>
          <cell r="E17" t="str">
            <v>Extra Payment</v>
          </cell>
          <cell r="F17" t="str">
            <v>Total Payment</v>
          </cell>
          <cell r="G17" t="str">
            <v>Principal</v>
          </cell>
          <cell r="H17" t="str">
            <v>Interest</v>
          </cell>
          <cell r="I17" t="str">
            <v>Ending Balance</v>
          </cell>
          <cell r="J17" t="str">
            <v>Cumulative Interest</v>
          </cell>
        </row>
        <row r="19">
          <cell r="A19" t="str">
            <v/>
          </cell>
          <cell r="B19" t="str">
            <v/>
          </cell>
          <cell r="C19" t="str">
            <v/>
          </cell>
          <cell r="D19" t="str">
            <v/>
          </cell>
          <cell r="E19" t="e">
            <v>#VALUE!</v>
          </cell>
          <cell r="F19" t="e">
            <v>#VALUE!</v>
          </cell>
          <cell r="G19" t="str">
            <v/>
          </cell>
          <cell r="H19" t="str">
            <v/>
          </cell>
          <cell r="I19" t="e">
            <v>#VALUE!</v>
          </cell>
          <cell r="J19">
            <v>0</v>
          </cell>
        </row>
        <row r="20">
          <cell r="A20" t="str">
            <v/>
          </cell>
          <cell r="B20" t="str">
            <v/>
          </cell>
          <cell r="C20" t="str">
            <v/>
          </cell>
          <cell r="D20" t="str">
            <v/>
          </cell>
          <cell r="E20" t="e">
            <v>#VALUE!</v>
          </cell>
          <cell r="F20" t="e">
            <v>#VALUE!</v>
          </cell>
          <cell r="G20" t="str">
            <v/>
          </cell>
          <cell r="H20" t="str">
            <v/>
          </cell>
          <cell r="I20" t="e">
            <v>#VALUE!</v>
          </cell>
          <cell r="J20">
            <v>0</v>
          </cell>
        </row>
        <row r="21">
          <cell r="A21" t="str">
            <v/>
          </cell>
          <cell r="B21" t="str">
            <v/>
          </cell>
          <cell r="C21" t="str">
            <v/>
          </cell>
          <cell r="D21" t="str">
            <v/>
          </cell>
          <cell r="E21" t="e">
            <v>#VALUE!</v>
          </cell>
          <cell r="F21" t="e">
            <v>#VALUE!</v>
          </cell>
          <cell r="G21" t="str">
            <v/>
          </cell>
          <cell r="H21" t="str">
            <v/>
          </cell>
          <cell r="I21" t="e">
            <v>#VALUE!</v>
          </cell>
          <cell r="J21">
            <v>0</v>
          </cell>
        </row>
        <row r="22">
          <cell r="A22" t="str">
            <v/>
          </cell>
          <cell r="B22" t="str">
            <v/>
          </cell>
          <cell r="C22" t="str">
            <v/>
          </cell>
          <cell r="D22" t="str">
            <v/>
          </cell>
          <cell r="E22" t="e">
            <v>#VALUE!</v>
          </cell>
          <cell r="F22" t="e">
            <v>#VALUE!</v>
          </cell>
          <cell r="G22" t="str">
            <v/>
          </cell>
          <cell r="H22" t="str">
            <v/>
          </cell>
          <cell r="I22" t="e">
            <v>#VALUE!</v>
          </cell>
          <cell r="J22">
            <v>0</v>
          </cell>
        </row>
        <row r="23">
          <cell r="A23" t="str">
            <v/>
          </cell>
          <cell r="B23" t="str">
            <v/>
          </cell>
          <cell r="C23" t="str">
            <v/>
          </cell>
          <cell r="D23" t="str">
            <v/>
          </cell>
          <cell r="E23" t="e">
            <v>#VALUE!</v>
          </cell>
          <cell r="F23" t="e">
            <v>#VALUE!</v>
          </cell>
          <cell r="G23" t="str">
            <v/>
          </cell>
          <cell r="H23" t="str">
            <v/>
          </cell>
          <cell r="I23" t="e">
            <v>#VALUE!</v>
          </cell>
          <cell r="J23">
            <v>0</v>
          </cell>
        </row>
        <row r="24">
          <cell r="A24" t="str">
            <v/>
          </cell>
          <cell r="B24" t="str">
            <v/>
          </cell>
          <cell r="C24" t="str">
            <v/>
          </cell>
          <cell r="D24" t="str">
            <v/>
          </cell>
          <cell r="E24" t="e">
            <v>#VALUE!</v>
          </cell>
          <cell r="F24" t="e">
            <v>#VALUE!</v>
          </cell>
          <cell r="G24" t="str">
            <v/>
          </cell>
          <cell r="H24" t="str">
            <v/>
          </cell>
          <cell r="I24" t="e">
            <v>#VALUE!</v>
          </cell>
          <cell r="J24">
            <v>0</v>
          </cell>
        </row>
        <row r="25">
          <cell r="A25" t="str">
            <v/>
          </cell>
          <cell r="B25" t="str">
            <v/>
          </cell>
          <cell r="C25" t="str">
            <v/>
          </cell>
          <cell r="D25" t="str">
            <v/>
          </cell>
          <cell r="E25" t="e">
            <v>#VALUE!</v>
          </cell>
          <cell r="F25" t="e">
            <v>#VALUE!</v>
          </cell>
          <cell r="G25" t="str">
            <v/>
          </cell>
          <cell r="H25" t="str">
            <v/>
          </cell>
          <cell r="I25" t="e">
            <v>#VALUE!</v>
          </cell>
          <cell r="J25">
            <v>0</v>
          </cell>
        </row>
        <row r="26">
          <cell r="A26" t="str">
            <v/>
          </cell>
          <cell r="B26" t="str">
            <v/>
          </cell>
          <cell r="C26" t="str">
            <v/>
          </cell>
          <cell r="D26" t="str">
            <v/>
          </cell>
          <cell r="E26" t="e">
            <v>#VALUE!</v>
          </cell>
          <cell r="F26" t="e">
            <v>#VALUE!</v>
          </cell>
          <cell r="G26" t="str">
            <v/>
          </cell>
          <cell r="H26" t="str">
            <v/>
          </cell>
          <cell r="I26" t="e">
            <v>#VALUE!</v>
          </cell>
          <cell r="J26">
            <v>0</v>
          </cell>
        </row>
        <row r="27">
          <cell r="A27" t="str">
            <v/>
          </cell>
          <cell r="B27" t="str">
            <v/>
          </cell>
          <cell r="C27" t="str">
            <v/>
          </cell>
          <cell r="D27" t="str">
            <v/>
          </cell>
          <cell r="E27" t="e">
            <v>#VALUE!</v>
          </cell>
          <cell r="F27" t="e">
            <v>#VALUE!</v>
          </cell>
          <cell r="G27" t="str">
            <v/>
          </cell>
          <cell r="H27" t="str">
            <v/>
          </cell>
          <cell r="I27" t="e">
            <v>#VALUE!</v>
          </cell>
          <cell r="J27">
            <v>0</v>
          </cell>
        </row>
        <row r="28">
          <cell r="A28" t="str">
            <v/>
          </cell>
          <cell r="B28" t="str">
            <v/>
          </cell>
          <cell r="C28" t="str">
            <v/>
          </cell>
          <cell r="D28" t="str">
            <v/>
          </cell>
          <cell r="E28" t="e">
            <v>#VALUE!</v>
          </cell>
          <cell r="F28" t="e">
            <v>#VALUE!</v>
          </cell>
          <cell r="G28" t="str">
            <v/>
          </cell>
          <cell r="H28" t="str">
            <v/>
          </cell>
          <cell r="I28" t="e">
            <v>#VALUE!</v>
          </cell>
          <cell r="J28">
            <v>0</v>
          </cell>
        </row>
        <row r="29">
          <cell r="A29" t="str">
            <v/>
          </cell>
          <cell r="B29" t="str">
            <v/>
          </cell>
          <cell r="C29" t="str">
            <v/>
          </cell>
          <cell r="D29" t="str">
            <v/>
          </cell>
          <cell r="E29" t="e">
            <v>#VALUE!</v>
          </cell>
          <cell r="F29" t="e">
            <v>#VALUE!</v>
          </cell>
          <cell r="G29" t="str">
            <v/>
          </cell>
          <cell r="H29" t="str">
            <v/>
          </cell>
          <cell r="I29" t="e">
            <v>#VALUE!</v>
          </cell>
          <cell r="J29">
            <v>0</v>
          </cell>
        </row>
        <row r="30">
          <cell r="A30" t="str">
            <v/>
          </cell>
          <cell r="B30" t="str">
            <v/>
          </cell>
          <cell r="C30" t="str">
            <v/>
          </cell>
          <cell r="D30" t="str">
            <v/>
          </cell>
          <cell r="E30" t="e">
            <v>#VALUE!</v>
          </cell>
          <cell r="F30" t="e">
            <v>#VALUE!</v>
          </cell>
          <cell r="G30" t="str">
            <v/>
          </cell>
          <cell r="H30" t="str">
            <v/>
          </cell>
          <cell r="I30" t="e">
            <v>#VALUE!</v>
          </cell>
          <cell r="J30">
            <v>0</v>
          </cell>
        </row>
        <row r="31">
          <cell r="A31" t="str">
            <v/>
          </cell>
          <cell r="B31" t="str">
            <v/>
          </cell>
          <cell r="C31" t="str">
            <v/>
          </cell>
          <cell r="D31" t="str">
            <v/>
          </cell>
          <cell r="E31" t="e">
            <v>#VALUE!</v>
          </cell>
          <cell r="F31" t="e">
            <v>#VALUE!</v>
          </cell>
          <cell r="G31" t="str">
            <v/>
          </cell>
          <cell r="H31" t="str">
            <v/>
          </cell>
          <cell r="I31" t="e">
            <v>#VALUE!</v>
          </cell>
          <cell r="J31">
            <v>0</v>
          </cell>
        </row>
        <row r="32">
          <cell r="A32" t="str">
            <v/>
          </cell>
          <cell r="B32" t="str">
            <v/>
          </cell>
          <cell r="C32" t="str">
            <v/>
          </cell>
          <cell r="D32" t="str">
            <v/>
          </cell>
          <cell r="E32" t="e">
            <v>#VALUE!</v>
          </cell>
          <cell r="F32" t="e">
            <v>#VALUE!</v>
          </cell>
          <cell r="G32" t="str">
            <v/>
          </cell>
          <cell r="H32" t="str">
            <v/>
          </cell>
          <cell r="I32" t="e">
            <v>#VALUE!</v>
          </cell>
          <cell r="J32">
            <v>0</v>
          </cell>
        </row>
        <row r="33">
          <cell r="A33" t="str">
            <v/>
          </cell>
          <cell r="B33" t="str">
            <v/>
          </cell>
          <cell r="C33" t="str">
            <v/>
          </cell>
          <cell r="D33" t="str">
            <v/>
          </cell>
          <cell r="E33" t="e">
            <v>#VALUE!</v>
          </cell>
          <cell r="F33" t="e">
            <v>#VALUE!</v>
          </cell>
          <cell r="G33" t="str">
            <v/>
          </cell>
          <cell r="H33" t="str">
            <v/>
          </cell>
          <cell r="I33" t="e">
            <v>#VALUE!</v>
          </cell>
          <cell r="J33">
            <v>0</v>
          </cell>
        </row>
        <row r="34">
          <cell r="A34" t="str">
            <v/>
          </cell>
          <cell r="B34" t="str">
            <v/>
          </cell>
          <cell r="C34" t="str">
            <v/>
          </cell>
          <cell r="D34" t="str">
            <v/>
          </cell>
          <cell r="E34" t="e">
            <v>#VALUE!</v>
          </cell>
          <cell r="F34" t="e">
            <v>#VALUE!</v>
          </cell>
          <cell r="G34" t="str">
            <v/>
          </cell>
          <cell r="H34" t="str">
            <v/>
          </cell>
          <cell r="I34" t="e">
            <v>#VALUE!</v>
          </cell>
          <cell r="J34">
            <v>0</v>
          </cell>
        </row>
        <row r="35">
          <cell r="A35" t="str">
            <v/>
          </cell>
          <cell r="B35" t="str">
            <v/>
          </cell>
          <cell r="C35" t="str">
            <v/>
          </cell>
          <cell r="D35" t="str">
            <v/>
          </cell>
          <cell r="E35" t="e">
            <v>#VALUE!</v>
          </cell>
          <cell r="F35" t="e">
            <v>#VALUE!</v>
          </cell>
          <cell r="G35" t="str">
            <v/>
          </cell>
          <cell r="H35" t="str">
            <v/>
          </cell>
          <cell r="I35" t="e">
            <v>#VALUE!</v>
          </cell>
          <cell r="J35">
            <v>0</v>
          </cell>
        </row>
        <row r="36">
          <cell r="A36" t="str">
            <v/>
          </cell>
          <cell r="B36" t="str">
            <v/>
          </cell>
          <cell r="C36" t="str">
            <v/>
          </cell>
          <cell r="D36" t="str">
            <v/>
          </cell>
          <cell r="E36" t="e">
            <v>#VALUE!</v>
          </cell>
          <cell r="F36" t="e">
            <v>#VALUE!</v>
          </cell>
          <cell r="G36" t="str">
            <v/>
          </cell>
          <cell r="H36" t="str">
            <v/>
          </cell>
          <cell r="I36" t="e">
            <v>#VALUE!</v>
          </cell>
          <cell r="J36">
            <v>0</v>
          </cell>
        </row>
        <row r="37">
          <cell r="A37" t="str">
            <v/>
          </cell>
          <cell r="B37" t="str">
            <v/>
          </cell>
          <cell r="C37" t="str">
            <v/>
          </cell>
          <cell r="D37" t="str">
            <v/>
          </cell>
          <cell r="E37" t="e">
            <v>#VALUE!</v>
          </cell>
          <cell r="F37" t="e">
            <v>#VALUE!</v>
          </cell>
          <cell r="G37" t="str">
            <v/>
          </cell>
          <cell r="H37" t="str">
            <v/>
          </cell>
          <cell r="I37" t="e">
            <v>#VALUE!</v>
          </cell>
          <cell r="J37">
            <v>0</v>
          </cell>
        </row>
        <row r="38">
          <cell r="A38" t="str">
            <v/>
          </cell>
          <cell r="B38" t="str">
            <v/>
          </cell>
          <cell r="C38" t="str">
            <v/>
          </cell>
          <cell r="D38" t="str">
            <v/>
          </cell>
          <cell r="E38" t="e">
            <v>#VALUE!</v>
          </cell>
          <cell r="F38" t="e">
            <v>#VALUE!</v>
          </cell>
          <cell r="G38" t="str">
            <v/>
          </cell>
          <cell r="H38" t="str">
            <v/>
          </cell>
          <cell r="I38" t="e">
            <v>#VALUE!</v>
          </cell>
          <cell r="J38">
            <v>0</v>
          </cell>
        </row>
        <row r="39">
          <cell r="A39" t="str">
            <v/>
          </cell>
          <cell r="B39" t="str">
            <v/>
          </cell>
          <cell r="C39" t="str">
            <v/>
          </cell>
          <cell r="D39" t="str">
            <v/>
          </cell>
          <cell r="E39" t="e">
            <v>#VALUE!</v>
          </cell>
          <cell r="F39" t="e">
            <v>#VALUE!</v>
          </cell>
          <cell r="G39" t="str">
            <v/>
          </cell>
          <cell r="H39" t="str">
            <v/>
          </cell>
          <cell r="I39" t="e">
            <v>#VALUE!</v>
          </cell>
          <cell r="J39">
            <v>0</v>
          </cell>
        </row>
        <row r="40">
          <cell r="A40" t="str">
            <v/>
          </cell>
          <cell r="B40" t="str">
            <v/>
          </cell>
          <cell r="C40" t="str">
            <v/>
          </cell>
          <cell r="D40" t="str">
            <v/>
          </cell>
          <cell r="E40" t="e">
            <v>#VALUE!</v>
          </cell>
          <cell r="F40" t="e">
            <v>#VALUE!</v>
          </cell>
          <cell r="G40" t="str">
            <v/>
          </cell>
          <cell r="H40" t="str">
            <v/>
          </cell>
          <cell r="I40" t="e">
            <v>#VALUE!</v>
          </cell>
          <cell r="J40">
            <v>0</v>
          </cell>
        </row>
        <row r="41">
          <cell r="A41" t="str">
            <v/>
          </cell>
          <cell r="B41" t="str">
            <v/>
          </cell>
          <cell r="C41" t="str">
            <v/>
          </cell>
          <cell r="D41" t="str">
            <v/>
          </cell>
          <cell r="E41" t="e">
            <v>#VALUE!</v>
          </cell>
          <cell r="F41" t="e">
            <v>#VALUE!</v>
          </cell>
          <cell r="G41" t="str">
            <v/>
          </cell>
          <cell r="H41" t="str">
            <v/>
          </cell>
          <cell r="I41" t="e">
            <v>#VALUE!</v>
          </cell>
          <cell r="J41">
            <v>0</v>
          </cell>
        </row>
        <row r="42">
          <cell r="A42" t="str">
            <v/>
          </cell>
          <cell r="B42" t="str">
            <v/>
          </cell>
          <cell r="C42" t="str">
            <v/>
          </cell>
          <cell r="D42" t="str">
            <v/>
          </cell>
          <cell r="E42" t="e">
            <v>#VALUE!</v>
          </cell>
          <cell r="F42" t="e">
            <v>#VALUE!</v>
          </cell>
          <cell r="G42" t="str">
            <v/>
          </cell>
          <cell r="H42" t="str">
            <v/>
          </cell>
          <cell r="I42" t="e">
            <v>#VALUE!</v>
          </cell>
          <cell r="J42">
            <v>0</v>
          </cell>
        </row>
        <row r="43">
          <cell r="A43" t="str">
            <v/>
          </cell>
          <cell r="B43" t="str">
            <v/>
          </cell>
          <cell r="C43" t="str">
            <v/>
          </cell>
          <cell r="D43" t="str">
            <v/>
          </cell>
          <cell r="E43" t="e">
            <v>#VALUE!</v>
          </cell>
          <cell r="F43" t="e">
            <v>#VALUE!</v>
          </cell>
          <cell r="G43" t="str">
            <v/>
          </cell>
          <cell r="H43" t="str">
            <v/>
          </cell>
          <cell r="I43" t="e">
            <v>#VALUE!</v>
          </cell>
          <cell r="J43">
            <v>0</v>
          </cell>
        </row>
        <row r="44">
          <cell r="A44" t="str">
            <v/>
          </cell>
          <cell r="B44" t="str">
            <v/>
          </cell>
          <cell r="C44" t="str">
            <v/>
          </cell>
          <cell r="D44" t="str">
            <v/>
          </cell>
          <cell r="E44" t="e">
            <v>#VALUE!</v>
          </cell>
          <cell r="F44" t="e">
            <v>#VALUE!</v>
          </cell>
          <cell r="G44" t="str">
            <v/>
          </cell>
          <cell r="H44" t="str">
            <v/>
          </cell>
          <cell r="I44" t="e">
            <v>#VALUE!</v>
          </cell>
          <cell r="J44">
            <v>0</v>
          </cell>
        </row>
        <row r="45">
          <cell r="A45" t="str">
            <v/>
          </cell>
          <cell r="B45" t="str">
            <v/>
          </cell>
          <cell r="C45" t="str">
            <v/>
          </cell>
          <cell r="D45" t="str">
            <v/>
          </cell>
          <cell r="E45" t="e">
            <v>#VALUE!</v>
          </cell>
          <cell r="F45" t="e">
            <v>#VALUE!</v>
          </cell>
          <cell r="G45" t="str">
            <v/>
          </cell>
          <cell r="H45" t="str">
            <v/>
          </cell>
          <cell r="I45" t="e">
            <v>#VALUE!</v>
          </cell>
          <cell r="J45">
            <v>0</v>
          </cell>
        </row>
        <row r="46">
          <cell r="A46" t="str">
            <v/>
          </cell>
          <cell r="B46" t="str">
            <v/>
          </cell>
          <cell r="C46" t="str">
            <v/>
          </cell>
          <cell r="D46" t="str">
            <v/>
          </cell>
          <cell r="E46" t="e">
            <v>#VALUE!</v>
          </cell>
          <cell r="F46" t="e">
            <v>#VALUE!</v>
          </cell>
          <cell r="G46" t="str">
            <v/>
          </cell>
          <cell r="H46" t="str">
            <v/>
          </cell>
          <cell r="I46" t="e">
            <v>#VALUE!</v>
          </cell>
          <cell r="J46">
            <v>0</v>
          </cell>
        </row>
        <row r="47">
          <cell r="A47" t="str">
            <v/>
          </cell>
          <cell r="B47" t="str">
            <v/>
          </cell>
          <cell r="C47" t="str">
            <v/>
          </cell>
          <cell r="D47" t="str">
            <v/>
          </cell>
          <cell r="E47" t="e">
            <v>#VALUE!</v>
          </cell>
          <cell r="F47" t="e">
            <v>#VALUE!</v>
          </cell>
          <cell r="G47" t="str">
            <v/>
          </cell>
          <cell r="H47" t="str">
            <v/>
          </cell>
          <cell r="I47" t="e">
            <v>#VALUE!</v>
          </cell>
          <cell r="J47">
            <v>0</v>
          </cell>
        </row>
        <row r="48">
          <cell r="A48" t="str">
            <v/>
          </cell>
          <cell r="B48" t="str">
            <v/>
          </cell>
          <cell r="C48" t="str">
            <v/>
          </cell>
          <cell r="D48" t="str">
            <v/>
          </cell>
          <cell r="E48" t="e">
            <v>#VALUE!</v>
          </cell>
          <cell r="F48" t="e">
            <v>#VALUE!</v>
          </cell>
          <cell r="G48" t="str">
            <v/>
          </cell>
          <cell r="H48" t="str">
            <v/>
          </cell>
          <cell r="I48" t="e">
            <v>#VALUE!</v>
          </cell>
          <cell r="J48">
            <v>0</v>
          </cell>
        </row>
        <row r="49">
          <cell r="A49" t="str">
            <v/>
          </cell>
          <cell r="B49" t="str">
            <v/>
          </cell>
          <cell r="C49" t="str">
            <v/>
          </cell>
          <cell r="D49" t="str">
            <v/>
          </cell>
          <cell r="E49" t="e">
            <v>#VALUE!</v>
          </cell>
          <cell r="F49" t="e">
            <v>#VALUE!</v>
          </cell>
          <cell r="G49" t="str">
            <v/>
          </cell>
          <cell r="H49" t="str">
            <v/>
          </cell>
          <cell r="I49" t="e">
            <v>#VALUE!</v>
          </cell>
          <cell r="J49">
            <v>0</v>
          </cell>
        </row>
        <row r="50">
          <cell r="A50" t="str">
            <v/>
          </cell>
          <cell r="B50" t="str">
            <v/>
          </cell>
          <cell r="C50" t="str">
            <v/>
          </cell>
          <cell r="D50" t="str">
            <v/>
          </cell>
          <cell r="E50" t="e">
            <v>#VALUE!</v>
          </cell>
          <cell r="F50" t="e">
            <v>#VALUE!</v>
          </cell>
          <cell r="G50" t="str">
            <v/>
          </cell>
          <cell r="H50" t="str">
            <v/>
          </cell>
          <cell r="I50" t="e">
            <v>#VALUE!</v>
          </cell>
          <cell r="J50">
            <v>0</v>
          </cell>
        </row>
        <row r="51">
          <cell r="A51" t="str">
            <v/>
          </cell>
          <cell r="B51" t="str">
            <v/>
          </cell>
          <cell r="C51" t="str">
            <v/>
          </cell>
          <cell r="D51" t="str">
            <v/>
          </cell>
          <cell r="E51" t="e">
            <v>#VALUE!</v>
          </cell>
          <cell r="F51" t="e">
            <v>#VALUE!</v>
          </cell>
          <cell r="G51" t="str">
            <v/>
          </cell>
          <cell r="H51" t="str">
            <v/>
          </cell>
          <cell r="I51" t="e">
            <v>#VALUE!</v>
          </cell>
          <cell r="J51">
            <v>0</v>
          </cell>
        </row>
        <row r="52">
          <cell r="A52" t="str">
            <v/>
          </cell>
          <cell r="B52" t="str">
            <v/>
          </cell>
          <cell r="C52" t="str">
            <v/>
          </cell>
          <cell r="D52" t="str">
            <v/>
          </cell>
          <cell r="E52" t="e">
            <v>#VALUE!</v>
          </cell>
          <cell r="F52" t="e">
            <v>#VALUE!</v>
          </cell>
          <cell r="G52" t="str">
            <v/>
          </cell>
          <cell r="H52" t="str">
            <v/>
          </cell>
          <cell r="I52" t="e">
            <v>#VALUE!</v>
          </cell>
          <cell r="J52">
            <v>0</v>
          </cell>
        </row>
        <row r="53">
          <cell r="A53" t="str">
            <v/>
          </cell>
          <cell r="B53" t="str">
            <v/>
          </cell>
          <cell r="C53" t="str">
            <v/>
          </cell>
          <cell r="D53" t="str">
            <v/>
          </cell>
          <cell r="E53" t="e">
            <v>#VALUE!</v>
          </cell>
          <cell r="F53" t="e">
            <v>#VALUE!</v>
          </cell>
          <cell r="G53" t="str">
            <v/>
          </cell>
          <cell r="H53" t="str">
            <v/>
          </cell>
          <cell r="I53" t="e">
            <v>#VALUE!</v>
          </cell>
          <cell r="J53">
            <v>0</v>
          </cell>
        </row>
        <row r="54">
          <cell r="A54" t="str">
            <v/>
          </cell>
          <cell r="B54" t="str">
            <v/>
          </cell>
          <cell r="C54" t="str">
            <v/>
          </cell>
          <cell r="D54" t="str">
            <v/>
          </cell>
          <cell r="E54" t="e">
            <v>#VALUE!</v>
          </cell>
          <cell r="F54" t="e">
            <v>#VALUE!</v>
          </cell>
          <cell r="G54" t="str">
            <v/>
          </cell>
          <cell r="H54" t="str">
            <v/>
          </cell>
          <cell r="I54" t="e">
            <v>#VALUE!</v>
          </cell>
          <cell r="J54">
            <v>0</v>
          </cell>
        </row>
        <row r="55">
          <cell r="A55" t="str">
            <v/>
          </cell>
          <cell r="B55" t="str">
            <v/>
          </cell>
          <cell r="C55" t="str">
            <v/>
          </cell>
          <cell r="D55" t="str">
            <v/>
          </cell>
          <cell r="E55" t="e">
            <v>#VALUE!</v>
          </cell>
          <cell r="F55" t="e">
            <v>#VALUE!</v>
          </cell>
          <cell r="G55" t="str">
            <v/>
          </cell>
          <cell r="H55" t="str">
            <v/>
          </cell>
          <cell r="I55" t="e">
            <v>#VALUE!</v>
          </cell>
          <cell r="J55">
            <v>0</v>
          </cell>
        </row>
        <row r="56">
          <cell r="A56" t="str">
            <v/>
          </cell>
          <cell r="B56" t="str">
            <v/>
          </cell>
          <cell r="C56" t="str">
            <v/>
          </cell>
          <cell r="D56" t="str">
            <v/>
          </cell>
          <cell r="E56" t="e">
            <v>#VALUE!</v>
          </cell>
          <cell r="F56" t="e">
            <v>#VALUE!</v>
          </cell>
          <cell r="G56" t="str">
            <v/>
          </cell>
          <cell r="H56" t="str">
            <v/>
          </cell>
          <cell r="I56" t="e">
            <v>#VALUE!</v>
          </cell>
          <cell r="J56">
            <v>0</v>
          </cell>
        </row>
        <row r="57">
          <cell r="A57" t="str">
            <v/>
          </cell>
          <cell r="B57" t="str">
            <v/>
          </cell>
          <cell r="C57" t="str">
            <v/>
          </cell>
          <cell r="D57" t="str">
            <v/>
          </cell>
          <cell r="E57" t="e">
            <v>#VALUE!</v>
          </cell>
          <cell r="F57" t="e">
            <v>#VALUE!</v>
          </cell>
          <cell r="G57" t="str">
            <v/>
          </cell>
          <cell r="H57" t="str">
            <v/>
          </cell>
          <cell r="I57" t="e">
            <v>#VALUE!</v>
          </cell>
          <cell r="J57">
            <v>0</v>
          </cell>
        </row>
        <row r="58">
          <cell r="A58" t="str">
            <v/>
          </cell>
          <cell r="B58" t="str">
            <v/>
          </cell>
          <cell r="C58" t="str">
            <v/>
          </cell>
          <cell r="D58" t="str">
            <v/>
          </cell>
          <cell r="E58" t="e">
            <v>#VALUE!</v>
          </cell>
          <cell r="F58" t="e">
            <v>#VALUE!</v>
          </cell>
          <cell r="G58" t="str">
            <v/>
          </cell>
          <cell r="H58" t="str">
            <v/>
          </cell>
          <cell r="I58" t="e">
            <v>#VALUE!</v>
          </cell>
          <cell r="J58">
            <v>0</v>
          </cell>
        </row>
        <row r="59">
          <cell r="A59" t="str">
            <v/>
          </cell>
          <cell r="B59" t="str">
            <v/>
          </cell>
          <cell r="C59" t="str">
            <v/>
          </cell>
          <cell r="D59" t="str">
            <v/>
          </cell>
          <cell r="E59" t="e">
            <v>#VALUE!</v>
          </cell>
          <cell r="F59" t="e">
            <v>#VALUE!</v>
          </cell>
          <cell r="G59" t="str">
            <v/>
          </cell>
          <cell r="H59" t="str">
            <v/>
          </cell>
          <cell r="I59" t="e">
            <v>#VALUE!</v>
          </cell>
          <cell r="J59">
            <v>0</v>
          </cell>
        </row>
        <row r="60">
          <cell r="A60" t="str">
            <v/>
          </cell>
          <cell r="B60" t="str">
            <v/>
          </cell>
          <cell r="C60" t="str">
            <v/>
          </cell>
          <cell r="D60" t="str">
            <v/>
          </cell>
          <cell r="E60" t="e">
            <v>#VALUE!</v>
          </cell>
          <cell r="F60" t="e">
            <v>#VALUE!</v>
          </cell>
          <cell r="G60" t="str">
            <v/>
          </cell>
          <cell r="H60" t="str">
            <v/>
          </cell>
          <cell r="I60" t="e">
            <v>#VALUE!</v>
          </cell>
          <cell r="J60">
            <v>0</v>
          </cell>
        </row>
        <row r="61">
          <cell r="A61" t="str">
            <v/>
          </cell>
          <cell r="B61" t="str">
            <v/>
          </cell>
          <cell r="C61" t="str">
            <v/>
          </cell>
          <cell r="D61" t="str">
            <v/>
          </cell>
          <cell r="E61" t="e">
            <v>#VALUE!</v>
          </cell>
          <cell r="F61" t="e">
            <v>#VALUE!</v>
          </cell>
          <cell r="G61" t="str">
            <v/>
          </cell>
          <cell r="H61" t="str">
            <v/>
          </cell>
          <cell r="I61" t="e">
            <v>#VALUE!</v>
          </cell>
          <cell r="J61">
            <v>0</v>
          </cell>
        </row>
        <row r="62">
          <cell r="A62" t="str">
            <v/>
          </cell>
          <cell r="B62" t="str">
            <v/>
          </cell>
          <cell r="C62" t="str">
            <v/>
          </cell>
          <cell r="D62" t="str">
            <v/>
          </cell>
          <cell r="E62" t="e">
            <v>#VALUE!</v>
          </cell>
          <cell r="F62" t="e">
            <v>#VALUE!</v>
          </cell>
          <cell r="G62" t="str">
            <v/>
          </cell>
          <cell r="H62" t="str">
            <v/>
          </cell>
          <cell r="I62" t="e">
            <v>#VALUE!</v>
          </cell>
          <cell r="J62">
            <v>0</v>
          </cell>
        </row>
        <row r="63">
          <cell r="A63" t="str">
            <v/>
          </cell>
          <cell r="B63" t="str">
            <v/>
          </cell>
          <cell r="C63" t="str">
            <v/>
          </cell>
          <cell r="D63" t="str">
            <v/>
          </cell>
          <cell r="E63" t="e">
            <v>#VALUE!</v>
          </cell>
          <cell r="F63" t="e">
            <v>#VALUE!</v>
          </cell>
          <cell r="G63" t="str">
            <v/>
          </cell>
          <cell r="H63" t="str">
            <v/>
          </cell>
          <cell r="I63" t="e">
            <v>#VALUE!</v>
          </cell>
          <cell r="J63">
            <v>0</v>
          </cell>
        </row>
        <row r="64">
          <cell r="A64" t="str">
            <v/>
          </cell>
          <cell r="B64" t="str">
            <v/>
          </cell>
          <cell r="C64" t="str">
            <v/>
          </cell>
          <cell r="D64" t="str">
            <v/>
          </cell>
          <cell r="E64" t="e">
            <v>#VALUE!</v>
          </cell>
          <cell r="F64" t="e">
            <v>#VALUE!</v>
          </cell>
          <cell r="G64" t="str">
            <v/>
          </cell>
          <cell r="H64" t="str">
            <v/>
          </cell>
          <cell r="I64" t="e">
            <v>#VALUE!</v>
          </cell>
          <cell r="J64">
            <v>0</v>
          </cell>
        </row>
        <row r="65">
          <cell r="A65" t="str">
            <v/>
          </cell>
          <cell r="B65" t="str">
            <v/>
          </cell>
          <cell r="C65" t="str">
            <v/>
          </cell>
          <cell r="D65" t="str">
            <v/>
          </cell>
          <cell r="E65" t="e">
            <v>#VALUE!</v>
          </cell>
          <cell r="F65" t="e">
            <v>#VALUE!</v>
          </cell>
          <cell r="G65" t="str">
            <v/>
          </cell>
          <cell r="H65" t="str">
            <v/>
          </cell>
          <cell r="I65" t="e">
            <v>#VALUE!</v>
          </cell>
          <cell r="J65">
            <v>0</v>
          </cell>
        </row>
        <row r="66">
          <cell r="A66" t="str">
            <v/>
          </cell>
          <cell r="B66" t="str">
            <v/>
          </cell>
          <cell r="C66" t="str">
            <v/>
          </cell>
          <cell r="D66" t="str">
            <v/>
          </cell>
          <cell r="E66" t="e">
            <v>#VALUE!</v>
          </cell>
          <cell r="F66" t="e">
            <v>#VALUE!</v>
          </cell>
          <cell r="G66" t="str">
            <v/>
          </cell>
          <cell r="H66" t="str">
            <v/>
          </cell>
          <cell r="I66" t="e">
            <v>#VALUE!</v>
          </cell>
          <cell r="J66">
            <v>0</v>
          </cell>
        </row>
        <row r="67">
          <cell r="A67" t="str">
            <v/>
          </cell>
          <cell r="B67" t="str">
            <v/>
          </cell>
          <cell r="C67" t="str">
            <v/>
          </cell>
          <cell r="D67" t="str">
            <v/>
          </cell>
          <cell r="E67" t="e">
            <v>#VALUE!</v>
          </cell>
          <cell r="F67" t="e">
            <v>#VALUE!</v>
          </cell>
          <cell r="G67" t="str">
            <v/>
          </cell>
          <cell r="H67" t="str">
            <v/>
          </cell>
          <cell r="I67" t="e">
            <v>#VALUE!</v>
          </cell>
          <cell r="J67">
            <v>0</v>
          </cell>
        </row>
        <row r="68">
          <cell r="A68" t="str">
            <v/>
          </cell>
          <cell r="B68" t="str">
            <v/>
          </cell>
          <cell r="C68" t="str">
            <v/>
          </cell>
          <cell r="D68" t="str">
            <v/>
          </cell>
          <cell r="E68" t="e">
            <v>#VALUE!</v>
          </cell>
          <cell r="F68" t="e">
            <v>#VALUE!</v>
          </cell>
          <cell r="G68" t="str">
            <v/>
          </cell>
          <cell r="H68" t="str">
            <v/>
          </cell>
          <cell r="I68" t="e">
            <v>#VALUE!</v>
          </cell>
          <cell r="J68">
            <v>0</v>
          </cell>
        </row>
        <row r="69">
          <cell r="A69" t="str">
            <v/>
          </cell>
          <cell r="B69" t="str">
            <v/>
          </cell>
          <cell r="C69" t="str">
            <v/>
          </cell>
          <cell r="D69" t="str">
            <v/>
          </cell>
          <cell r="E69" t="e">
            <v>#VALUE!</v>
          </cell>
          <cell r="F69" t="e">
            <v>#VALUE!</v>
          </cell>
          <cell r="G69" t="str">
            <v/>
          </cell>
          <cell r="H69" t="str">
            <v/>
          </cell>
          <cell r="I69" t="e">
            <v>#VALUE!</v>
          </cell>
          <cell r="J69">
            <v>0</v>
          </cell>
        </row>
        <row r="70">
          <cell r="A70" t="str">
            <v/>
          </cell>
          <cell r="B70" t="str">
            <v/>
          </cell>
          <cell r="C70" t="str">
            <v/>
          </cell>
          <cell r="D70" t="str">
            <v/>
          </cell>
          <cell r="E70" t="e">
            <v>#VALUE!</v>
          </cell>
          <cell r="F70" t="e">
            <v>#VALUE!</v>
          </cell>
          <cell r="G70" t="str">
            <v/>
          </cell>
          <cell r="H70" t="str">
            <v/>
          </cell>
          <cell r="I70" t="e">
            <v>#VALUE!</v>
          </cell>
          <cell r="J70">
            <v>0</v>
          </cell>
        </row>
        <row r="71">
          <cell r="A71" t="str">
            <v/>
          </cell>
          <cell r="B71" t="str">
            <v/>
          </cell>
          <cell r="C71" t="str">
            <v/>
          </cell>
          <cell r="D71" t="str">
            <v/>
          </cell>
          <cell r="E71" t="e">
            <v>#VALUE!</v>
          </cell>
          <cell r="F71" t="e">
            <v>#VALUE!</v>
          </cell>
          <cell r="G71" t="str">
            <v/>
          </cell>
          <cell r="H71" t="str">
            <v/>
          </cell>
          <cell r="I71" t="e">
            <v>#VALUE!</v>
          </cell>
          <cell r="J71">
            <v>0</v>
          </cell>
        </row>
        <row r="72">
          <cell r="A72" t="str">
            <v/>
          </cell>
          <cell r="B72" t="str">
            <v/>
          </cell>
          <cell r="C72" t="str">
            <v/>
          </cell>
          <cell r="D72" t="str">
            <v/>
          </cell>
          <cell r="E72" t="e">
            <v>#VALUE!</v>
          </cell>
          <cell r="F72" t="e">
            <v>#VALUE!</v>
          </cell>
          <cell r="G72" t="str">
            <v/>
          </cell>
          <cell r="H72" t="str">
            <v/>
          </cell>
          <cell r="I72" t="e">
            <v>#VALUE!</v>
          </cell>
          <cell r="J72">
            <v>0</v>
          </cell>
        </row>
        <row r="73">
          <cell r="A73" t="str">
            <v/>
          </cell>
          <cell r="B73" t="str">
            <v/>
          </cell>
          <cell r="C73" t="str">
            <v/>
          </cell>
          <cell r="D73" t="str">
            <v/>
          </cell>
          <cell r="E73" t="e">
            <v>#VALUE!</v>
          </cell>
          <cell r="F73" t="e">
            <v>#VALUE!</v>
          </cell>
          <cell r="G73" t="str">
            <v/>
          </cell>
          <cell r="H73" t="str">
            <v/>
          </cell>
          <cell r="I73" t="e">
            <v>#VALUE!</v>
          </cell>
          <cell r="J73">
            <v>0</v>
          </cell>
        </row>
        <row r="74">
          <cell r="A74" t="str">
            <v/>
          </cell>
          <cell r="B74" t="str">
            <v/>
          </cell>
          <cell r="C74" t="str">
            <v/>
          </cell>
          <cell r="D74" t="str">
            <v/>
          </cell>
          <cell r="E74" t="e">
            <v>#VALUE!</v>
          </cell>
          <cell r="F74" t="e">
            <v>#VALUE!</v>
          </cell>
          <cell r="G74" t="str">
            <v/>
          </cell>
          <cell r="H74" t="str">
            <v/>
          </cell>
          <cell r="I74" t="e">
            <v>#VALUE!</v>
          </cell>
          <cell r="J74">
            <v>0</v>
          </cell>
        </row>
        <row r="75">
          <cell r="A75" t="str">
            <v/>
          </cell>
          <cell r="B75" t="str">
            <v/>
          </cell>
          <cell r="C75" t="str">
            <v/>
          </cell>
          <cell r="D75" t="str">
            <v/>
          </cell>
          <cell r="E75" t="e">
            <v>#VALUE!</v>
          </cell>
          <cell r="F75" t="e">
            <v>#VALUE!</v>
          </cell>
          <cell r="G75" t="str">
            <v/>
          </cell>
          <cell r="H75" t="str">
            <v/>
          </cell>
          <cell r="I75" t="e">
            <v>#VALUE!</v>
          </cell>
          <cell r="J75">
            <v>0</v>
          </cell>
        </row>
        <row r="76">
          <cell r="A76" t="str">
            <v/>
          </cell>
          <cell r="B76" t="str">
            <v/>
          </cell>
          <cell r="C76" t="str">
            <v/>
          </cell>
          <cell r="D76" t="str">
            <v/>
          </cell>
          <cell r="E76" t="e">
            <v>#VALUE!</v>
          </cell>
          <cell r="F76" t="e">
            <v>#VALUE!</v>
          </cell>
          <cell r="G76" t="str">
            <v/>
          </cell>
          <cell r="H76" t="str">
            <v/>
          </cell>
          <cell r="I76" t="e">
            <v>#VALUE!</v>
          </cell>
          <cell r="J76">
            <v>0</v>
          </cell>
        </row>
        <row r="77">
          <cell r="A77" t="str">
            <v/>
          </cell>
          <cell r="B77" t="str">
            <v/>
          </cell>
          <cell r="C77" t="str">
            <v/>
          </cell>
          <cell r="D77" t="str">
            <v/>
          </cell>
          <cell r="E77" t="e">
            <v>#VALUE!</v>
          </cell>
          <cell r="F77" t="e">
            <v>#VALUE!</v>
          </cell>
          <cell r="G77" t="str">
            <v/>
          </cell>
          <cell r="H77" t="str">
            <v/>
          </cell>
          <cell r="I77" t="e">
            <v>#VALUE!</v>
          </cell>
          <cell r="J77">
            <v>0</v>
          </cell>
        </row>
        <row r="78">
          <cell r="A78" t="str">
            <v/>
          </cell>
          <cell r="B78" t="str">
            <v/>
          </cell>
          <cell r="C78" t="str">
            <v/>
          </cell>
          <cell r="D78" t="str">
            <v/>
          </cell>
          <cell r="E78" t="e">
            <v>#VALUE!</v>
          </cell>
          <cell r="F78" t="e">
            <v>#VALUE!</v>
          </cell>
          <cell r="G78" t="str">
            <v/>
          </cell>
          <cell r="H78" t="str">
            <v/>
          </cell>
          <cell r="I78" t="e">
            <v>#VALUE!</v>
          </cell>
          <cell r="J78">
            <v>0</v>
          </cell>
        </row>
        <row r="79">
          <cell r="A79" t="str">
            <v/>
          </cell>
          <cell r="B79" t="str">
            <v/>
          </cell>
          <cell r="C79" t="str">
            <v/>
          </cell>
          <cell r="D79" t="str">
            <v/>
          </cell>
          <cell r="E79" t="e">
            <v>#VALUE!</v>
          </cell>
          <cell r="F79" t="e">
            <v>#VALUE!</v>
          </cell>
          <cell r="G79" t="str">
            <v/>
          </cell>
          <cell r="H79" t="str">
            <v/>
          </cell>
          <cell r="I79" t="e">
            <v>#VALUE!</v>
          </cell>
          <cell r="J79">
            <v>0</v>
          </cell>
        </row>
        <row r="80">
          <cell r="A80" t="str">
            <v/>
          </cell>
          <cell r="B80" t="str">
            <v/>
          </cell>
          <cell r="C80" t="str">
            <v/>
          </cell>
          <cell r="D80" t="str">
            <v/>
          </cell>
          <cell r="E80" t="e">
            <v>#VALUE!</v>
          </cell>
          <cell r="F80" t="e">
            <v>#VALUE!</v>
          </cell>
          <cell r="G80" t="str">
            <v/>
          </cell>
          <cell r="H80" t="str">
            <v/>
          </cell>
          <cell r="I80" t="e">
            <v>#VALUE!</v>
          </cell>
          <cell r="J80">
            <v>0</v>
          </cell>
        </row>
        <row r="81">
          <cell r="A81" t="str">
            <v/>
          </cell>
          <cell r="B81" t="str">
            <v/>
          </cell>
          <cell r="C81" t="str">
            <v/>
          </cell>
          <cell r="D81" t="str">
            <v/>
          </cell>
          <cell r="E81" t="e">
            <v>#VALUE!</v>
          </cell>
          <cell r="F81" t="e">
            <v>#VALUE!</v>
          </cell>
          <cell r="G81" t="str">
            <v/>
          </cell>
          <cell r="H81" t="str">
            <v/>
          </cell>
          <cell r="I81" t="e">
            <v>#VALUE!</v>
          </cell>
          <cell r="J81">
            <v>0</v>
          </cell>
        </row>
        <row r="82">
          <cell r="A82" t="str">
            <v/>
          </cell>
          <cell r="B82" t="str">
            <v/>
          </cell>
          <cell r="C82" t="str">
            <v/>
          </cell>
          <cell r="D82" t="str">
            <v/>
          </cell>
          <cell r="E82" t="e">
            <v>#VALUE!</v>
          </cell>
          <cell r="F82" t="e">
            <v>#VALUE!</v>
          </cell>
          <cell r="G82" t="str">
            <v/>
          </cell>
          <cell r="H82" t="str">
            <v/>
          </cell>
          <cell r="I82" t="e">
            <v>#VALUE!</v>
          </cell>
          <cell r="J82">
            <v>0</v>
          </cell>
        </row>
        <row r="83">
          <cell r="A83" t="str">
            <v/>
          </cell>
          <cell r="B83" t="str">
            <v/>
          </cell>
          <cell r="C83" t="str">
            <v/>
          </cell>
          <cell r="D83" t="str">
            <v/>
          </cell>
          <cell r="E83" t="e">
            <v>#VALUE!</v>
          </cell>
          <cell r="F83" t="e">
            <v>#VALUE!</v>
          </cell>
          <cell r="G83" t="str">
            <v/>
          </cell>
          <cell r="H83" t="str">
            <v/>
          </cell>
          <cell r="I83" t="e">
            <v>#VALUE!</v>
          </cell>
          <cell r="J83">
            <v>0</v>
          </cell>
        </row>
        <row r="84">
          <cell r="A84" t="str">
            <v/>
          </cell>
          <cell r="B84" t="str">
            <v/>
          </cell>
          <cell r="C84" t="str">
            <v/>
          </cell>
          <cell r="D84" t="str">
            <v/>
          </cell>
          <cell r="E84" t="e">
            <v>#VALUE!</v>
          </cell>
          <cell r="F84" t="e">
            <v>#VALUE!</v>
          </cell>
          <cell r="G84" t="str">
            <v/>
          </cell>
          <cell r="H84" t="str">
            <v/>
          </cell>
          <cell r="I84" t="e">
            <v>#VALUE!</v>
          </cell>
          <cell r="J84">
            <v>0</v>
          </cell>
        </row>
        <row r="85">
          <cell r="A85" t="str">
            <v/>
          </cell>
          <cell r="B85" t="str">
            <v/>
          </cell>
          <cell r="C85" t="str">
            <v/>
          </cell>
          <cell r="D85" t="str">
            <v/>
          </cell>
          <cell r="E85" t="e">
            <v>#VALUE!</v>
          </cell>
          <cell r="F85" t="e">
            <v>#VALUE!</v>
          </cell>
          <cell r="G85" t="str">
            <v/>
          </cell>
          <cell r="H85" t="str">
            <v/>
          </cell>
          <cell r="I85" t="e">
            <v>#VALUE!</v>
          </cell>
          <cell r="J85">
            <v>0</v>
          </cell>
        </row>
        <row r="86">
          <cell r="A86" t="str">
            <v/>
          </cell>
          <cell r="B86" t="str">
            <v/>
          </cell>
          <cell r="C86" t="str">
            <v/>
          </cell>
          <cell r="D86" t="str">
            <v/>
          </cell>
          <cell r="E86" t="e">
            <v>#VALUE!</v>
          </cell>
          <cell r="F86" t="e">
            <v>#VALUE!</v>
          </cell>
          <cell r="G86" t="str">
            <v/>
          </cell>
          <cell r="H86" t="str">
            <v/>
          </cell>
          <cell r="I86" t="e">
            <v>#VALUE!</v>
          </cell>
          <cell r="J86">
            <v>0</v>
          </cell>
        </row>
        <row r="87">
          <cell r="A87" t="str">
            <v/>
          </cell>
          <cell r="B87" t="str">
            <v/>
          </cell>
          <cell r="C87" t="str">
            <v/>
          </cell>
          <cell r="D87" t="str">
            <v/>
          </cell>
          <cell r="E87" t="e">
            <v>#VALUE!</v>
          </cell>
          <cell r="F87" t="e">
            <v>#VALUE!</v>
          </cell>
          <cell r="G87" t="str">
            <v/>
          </cell>
          <cell r="H87" t="str">
            <v/>
          </cell>
          <cell r="I87" t="e">
            <v>#VALUE!</v>
          </cell>
          <cell r="J87">
            <v>0</v>
          </cell>
        </row>
        <row r="88">
          <cell r="A88" t="str">
            <v/>
          </cell>
          <cell r="B88" t="str">
            <v/>
          </cell>
          <cell r="C88" t="str">
            <v/>
          </cell>
          <cell r="D88" t="str">
            <v/>
          </cell>
          <cell r="E88" t="e">
            <v>#VALUE!</v>
          </cell>
          <cell r="F88" t="e">
            <v>#VALUE!</v>
          </cell>
          <cell r="G88" t="str">
            <v/>
          </cell>
          <cell r="H88" t="str">
            <v/>
          </cell>
          <cell r="I88" t="e">
            <v>#VALUE!</v>
          </cell>
          <cell r="J88">
            <v>0</v>
          </cell>
        </row>
        <row r="89">
          <cell r="A89" t="str">
            <v/>
          </cell>
          <cell r="B89" t="str">
            <v/>
          </cell>
          <cell r="C89" t="str">
            <v/>
          </cell>
          <cell r="D89" t="str">
            <v/>
          </cell>
          <cell r="E89" t="e">
            <v>#VALUE!</v>
          </cell>
          <cell r="F89" t="e">
            <v>#VALUE!</v>
          </cell>
          <cell r="G89" t="str">
            <v/>
          </cell>
          <cell r="H89" t="str">
            <v/>
          </cell>
          <cell r="I89" t="e">
            <v>#VALUE!</v>
          </cell>
          <cell r="J89">
            <v>0</v>
          </cell>
        </row>
        <row r="90">
          <cell r="A90" t="str">
            <v/>
          </cell>
          <cell r="B90" t="str">
            <v/>
          </cell>
          <cell r="C90" t="str">
            <v/>
          </cell>
          <cell r="D90" t="str">
            <v/>
          </cell>
          <cell r="E90" t="e">
            <v>#VALUE!</v>
          </cell>
          <cell r="F90" t="e">
            <v>#VALUE!</v>
          </cell>
          <cell r="G90" t="str">
            <v/>
          </cell>
          <cell r="H90" t="str">
            <v/>
          </cell>
          <cell r="I90" t="e">
            <v>#VALUE!</v>
          </cell>
          <cell r="J90">
            <v>0</v>
          </cell>
        </row>
        <row r="91">
          <cell r="A91" t="str">
            <v/>
          </cell>
          <cell r="B91" t="str">
            <v/>
          </cell>
          <cell r="C91" t="str">
            <v/>
          </cell>
          <cell r="D91" t="str">
            <v/>
          </cell>
          <cell r="E91" t="e">
            <v>#VALUE!</v>
          </cell>
          <cell r="F91" t="e">
            <v>#VALUE!</v>
          </cell>
          <cell r="G91" t="str">
            <v/>
          </cell>
          <cell r="H91" t="str">
            <v/>
          </cell>
          <cell r="I91" t="e">
            <v>#VALUE!</v>
          </cell>
          <cell r="J91">
            <v>0</v>
          </cell>
        </row>
        <row r="92">
          <cell r="A92" t="str">
            <v/>
          </cell>
          <cell r="B92" t="str">
            <v/>
          </cell>
          <cell r="C92" t="str">
            <v/>
          </cell>
          <cell r="D92" t="str">
            <v/>
          </cell>
          <cell r="E92" t="e">
            <v>#VALUE!</v>
          </cell>
          <cell r="F92" t="e">
            <v>#VALUE!</v>
          </cell>
          <cell r="G92" t="str">
            <v/>
          </cell>
          <cell r="H92" t="str">
            <v/>
          </cell>
          <cell r="I92" t="e">
            <v>#VALUE!</v>
          </cell>
          <cell r="J92">
            <v>0</v>
          </cell>
        </row>
        <row r="93">
          <cell r="A93" t="str">
            <v/>
          </cell>
          <cell r="B93" t="str">
            <v/>
          </cell>
          <cell r="C93" t="str">
            <v/>
          </cell>
          <cell r="D93" t="str">
            <v/>
          </cell>
          <cell r="E93" t="e">
            <v>#VALUE!</v>
          </cell>
          <cell r="F93" t="e">
            <v>#VALUE!</v>
          </cell>
          <cell r="G93" t="str">
            <v/>
          </cell>
          <cell r="H93" t="str">
            <v/>
          </cell>
          <cell r="I93" t="e">
            <v>#VALUE!</v>
          </cell>
          <cell r="J93">
            <v>0</v>
          </cell>
        </row>
        <row r="94">
          <cell r="A94" t="str">
            <v/>
          </cell>
          <cell r="B94" t="str">
            <v/>
          </cell>
          <cell r="C94" t="str">
            <v/>
          </cell>
          <cell r="D94" t="str">
            <v/>
          </cell>
          <cell r="E94" t="e">
            <v>#VALUE!</v>
          </cell>
          <cell r="F94" t="e">
            <v>#VALUE!</v>
          </cell>
          <cell r="G94" t="str">
            <v/>
          </cell>
          <cell r="H94" t="str">
            <v/>
          </cell>
          <cell r="I94" t="e">
            <v>#VALUE!</v>
          </cell>
          <cell r="J94">
            <v>0</v>
          </cell>
        </row>
        <row r="95">
          <cell r="A95" t="str">
            <v/>
          </cell>
          <cell r="B95" t="str">
            <v/>
          </cell>
          <cell r="C95" t="str">
            <v/>
          </cell>
          <cell r="D95" t="str">
            <v/>
          </cell>
          <cell r="E95" t="e">
            <v>#VALUE!</v>
          </cell>
          <cell r="F95" t="e">
            <v>#VALUE!</v>
          </cell>
          <cell r="G95" t="str">
            <v/>
          </cell>
          <cell r="H95" t="str">
            <v/>
          </cell>
          <cell r="I95" t="e">
            <v>#VALUE!</v>
          </cell>
          <cell r="J95">
            <v>0</v>
          </cell>
        </row>
        <row r="96">
          <cell r="A96" t="str">
            <v/>
          </cell>
          <cell r="B96" t="str">
            <v/>
          </cell>
          <cell r="C96" t="str">
            <v/>
          </cell>
          <cell r="D96" t="str">
            <v/>
          </cell>
          <cell r="E96" t="e">
            <v>#VALUE!</v>
          </cell>
          <cell r="F96" t="e">
            <v>#VALUE!</v>
          </cell>
          <cell r="G96" t="str">
            <v/>
          </cell>
          <cell r="H96" t="str">
            <v/>
          </cell>
          <cell r="I96" t="e">
            <v>#VALUE!</v>
          </cell>
          <cell r="J96">
            <v>0</v>
          </cell>
        </row>
        <row r="97">
          <cell r="A97" t="str">
            <v/>
          </cell>
          <cell r="B97" t="str">
            <v/>
          </cell>
          <cell r="C97" t="str">
            <v/>
          </cell>
          <cell r="D97" t="str">
            <v/>
          </cell>
          <cell r="E97" t="e">
            <v>#VALUE!</v>
          </cell>
          <cell r="F97" t="e">
            <v>#VALUE!</v>
          </cell>
          <cell r="G97" t="str">
            <v/>
          </cell>
          <cell r="H97" t="str">
            <v/>
          </cell>
          <cell r="I97" t="e">
            <v>#VALUE!</v>
          </cell>
          <cell r="J97">
            <v>0</v>
          </cell>
        </row>
        <row r="98">
          <cell r="A98" t="str">
            <v/>
          </cell>
          <cell r="B98" t="str">
            <v/>
          </cell>
          <cell r="C98" t="str">
            <v/>
          </cell>
          <cell r="D98" t="str">
            <v/>
          </cell>
          <cell r="E98" t="e">
            <v>#VALUE!</v>
          </cell>
          <cell r="F98" t="e">
            <v>#VALUE!</v>
          </cell>
          <cell r="G98" t="str">
            <v/>
          </cell>
          <cell r="H98" t="str">
            <v/>
          </cell>
          <cell r="I98" t="e">
            <v>#VALUE!</v>
          </cell>
          <cell r="J98">
            <v>0</v>
          </cell>
        </row>
        <row r="99">
          <cell r="A99" t="str">
            <v/>
          </cell>
          <cell r="B99" t="str">
            <v/>
          </cell>
          <cell r="C99" t="str">
            <v/>
          </cell>
          <cell r="D99" t="str">
            <v/>
          </cell>
          <cell r="E99" t="e">
            <v>#VALUE!</v>
          </cell>
          <cell r="F99" t="e">
            <v>#VALUE!</v>
          </cell>
          <cell r="G99" t="str">
            <v/>
          </cell>
          <cell r="H99" t="str">
            <v/>
          </cell>
          <cell r="I99" t="e">
            <v>#VALUE!</v>
          </cell>
          <cell r="J99">
            <v>0</v>
          </cell>
        </row>
        <row r="100">
          <cell r="A100" t="str">
            <v/>
          </cell>
          <cell r="B100" t="str">
            <v/>
          </cell>
          <cell r="C100" t="str">
            <v/>
          </cell>
          <cell r="D100" t="str">
            <v/>
          </cell>
          <cell r="E100" t="e">
            <v>#VALUE!</v>
          </cell>
          <cell r="F100" t="e">
            <v>#VALUE!</v>
          </cell>
          <cell r="G100" t="str">
            <v/>
          </cell>
          <cell r="H100" t="str">
            <v/>
          </cell>
          <cell r="I100" t="e">
            <v>#VALUE!</v>
          </cell>
          <cell r="J100">
            <v>0</v>
          </cell>
        </row>
        <row r="101">
          <cell r="A101" t="str">
            <v/>
          </cell>
          <cell r="B101" t="str">
            <v/>
          </cell>
          <cell r="C101" t="str">
            <v/>
          </cell>
          <cell r="D101" t="str">
            <v/>
          </cell>
          <cell r="E101" t="e">
            <v>#VALUE!</v>
          </cell>
          <cell r="F101" t="e">
            <v>#VALUE!</v>
          </cell>
          <cell r="G101" t="str">
            <v/>
          </cell>
          <cell r="H101" t="str">
            <v/>
          </cell>
          <cell r="I101" t="e">
            <v>#VALUE!</v>
          </cell>
          <cell r="J101">
            <v>0</v>
          </cell>
        </row>
        <row r="102">
          <cell r="A102" t="str">
            <v/>
          </cell>
          <cell r="B102" t="str">
            <v/>
          </cell>
          <cell r="C102" t="str">
            <v/>
          </cell>
          <cell r="D102" t="str">
            <v/>
          </cell>
          <cell r="E102" t="e">
            <v>#VALUE!</v>
          </cell>
          <cell r="F102" t="e">
            <v>#VALUE!</v>
          </cell>
          <cell r="G102" t="str">
            <v/>
          </cell>
          <cell r="H102" t="str">
            <v/>
          </cell>
          <cell r="I102" t="e">
            <v>#VALUE!</v>
          </cell>
          <cell r="J102">
            <v>0</v>
          </cell>
        </row>
        <row r="103">
          <cell r="A103" t="str">
            <v/>
          </cell>
          <cell r="B103" t="str">
            <v/>
          </cell>
          <cell r="C103" t="str">
            <v/>
          </cell>
          <cell r="D103" t="str">
            <v/>
          </cell>
          <cell r="E103" t="e">
            <v>#VALUE!</v>
          </cell>
          <cell r="F103" t="e">
            <v>#VALUE!</v>
          </cell>
          <cell r="G103" t="str">
            <v/>
          </cell>
          <cell r="H103" t="str">
            <v/>
          </cell>
          <cell r="I103" t="e">
            <v>#VALUE!</v>
          </cell>
          <cell r="J103">
            <v>0</v>
          </cell>
        </row>
        <row r="104">
          <cell r="A104" t="str">
            <v/>
          </cell>
          <cell r="B104" t="str">
            <v/>
          </cell>
          <cell r="C104" t="str">
            <v/>
          </cell>
          <cell r="D104" t="str">
            <v/>
          </cell>
          <cell r="E104" t="e">
            <v>#VALUE!</v>
          </cell>
          <cell r="F104" t="e">
            <v>#VALUE!</v>
          </cell>
          <cell r="G104" t="str">
            <v/>
          </cell>
          <cell r="H104" t="str">
            <v/>
          </cell>
          <cell r="I104" t="e">
            <v>#VALUE!</v>
          </cell>
          <cell r="J104">
            <v>0</v>
          </cell>
        </row>
        <row r="105">
          <cell r="A105" t="str">
            <v/>
          </cell>
          <cell r="B105" t="str">
            <v/>
          </cell>
          <cell r="C105" t="str">
            <v/>
          </cell>
          <cell r="D105" t="str">
            <v/>
          </cell>
          <cell r="E105" t="e">
            <v>#VALUE!</v>
          </cell>
          <cell r="F105" t="e">
            <v>#VALUE!</v>
          </cell>
          <cell r="G105" t="str">
            <v/>
          </cell>
          <cell r="H105" t="str">
            <v/>
          </cell>
          <cell r="I105" t="e">
            <v>#VALUE!</v>
          </cell>
          <cell r="J105">
            <v>0</v>
          </cell>
        </row>
        <row r="106">
          <cell r="A106" t="str">
            <v/>
          </cell>
          <cell r="B106" t="str">
            <v/>
          </cell>
          <cell r="C106" t="str">
            <v/>
          </cell>
          <cell r="D106" t="str">
            <v/>
          </cell>
          <cell r="E106" t="e">
            <v>#VALUE!</v>
          </cell>
          <cell r="F106" t="e">
            <v>#VALUE!</v>
          </cell>
          <cell r="G106" t="str">
            <v/>
          </cell>
          <cell r="H106" t="str">
            <v/>
          </cell>
          <cell r="I106" t="e">
            <v>#VALUE!</v>
          </cell>
          <cell r="J106">
            <v>0</v>
          </cell>
        </row>
        <row r="107">
          <cell r="A107" t="str">
            <v/>
          </cell>
          <cell r="B107" t="str">
            <v/>
          </cell>
          <cell r="C107" t="str">
            <v/>
          </cell>
          <cell r="D107" t="str">
            <v/>
          </cell>
          <cell r="E107" t="e">
            <v>#VALUE!</v>
          </cell>
          <cell r="F107" t="e">
            <v>#VALUE!</v>
          </cell>
          <cell r="G107" t="str">
            <v/>
          </cell>
          <cell r="H107" t="str">
            <v/>
          </cell>
          <cell r="I107" t="e">
            <v>#VALUE!</v>
          </cell>
          <cell r="J107">
            <v>0</v>
          </cell>
        </row>
        <row r="108">
          <cell r="A108" t="str">
            <v/>
          </cell>
          <cell r="B108" t="str">
            <v/>
          </cell>
          <cell r="C108" t="str">
            <v/>
          </cell>
          <cell r="D108" t="str">
            <v/>
          </cell>
          <cell r="E108" t="e">
            <v>#VALUE!</v>
          </cell>
          <cell r="F108" t="e">
            <v>#VALUE!</v>
          </cell>
          <cell r="G108" t="str">
            <v/>
          </cell>
          <cell r="H108" t="str">
            <v/>
          </cell>
          <cell r="I108" t="e">
            <v>#VALUE!</v>
          </cell>
          <cell r="J108">
            <v>0</v>
          </cell>
        </row>
        <row r="109">
          <cell r="A109" t="str">
            <v/>
          </cell>
          <cell r="B109" t="str">
            <v/>
          </cell>
          <cell r="C109" t="str">
            <v/>
          </cell>
          <cell r="D109" t="str">
            <v/>
          </cell>
          <cell r="E109" t="e">
            <v>#VALUE!</v>
          </cell>
          <cell r="F109" t="e">
            <v>#VALUE!</v>
          </cell>
          <cell r="G109" t="str">
            <v/>
          </cell>
          <cell r="H109" t="str">
            <v/>
          </cell>
          <cell r="I109" t="e">
            <v>#VALUE!</v>
          </cell>
          <cell r="J109">
            <v>0</v>
          </cell>
        </row>
        <row r="110">
          <cell r="A110" t="str">
            <v/>
          </cell>
          <cell r="B110" t="str">
            <v/>
          </cell>
          <cell r="C110" t="str">
            <v/>
          </cell>
          <cell r="D110" t="str">
            <v/>
          </cell>
          <cell r="E110" t="e">
            <v>#VALUE!</v>
          </cell>
          <cell r="F110" t="e">
            <v>#VALUE!</v>
          </cell>
          <cell r="G110" t="str">
            <v/>
          </cell>
          <cell r="H110" t="str">
            <v/>
          </cell>
          <cell r="I110" t="e">
            <v>#VALUE!</v>
          </cell>
          <cell r="J110">
            <v>0</v>
          </cell>
        </row>
        <row r="111">
          <cell r="A111" t="str">
            <v/>
          </cell>
          <cell r="B111" t="str">
            <v/>
          </cell>
          <cell r="C111" t="str">
            <v/>
          </cell>
          <cell r="D111" t="str">
            <v/>
          </cell>
          <cell r="E111" t="e">
            <v>#VALUE!</v>
          </cell>
          <cell r="F111" t="e">
            <v>#VALUE!</v>
          </cell>
          <cell r="G111" t="str">
            <v/>
          </cell>
          <cell r="H111" t="str">
            <v/>
          </cell>
          <cell r="I111" t="e">
            <v>#VALUE!</v>
          </cell>
          <cell r="J111">
            <v>0</v>
          </cell>
        </row>
        <row r="112">
          <cell r="A112" t="str">
            <v/>
          </cell>
          <cell r="B112" t="str">
            <v/>
          </cell>
          <cell r="C112" t="str">
            <v/>
          </cell>
          <cell r="D112" t="str">
            <v/>
          </cell>
          <cell r="E112" t="e">
            <v>#VALUE!</v>
          </cell>
          <cell r="F112" t="e">
            <v>#VALUE!</v>
          </cell>
          <cell r="G112" t="str">
            <v/>
          </cell>
          <cell r="H112" t="str">
            <v/>
          </cell>
          <cell r="I112" t="e">
            <v>#VALUE!</v>
          </cell>
          <cell r="J112">
            <v>0</v>
          </cell>
        </row>
        <row r="113">
          <cell r="A113" t="str">
            <v/>
          </cell>
          <cell r="B113" t="str">
            <v/>
          </cell>
          <cell r="C113" t="str">
            <v/>
          </cell>
          <cell r="D113" t="str">
            <v/>
          </cell>
          <cell r="E113" t="e">
            <v>#VALUE!</v>
          </cell>
          <cell r="F113" t="e">
            <v>#VALUE!</v>
          </cell>
          <cell r="G113" t="str">
            <v/>
          </cell>
          <cell r="H113" t="str">
            <v/>
          </cell>
          <cell r="I113" t="e">
            <v>#VALUE!</v>
          </cell>
          <cell r="J113">
            <v>0</v>
          </cell>
        </row>
        <row r="114">
          <cell r="A114" t="str">
            <v/>
          </cell>
          <cell r="B114" t="str">
            <v/>
          </cell>
          <cell r="C114" t="str">
            <v/>
          </cell>
          <cell r="D114" t="str">
            <v/>
          </cell>
          <cell r="E114" t="e">
            <v>#VALUE!</v>
          </cell>
          <cell r="F114" t="e">
            <v>#VALUE!</v>
          </cell>
          <cell r="G114" t="str">
            <v/>
          </cell>
          <cell r="H114" t="str">
            <v/>
          </cell>
          <cell r="I114" t="e">
            <v>#VALUE!</v>
          </cell>
          <cell r="J114">
            <v>0</v>
          </cell>
        </row>
        <row r="115">
          <cell r="A115" t="str">
            <v/>
          </cell>
          <cell r="B115" t="str">
            <v/>
          </cell>
          <cell r="C115" t="str">
            <v/>
          </cell>
          <cell r="D115" t="str">
            <v/>
          </cell>
          <cell r="E115" t="e">
            <v>#VALUE!</v>
          </cell>
          <cell r="F115" t="e">
            <v>#VALUE!</v>
          </cell>
          <cell r="G115" t="str">
            <v/>
          </cell>
          <cell r="H115" t="str">
            <v/>
          </cell>
          <cell r="I115" t="e">
            <v>#VALUE!</v>
          </cell>
          <cell r="J115">
            <v>0</v>
          </cell>
        </row>
        <row r="116">
          <cell r="A116" t="str">
            <v/>
          </cell>
          <cell r="B116" t="str">
            <v/>
          </cell>
          <cell r="C116" t="str">
            <v/>
          </cell>
          <cell r="D116" t="str">
            <v/>
          </cell>
          <cell r="E116" t="e">
            <v>#VALUE!</v>
          </cell>
          <cell r="F116" t="e">
            <v>#VALUE!</v>
          </cell>
          <cell r="G116" t="str">
            <v/>
          </cell>
          <cell r="H116" t="str">
            <v/>
          </cell>
          <cell r="I116" t="e">
            <v>#VALUE!</v>
          </cell>
          <cell r="J116">
            <v>0</v>
          </cell>
        </row>
        <row r="117">
          <cell r="A117" t="str">
            <v/>
          </cell>
          <cell r="B117" t="str">
            <v/>
          </cell>
          <cell r="C117" t="str">
            <v/>
          </cell>
          <cell r="D117" t="str">
            <v/>
          </cell>
          <cell r="E117" t="e">
            <v>#VALUE!</v>
          </cell>
          <cell r="F117" t="e">
            <v>#VALUE!</v>
          </cell>
          <cell r="G117" t="str">
            <v/>
          </cell>
          <cell r="H117" t="str">
            <v/>
          </cell>
          <cell r="I117" t="e">
            <v>#VALUE!</v>
          </cell>
          <cell r="J117">
            <v>0</v>
          </cell>
        </row>
        <row r="118">
          <cell r="A118" t="str">
            <v/>
          </cell>
          <cell r="B118" t="str">
            <v/>
          </cell>
          <cell r="C118" t="str">
            <v/>
          </cell>
          <cell r="D118" t="str">
            <v/>
          </cell>
          <cell r="E118" t="e">
            <v>#VALUE!</v>
          </cell>
          <cell r="F118" t="e">
            <v>#VALUE!</v>
          </cell>
          <cell r="G118" t="str">
            <v/>
          </cell>
          <cell r="H118" t="str">
            <v/>
          </cell>
          <cell r="I118" t="e">
            <v>#VALUE!</v>
          </cell>
          <cell r="J118">
            <v>0</v>
          </cell>
        </row>
        <row r="119">
          <cell r="A119" t="str">
            <v/>
          </cell>
          <cell r="B119" t="str">
            <v/>
          </cell>
          <cell r="C119" t="str">
            <v/>
          </cell>
          <cell r="D119" t="str">
            <v/>
          </cell>
          <cell r="E119" t="e">
            <v>#VALUE!</v>
          </cell>
          <cell r="F119" t="e">
            <v>#VALUE!</v>
          </cell>
          <cell r="G119" t="str">
            <v/>
          </cell>
          <cell r="H119" t="str">
            <v/>
          </cell>
          <cell r="I119" t="e">
            <v>#VALUE!</v>
          </cell>
          <cell r="J119">
            <v>0</v>
          </cell>
        </row>
        <row r="120">
          <cell r="A120" t="str">
            <v/>
          </cell>
          <cell r="B120" t="str">
            <v/>
          </cell>
          <cell r="C120" t="str">
            <v/>
          </cell>
          <cell r="D120" t="str">
            <v/>
          </cell>
          <cell r="E120" t="e">
            <v>#VALUE!</v>
          </cell>
          <cell r="F120" t="e">
            <v>#VALUE!</v>
          </cell>
          <cell r="G120" t="str">
            <v/>
          </cell>
          <cell r="H120" t="str">
            <v/>
          </cell>
          <cell r="I120" t="e">
            <v>#VALUE!</v>
          </cell>
          <cell r="J120">
            <v>0</v>
          </cell>
        </row>
        <row r="121">
          <cell r="A121" t="str">
            <v/>
          </cell>
          <cell r="B121" t="str">
            <v/>
          </cell>
          <cell r="C121" t="str">
            <v/>
          </cell>
          <cell r="D121" t="str">
            <v/>
          </cell>
          <cell r="E121" t="e">
            <v>#VALUE!</v>
          </cell>
          <cell r="F121" t="e">
            <v>#VALUE!</v>
          </cell>
          <cell r="G121" t="str">
            <v/>
          </cell>
          <cell r="H121" t="str">
            <v/>
          </cell>
          <cell r="I121" t="e">
            <v>#VALUE!</v>
          </cell>
          <cell r="J121">
            <v>0</v>
          </cell>
        </row>
        <row r="122">
          <cell r="A122" t="str">
            <v/>
          </cell>
          <cell r="B122" t="str">
            <v/>
          </cell>
          <cell r="C122" t="str">
            <v/>
          </cell>
          <cell r="D122" t="str">
            <v/>
          </cell>
          <cell r="E122" t="e">
            <v>#VALUE!</v>
          </cell>
          <cell r="F122" t="e">
            <v>#VALUE!</v>
          </cell>
          <cell r="G122" t="str">
            <v/>
          </cell>
          <cell r="H122" t="str">
            <v/>
          </cell>
          <cell r="I122" t="e">
            <v>#VALUE!</v>
          </cell>
          <cell r="J122">
            <v>0</v>
          </cell>
        </row>
        <row r="123">
          <cell r="A123" t="str">
            <v/>
          </cell>
          <cell r="B123" t="str">
            <v/>
          </cell>
          <cell r="C123" t="str">
            <v/>
          </cell>
          <cell r="D123" t="str">
            <v/>
          </cell>
          <cell r="E123" t="e">
            <v>#VALUE!</v>
          </cell>
          <cell r="F123" t="e">
            <v>#VALUE!</v>
          </cell>
          <cell r="G123" t="str">
            <v/>
          </cell>
          <cell r="H123" t="str">
            <v/>
          </cell>
          <cell r="I123" t="e">
            <v>#VALUE!</v>
          </cell>
          <cell r="J123">
            <v>0</v>
          </cell>
        </row>
        <row r="124">
          <cell r="A124" t="str">
            <v/>
          </cell>
          <cell r="B124" t="str">
            <v/>
          </cell>
          <cell r="C124" t="str">
            <v/>
          </cell>
          <cell r="D124" t="str">
            <v/>
          </cell>
          <cell r="E124" t="e">
            <v>#VALUE!</v>
          </cell>
          <cell r="F124" t="e">
            <v>#VALUE!</v>
          </cell>
          <cell r="G124" t="str">
            <v/>
          </cell>
          <cell r="H124" t="str">
            <v/>
          </cell>
          <cell r="I124" t="e">
            <v>#VALUE!</v>
          </cell>
          <cell r="J124">
            <v>0</v>
          </cell>
        </row>
        <row r="125">
          <cell r="A125" t="str">
            <v/>
          </cell>
          <cell r="B125" t="str">
            <v/>
          </cell>
          <cell r="C125" t="str">
            <v/>
          </cell>
          <cell r="D125" t="str">
            <v/>
          </cell>
          <cell r="E125" t="e">
            <v>#VALUE!</v>
          </cell>
          <cell r="F125" t="e">
            <v>#VALUE!</v>
          </cell>
          <cell r="G125" t="str">
            <v/>
          </cell>
          <cell r="H125" t="str">
            <v/>
          </cell>
          <cell r="I125" t="e">
            <v>#VALUE!</v>
          </cell>
          <cell r="J125">
            <v>0</v>
          </cell>
        </row>
        <row r="126">
          <cell r="A126" t="str">
            <v/>
          </cell>
          <cell r="B126" t="str">
            <v/>
          </cell>
          <cell r="C126" t="str">
            <v/>
          </cell>
          <cell r="D126" t="str">
            <v/>
          </cell>
          <cell r="E126" t="e">
            <v>#VALUE!</v>
          </cell>
          <cell r="F126" t="e">
            <v>#VALUE!</v>
          </cell>
          <cell r="G126" t="str">
            <v/>
          </cell>
          <cell r="H126" t="str">
            <v/>
          </cell>
          <cell r="I126" t="e">
            <v>#VALUE!</v>
          </cell>
          <cell r="J126">
            <v>0</v>
          </cell>
        </row>
        <row r="127">
          <cell r="A127" t="str">
            <v/>
          </cell>
          <cell r="B127" t="str">
            <v/>
          </cell>
          <cell r="C127" t="str">
            <v/>
          </cell>
          <cell r="D127" t="str">
            <v/>
          </cell>
          <cell r="E127" t="e">
            <v>#VALUE!</v>
          </cell>
          <cell r="F127" t="e">
            <v>#VALUE!</v>
          </cell>
          <cell r="G127" t="str">
            <v/>
          </cell>
          <cell r="H127" t="str">
            <v/>
          </cell>
          <cell r="I127" t="e">
            <v>#VALUE!</v>
          </cell>
          <cell r="J127">
            <v>0</v>
          </cell>
        </row>
        <row r="128">
          <cell r="A128" t="str">
            <v/>
          </cell>
          <cell r="B128" t="str">
            <v/>
          </cell>
          <cell r="C128" t="str">
            <v/>
          </cell>
          <cell r="D128" t="str">
            <v/>
          </cell>
          <cell r="E128" t="e">
            <v>#VALUE!</v>
          </cell>
          <cell r="F128" t="e">
            <v>#VALUE!</v>
          </cell>
          <cell r="G128" t="str">
            <v/>
          </cell>
          <cell r="H128" t="str">
            <v/>
          </cell>
          <cell r="I128" t="e">
            <v>#VALUE!</v>
          </cell>
          <cell r="J128">
            <v>0</v>
          </cell>
        </row>
        <row r="129">
          <cell r="A129" t="str">
            <v/>
          </cell>
          <cell r="B129" t="str">
            <v/>
          </cell>
          <cell r="C129" t="str">
            <v/>
          </cell>
          <cell r="D129" t="str">
            <v/>
          </cell>
          <cell r="E129" t="e">
            <v>#VALUE!</v>
          </cell>
          <cell r="F129" t="e">
            <v>#VALUE!</v>
          </cell>
          <cell r="G129" t="str">
            <v/>
          </cell>
          <cell r="H129" t="str">
            <v/>
          </cell>
          <cell r="I129" t="e">
            <v>#VALUE!</v>
          </cell>
          <cell r="J129">
            <v>0</v>
          </cell>
        </row>
        <row r="130">
          <cell r="A130" t="str">
            <v/>
          </cell>
          <cell r="B130" t="str">
            <v/>
          </cell>
          <cell r="C130" t="str">
            <v/>
          </cell>
          <cell r="D130" t="str">
            <v/>
          </cell>
          <cell r="E130" t="e">
            <v>#VALUE!</v>
          </cell>
          <cell r="F130" t="e">
            <v>#VALUE!</v>
          </cell>
          <cell r="G130" t="str">
            <v/>
          </cell>
          <cell r="H130" t="str">
            <v/>
          </cell>
          <cell r="I130" t="e">
            <v>#VALUE!</v>
          </cell>
          <cell r="J130">
            <v>0</v>
          </cell>
        </row>
        <row r="131">
          <cell r="A131" t="str">
            <v/>
          </cell>
          <cell r="B131" t="str">
            <v/>
          </cell>
          <cell r="C131" t="str">
            <v/>
          </cell>
          <cell r="D131" t="str">
            <v/>
          </cell>
          <cell r="E131" t="e">
            <v>#VALUE!</v>
          </cell>
          <cell r="F131" t="e">
            <v>#VALUE!</v>
          </cell>
          <cell r="G131" t="str">
            <v/>
          </cell>
          <cell r="H131" t="str">
            <v/>
          </cell>
          <cell r="I131" t="e">
            <v>#VALUE!</v>
          </cell>
          <cell r="J131">
            <v>0</v>
          </cell>
        </row>
        <row r="132">
          <cell r="A132" t="str">
            <v/>
          </cell>
          <cell r="B132" t="str">
            <v/>
          </cell>
          <cell r="C132" t="str">
            <v/>
          </cell>
          <cell r="D132" t="str">
            <v/>
          </cell>
          <cell r="E132" t="e">
            <v>#VALUE!</v>
          </cell>
          <cell r="F132" t="e">
            <v>#VALUE!</v>
          </cell>
          <cell r="G132" t="str">
            <v/>
          </cell>
          <cell r="H132" t="str">
            <v/>
          </cell>
          <cell r="I132" t="e">
            <v>#VALUE!</v>
          </cell>
          <cell r="J132">
            <v>0</v>
          </cell>
        </row>
        <row r="133">
          <cell r="A133" t="str">
            <v/>
          </cell>
          <cell r="B133" t="str">
            <v/>
          </cell>
          <cell r="C133" t="str">
            <v/>
          </cell>
          <cell r="D133" t="str">
            <v/>
          </cell>
          <cell r="E133" t="e">
            <v>#VALUE!</v>
          </cell>
          <cell r="F133" t="e">
            <v>#VALUE!</v>
          </cell>
          <cell r="G133" t="str">
            <v/>
          </cell>
          <cell r="H133" t="str">
            <v/>
          </cell>
          <cell r="I133" t="e">
            <v>#VALUE!</v>
          </cell>
          <cell r="J133">
            <v>0</v>
          </cell>
        </row>
        <row r="134">
          <cell r="A134" t="str">
            <v/>
          </cell>
          <cell r="B134" t="str">
            <v/>
          </cell>
          <cell r="C134" t="str">
            <v/>
          </cell>
          <cell r="D134" t="str">
            <v/>
          </cell>
          <cell r="E134" t="e">
            <v>#VALUE!</v>
          </cell>
          <cell r="F134" t="e">
            <v>#VALUE!</v>
          </cell>
          <cell r="G134" t="str">
            <v/>
          </cell>
          <cell r="H134" t="str">
            <v/>
          </cell>
          <cell r="I134" t="e">
            <v>#VALUE!</v>
          </cell>
          <cell r="J134">
            <v>0</v>
          </cell>
        </row>
        <row r="135">
          <cell r="A135" t="str">
            <v/>
          </cell>
          <cell r="B135" t="str">
            <v/>
          </cell>
          <cell r="C135" t="str">
            <v/>
          </cell>
          <cell r="D135" t="str">
            <v/>
          </cell>
          <cell r="E135" t="e">
            <v>#VALUE!</v>
          </cell>
          <cell r="F135" t="e">
            <v>#VALUE!</v>
          </cell>
          <cell r="G135" t="str">
            <v/>
          </cell>
          <cell r="H135" t="str">
            <v/>
          </cell>
          <cell r="I135" t="e">
            <v>#VALUE!</v>
          </cell>
          <cell r="J135">
            <v>0</v>
          </cell>
        </row>
        <row r="136">
          <cell r="A136" t="str">
            <v/>
          </cell>
          <cell r="B136" t="str">
            <v/>
          </cell>
          <cell r="C136" t="str">
            <v/>
          </cell>
          <cell r="D136" t="str">
            <v/>
          </cell>
          <cell r="E136" t="e">
            <v>#VALUE!</v>
          </cell>
          <cell r="F136" t="e">
            <v>#VALUE!</v>
          </cell>
          <cell r="G136" t="str">
            <v/>
          </cell>
          <cell r="H136" t="str">
            <v/>
          </cell>
          <cell r="I136" t="e">
            <v>#VALUE!</v>
          </cell>
          <cell r="J136">
            <v>0</v>
          </cell>
        </row>
        <row r="137">
          <cell r="A137" t="str">
            <v/>
          </cell>
          <cell r="B137" t="str">
            <v/>
          </cell>
          <cell r="C137" t="str">
            <v/>
          </cell>
          <cell r="D137" t="str">
            <v/>
          </cell>
          <cell r="E137" t="e">
            <v>#VALUE!</v>
          </cell>
          <cell r="F137" t="e">
            <v>#VALUE!</v>
          </cell>
          <cell r="G137" t="str">
            <v/>
          </cell>
          <cell r="H137" t="str">
            <v/>
          </cell>
          <cell r="I137" t="e">
            <v>#VALUE!</v>
          </cell>
          <cell r="J137">
            <v>0</v>
          </cell>
        </row>
        <row r="138">
          <cell r="A138" t="str">
            <v/>
          </cell>
          <cell r="B138" t="str">
            <v/>
          </cell>
          <cell r="C138" t="str">
            <v/>
          </cell>
          <cell r="D138" t="str">
            <v/>
          </cell>
          <cell r="E138" t="e">
            <v>#VALUE!</v>
          </cell>
          <cell r="F138" t="e">
            <v>#VALUE!</v>
          </cell>
          <cell r="G138" t="str">
            <v/>
          </cell>
          <cell r="H138" t="str">
            <v/>
          </cell>
          <cell r="I138" t="e">
            <v>#VALUE!</v>
          </cell>
          <cell r="J138">
            <v>0</v>
          </cell>
        </row>
        <row r="139">
          <cell r="A139" t="str">
            <v/>
          </cell>
          <cell r="B139" t="str">
            <v/>
          </cell>
          <cell r="C139" t="str">
            <v/>
          </cell>
          <cell r="D139" t="str">
            <v/>
          </cell>
          <cell r="E139" t="e">
            <v>#VALUE!</v>
          </cell>
          <cell r="F139" t="e">
            <v>#VALUE!</v>
          </cell>
          <cell r="G139" t="str">
            <v/>
          </cell>
          <cell r="H139" t="str">
            <v/>
          </cell>
          <cell r="I139" t="e">
            <v>#VALUE!</v>
          </cell>
          <cell r="J139">
            <v>0</v>
          </cell>
        </row>
        <row r="140">
          <cell r="A140" t="str">
            <v/>
          </cell>
          <cell r="B140" t="str">
            <v/>
          </cell>
          <cell r="C140" t="str">
            <v/>
          </cell>
          <cell r="D140" t="str">
            <v/>
          </cell>
          <cell r="E140" t="e">
            <v>#VALUE!</v>
          </cell>
          <cell r="F140" t="e">
            <v>#VALUE!</v>
          </cell>
          <cell r="G140" t="str">
            <v/>
          </cell>
          <cell r="H140" t="str">
            <v/>
          </cell>
          <cell r="I140" t="e">
            <v>#VALUE!</v>
          </cell>
          <cell r="J140">
            <v>0</v>
          </cell>
        </row>
        <row r="141">
          <cell r="A141" t="str">
            <v/>
          </cell>
          <cell r="B141" t="str">
            <v/>
          </cell>
          <cell r="C141" t="str">
            <v/>
          </cell>
          <cell r="D141" t="str">
            <v/>
          </cell>
          <cell r="E141" t="e">
            <v>#VALUE!</v>
          </cell>
          <cell r="F141" t="e">
            <v>#VALUE!</v>
          </cell>
          <cell r="G141" t="str">
            <v/>
          </cell>
          <cell r="H141" t="str">
            <v/>
          </cell>
          <cell r="I141" t="e">
            <v>#VALUE!</v>
          </cell>
          <cell r="J141">
            <v>0</v>
          </cell>
        </row>
        <row r="142">
          <cell r="A142" t="str">
            <v/>
          </cell>
          <cell r="B142" t="str">
            <v/>
          </cell>
          <cell r="C142" t="str">
            <v/>
          </cell>
          <cell r="D142" t="str">
            <v/>
          </cell>
          <cell r="E142" t="e">
            <v>#VALUE!</v>
          </cell>
          <cell r="F142" t="e">
            <v>#VALUE!</v>
          </cell>
          <cell r="G142" t="str">
            <v/>
          </cell>
          <cell r="H142" t="str">
            <v/>
          </cell>
          <cell r="I142" t="e">
            <v>#VALUE!</v>
          </cell>
          <cell r="J142">
            <v>0</v>
          </cell>
        </row>
        <row r="143">
          <cell r="A143" t="str">
            <v/>
          </cell>
          <cell r="B143" t="str">
            <v/>
          </cell>
          <cell r="C143" t="str">
            <v/>
          </cell>
          <cell r="D143" t="str">
            <v/>
          </cell>
          <cell r="E143" t="e">
            <v>#VALUE!</v>
          </cell>
          <cell r="F143" t="e">
            <v>#VALUE!</v>
          </cell>
          <cell r="G143" t="str">
            <v/>
          </cell>
          <cell r="H143" t="str">
            <v/>
          </cell>
          <cell r="I143" t="e">
            <v>#VALUE!</v>
          </cell>
          <cell r="J143">
            <v>0</v>
          </cell>
        </row>
        <row r="144">
          <cell r="A144" t="str">
            <v/>
          </cell>
          <cell r="B144" t="str">
            <v/>
          </cell>
          <cell r="C144" t="str">
            <v/>
          </cell>
          <cell r="D144" t="str">
            <v/>
          </cell>
          <cell r="E144" t="e">
            <v>#VALUE!</v>
          </cell>
          <cell r="F144" t="e">
            <v>#VALUE!</v>
          </cell>
          <cell r="G144" t="str">
            <v/>
          </cell>
          <cell r="H144" t="str">
            <v/>
          </cell>
          <cell r="I144" t="e">
            <v>#VALUE!</v>
          </cell>
          <cell r="J144">
            <v>0</v>
          </cell>
        </row>
        <row r="145">
          <cell r="A145" t="str">
            <v/>
          </cell>
          <cell r="B145" t="str">
            <v/>
          </cell>
          <cell r="C145" t="str">
            <v/>
          </cell>
          <cell r="D145" t="str">
            <v/>
          </cell>
          <cell r="E145" t="e">
            <v>#VALUE!</v>
          </cell>
          <cell r="F145" t="e">
            <v>#VALUE!</v>
          </cell>
          <cell r="G145" t="str">
            <v/>
          </cell>
          <cell r="H145" t="str">
            <v/>
          </cell>
          <cell r="I145" t="e">
            <v>#VALUE!</v>
          </cell>
          <cell r="J145">
            <v>0</v>
          </cell>
        </row>
        <row r="146">
          <cell r="A146" t="str">
            <v/>
          </cell>
          <cell r="B146" t="str">
            <v/>
          </cell>
          <cell r="C146" t="str">
            <v/>
          </cell>
          <cell r="D146" t="str">
            <v/>
          </cell>
          <cell r="E146" t="e">
            <v>#VALUE!</v>
          </cell>
          <cell r="F146" t="e">
            <v>#VALUE!</v>
          </cell>
          <cell r="G146" t="str">
            <v/>
          </cell>
          <cell r="H146" t="str">
            <v/>
          </cell>
          <cell r="I146" t="e">
            <v>#VALUE!</v>
          </cell>
          <cell r="J146">
            <v>0</v>
          </cell>
        </row>
        <row r="147">
          <cell r="A147" t="str">
            <v/>
          </cell>
          <cell r="B147" t="str">
            <v/>
          </cell>
          <cell r="C147" t="str">
            <v/>
          </cell>
          <cell r="D147" t="str">
            <v/>
          </cell>
          <cell r="E147" t="e">
            <v>#VALUE!</v>
          </cell>
          <cell r="F147" t="e">
            <v>#VALUE!</v>
          </cell>
          <cell r="G147" t="str">
            <v/>
          </cell>
          <cell r="H147" t="str">
            <v/>
          </cell>
          <cell r="I147" t="e">
            <v>#VALUE!</v>
          </cell>
          <cell r="J147">
            <v>0</v>
          </cell>
        </row>
        <row r="148">
          <cell r="A148" t="str">
            <v/>
          </cell>
          <cell r="B148" t="str">
            <v/>
          </cell>
          <cell r="C148" t="str">
            <v/>
          </cell>
          <cell r="D148" t="str">
            <v/>
          </cell>
          <cell r="E148" t="e">
            <v>#VALUE!</v>
          </cell>
          <cell r="F148" t="e">
            <v>#VALUE!</v>
          </cell>
          <cell r="G148" t="str">
            <v/>
          </cell>
          <cell r="H148" t="str">
            <v/>
          </cell>
          <cell r="I148" t="e">
            <v>#VALUE!</v>
          </cell>
          <cell r="J148">
            <v>0</v>
          </cell>
        </row>
        <row r="149">
          <cell r="A149" t="str">
            <v/>
          </cell>
          <cell r="B149" t="str">
            <v/>
          </cell>
          <cell r="C149" t="str">
            <v/>
          </cell>
          <cell r="D149" t="str">
            <v/>
          </cell>
          <cell r="E149" t="e">
            <v>#VALUE!</v>
          </cell>
          <cell r="F149" t="e">
            <v>#VALUE!</v>
          </cell>
          <cell r="G149" t="str">
            <v/>
          </cell>
          <cell r="H149" t="str">
            <v/>
          </cell>
          <cell r="I149" t="e">
            <v>#VALUE!</v>
          </cell>
          <cell r="J149">
            <v>0</v>
          </cell>
        </row>
        <row r="150">
          <cell r="A150" t="str">
            <v/>
          </cell>
          <cell r="B150" t="str">
            <v/>
          </cell>
          <cell r="C150" t="str">
            <v/>
          </cell>
          <cell r="D150" t="str">
            <v/>
          </cell>
          <cell r="E150" t="e">
            <v>#VALUE!</v>
          </cell>
          <cell r="F150" t="e">
            <v>#VALUE!</v>
          </cell>
          <cell r="G150" t="str">
            <v/>
          </cell>
          <cell r="H150" t="str">
            <v/>
          </cell>
          <cell r="I150" t="e">
            <v>#VALUE!</v>
          </cell>
          <cell r="J150">
            <v>0</v>
          </cell>
        </row>
        <row r="151">
          <cell r="A151" t="str">
            <v/>
          </cell>
          <cell r="B151" t="str">
            <v/>
          </cell>
          <cell r="C151" t="str">
            <v/>
          </cell>
          <cell r="D151" t="str">
            <v/>
          </cell>
          <cell r="E151" t="e">
            <v>#VALUE!</v>
          </cell>
          <cell r="F151" t="e">
            <v>#VALUE!</v>
          </cell>
          <cell r="G151" t="str">
            <v/>
          </cell>
          <cell r="H151" t="str">
            <v/>
          </cell>
          <cell r="I151" t="e">
            <v>#VALUE!</v>
          </cell>
          <cell r="J151">
            <v>0</v>
          </cell>
        </row>
        <row r="152">
          <cell r="A152" t="str">
            <v/>
          </cell>
          <cell r="B152" t="str">
            <v/>
          </cell>
          <cell r="C152" t="str">
            <v/>
          </cell>
          <cell r="D152" t="str">
            <v/>
          </cell>
          <cell r="E152" t="e">
            <v>#VALUE!</v>
          </cell>
          <cell r="F152" t="e">
            <v>#VALUE!</v>
          </cell>
          <cell r="G152" t="str">
            <v/>
          </cell>
          <cell r="H152" t="str">
            <v/>
          </cell>
          <cell r="I152" t="e">
            <v>#VALUE!</v>
          </cell>
          <cell r="J152">
            <v>0</v>
          </cell>
        </row>
        <row r="153">
          <cell r="A153" t="str">
            <v/>
          </cell>
          <cell r="B153" t="str">
            <v/>
          </cell>
          <cell r="C153" t="str">
            <v/>
          </cell>
          <cell r="D153" t="str">
            <v/>
          </cell>
          <cell r="E153" t="e">
            <v>#VALUE!</v>
          </cell>
          <cell r="F153" t="e">
            <v>#VALUE!</v>
          </cell>
          <cell r="G153" t="str">
            <v/>
          </cell>
          <cell r="H153" t="str">
            <v/>
          </cell>
          <cell r="I153" t="e">
            <v>#VALUE!</v>
          </cell>
          <cell r="J153">
            <v>0</v>
          </cell>
        </row>
        <row r="154">
          <cell r="A154" t="str">
            <v/>
          </cell>
          <cell r="B154" t="str">
            <v/>
          </cell>
          <cell r="C154" t="str">
            <v/>
          </cell>
          <cell r="D154" t="str">
            <v/>
          </cell>
          <cell r="E154" t="e">
            <v>#VALUE!</v>
          </cell>
          <cell r="F154" t="e">
            <v>#VALUE!</v>
          </cell>
          <cell r="G154" t="str">
            <v/>
          </cell>
          <cell r="H154" t="str">
            <v/>
          </cell>
          <cell r="I154" t="e">
            <v>#VALUE!</v>
          </cell>
          <cell r="J154">
            <v>0</v>
          </cell>
        </row>
        <row r="155">
          <cell r="A155" t="str">
            <v/>
          </cell>
          <cell r="B155" t="str">
            <v/>
          </cell>
          <cell r="C155" t="str">
            <v/>
          </cell>
          <cell r="D155" t="str">
            <v/>
          </cell>
          <cell r="E155" t="e">
            <v>#VALUE!</v>
          </cell>
          <cell r="F155" t="e">
            <v>#VALUE!</v>
          </cell>
          <cell r="G155" t="str">
            <v/>
          </cell>
          <cell r="H155" t="str">
            <v/>
          </cell>
          <cell r="I155" t="e">
            <v>#VALUE!</v>
          </cell>
          <cell r="J155">
            <v>0</v>
          </cell>
        </row>
        <row r="156">
          <cell r="A156" t="str">
            <v/>
          </cell>
          <cell r="B156" t="str">
            <v/>
          </cell>
          <cell r="C156" t="str">
            <v/>
          </cell>
          <cell r="D156" t="str">
            <v/>
          </cell>
          <cell r="E156" t="e">
            <v>#VALUE!</v>
          </cell>
          <cell r="F156" t="e">
            <v>#VALUE!</v>
          </cell>
          <cell r="G156" t="str">
            <v/>
          </cell>
          <cell r="H156" t="str">
            <v/>
          </cell>
          <cell r="I156" t="e">
            <v>#VALUE!</v>
          </cell>
          <cell r="J156">
            <v>0</v>
          </cell>
        </row>
        <row r="157">
          <cell r="A157" t="str">
            <v/>
          </cell>
          <cell r="B157" t="str">
            <v/>
          </cell>
          <cell r="C157" t="str">
            <v/>
          </cell>
          <cell r="D157" t="str">
            <v/>
          </cell>
          <cell r="E157" t="e">
            <v>#VALUE!</v>
          </cell>
          <cell r="F157" t="e">
            <v>#VALUE!</v>
          </cell>
          <cell r="G157" t="str">
            <v/>
          </cell>
          <cell r="H157" t="str">
            <v/>
          </cell>
          <cell r="I157" t="e">
            <v>#VALUE!</v>
          </cell>
          <cell r="J157">
            <v>0</v>
          </cell>
        </row>
        <row r="158">
          <cell r="A158" t="str">
            <v/>
          </cell>
          <cell r="B158" t="str">
            <v/>
          </cell>
          <cell r="C158" t="str">
            <v/>
          </cell>
          <cell r="D158" t="str">
            <v/>
          </cell>
          <cell r="E158" t="e">
            <v>#VALUE!</v>
          </cell>
          <cell r="F158" t="e">
            <v>#VALUE!</v>
          </cell>
          <cell r="G158" t="str">
            <v/>
          </cell>
          <cell r="H158" t="str">
            <v/>
          </cell>
          <cell r="I158" t="e">
            <v>#VALUE!</v>
          </cell>
          <cell r="J158">
            <v>0</v>
          </cell>
        </row>
        <row r="159">
          <cell r="A159" t="str">
            <v/>
          </cell>
          <cell r="B159" t="str">
            <v/>
          </cell>
          <cell r="C159" t="str">
            <v/>
          </cell>
          <cell r="D159" t="str">
            <v/>
          </cell>
          <cell r="E159" t="e">
            <v>#VALUE!</v>
          </cell>
          <cell r="F159" t="e">
            <v>#VALUE!</v>
          </cell>
          <cell r="G159" t="str">
            <v/>
          </cell>
          <cell r="H159" t="str">
            <v/>
          </cell>
          <cell r="I159" t="e">
            <v>#VALUE!</v>
          </cell>
          <cell r="J159">
            <v>0</v>
          </cell>
        </row>
        <row r="160">
          <cell r="A160" t="str">
            <v/>
          </cell>
          <cell r="B160" t="str">
            <v/>
          </cell>
          <cell r="C160" t="str">
            <v/>
          </cell>
          <cell r="D160" t="str">
            <v/>
          </cell>
          <cell r="E160" t="e">
            <v>#VALUE!</v>
          </cell>
          <cell r="F160" t="e">
            <v>#VALUE!</v>
          </cell>
          <cell r="G160" t="str">
            <v/>
          </cell>
          <cell r="H160" t="str">
            <v/>
          </cell>
          <cell r="I160" t="e">
            <v>#VALUE!</v>
          </cell>
          <cell r="J160">
            <v>0</v>
          </cell>
        </row>
        <row r="161">
          <cell r="A161" t="str">
            <v/>
          </cell>
          <cell r="B161" t="str">
            <v/>
          </cell>
          <cell r="C161" t="str">
            <v/>
          </cell>
          <cell r="D161" t="str">
            <v/>
          </cell>
          <cell r="E161" t="e">
            <v>#VALUE!</v>
          </cell>
          <cell r="F161" t="e">
            <v>#VALUE!</v>
          </cell>
          <cell r="G161" t="str">
            <v/>
          </cell>
          <cell r="H161" t="str">
            <v/>
          </cell>
          <cell r="I161" t="e">
            <v>#VALUE!</v>
          </cell>
          <cell r="J161">
            <v>0</v>
          </cell>
        </row>
        <row r="162">
          <cell r="A162" t="str">
            <v/>
          </cell>
          <cell r="B162" t="str">
            <v/>
          </cell>
          <cell r="C162" t="str">
            <v/>
          </cell>
          <cell r="D162" t="str">
            <v/>
          </cell>
          <cell r="E162" t="e">
            <v>#VALUE!</v>
          </cell>
          <cell r="F162" t="e">
            <v>#VALUE!</v>
          </cell>
          <cell r="G162" t="str">
            <v/>
          </cell>
          <cell r="H162" t="str">
            <v/>
          </cell>
          <cell r="I162" t="e">
            <v>#VALUE!</v>
          </cell>
          <cell r="J162">
            <v>0</v>
          </cell>
        </row>
        <row r="163">
          <cell r="A163" t="str">
            <v/>
          </cell>
          <cell r="B163" t="str">
            <v/>
          </cell>
          <cell r="C163" t="str">
            <v/>
          </cell>
          <cell r="D163" t="str">
            <v/>
          </cell>
          <cell r="E163" t="e">
            <v>#VALUE!</v>
          </cell>
          <cell r="F163" t="e">
            <v>#VALUE!</v>
          </cell>
          <cell r="G163" t="str">
            <v/>
          </cell>
          <cell r="H163" t="str">
            <v/>
          </cell>
          <cell r="I163" t="e">
            <v>#VALUE!</v>
          </cell>
          <cell r="J163">
            <v>0</v>
          </cell>
        </row>
        <row r="164">
          <cell r="A164" t="str">
            <v/>
          </cell>
          <cell r="B164" t="str">
            <v/>
          </cell>
          <cell r="C164" t="str">
            <v/>
          </cell>
          <cell r="D164" t="str">
            <v/>
          </cell>
          <cell r="E164" t="e">
            <v>#VALUE!</v>
          </cell>
          <cell r="F164" t="e">
            <v>#VALUE!</v>
          </cell>
          <cell r="G164" t="str">
            <v/>
          </cell>
          <cell r="H164" t="str">
            <v/>
          </cell>
          <cell r="I164" t="e">
            <v>#VALUE!</v>
          </cell>
          <cell r="J164">
            <v>0</v>
          </cell>
        </row>
        <row r="165">
          <cell r="A165" t="str">
            <v/>
          </cell>
          <cell r="B165" t="str">
            <v/>
          </cell>
          <cell r="C165" t="str">
            <v/>
          </cell>
          <cell r="D165" t="str">
            <v/>
          </cell>
          <cell r="E165" t="e">
            <v>#VALUE!</v>
          </cell>
          <cell r="F165" t="e">
            <v>#VALUE!</v>
          </cell>
          <cell r="G165" t="str">
            <v/>
          </cell>
          <cell r="H165" t="str">
            <v/>
          </cell>
          <cell r="I165" t="e">
            <v>#VALUE!</v>
          </cell>
          <cell r="J165">
            <v>0</v>
          </cell>
        </row>
        <row r="166">
          <cell r="A166" t="str">
            <v/>
          </cell>
          <cell r="B166" t="str">
            <v/>
          </cell>
          <cell r="C166" t="str">
            <v/>
          </cell>
          <cell r="D166" t="str">
            <v/>
          </cell>
          <cell r="E166" t="e">
            <v>#VALUE!</v>
          </cell>
          <cell r="F166" t="e">
            <v>#VALUE!</v>
          </cell>
          <cell r="G166" t="str">
            <v/>
          </cell>
          <cell r="H166" t="str">
            <v/>
          </cell>
          <cell r="I166" t="e">
            <v>#VALUE!</v>
          </cell>
          <cell r="J166">
            <v>0</v>
          </cell>
        </row>
        <row r="167">
          <cell r="A167" t="str">
            <v/>
          </cell>
          <cell r="B167" t="str">
            <v/>
          </cell>
          <cell r="C167" t="str">
            <v/>
          </cell>
          <cell r="D167" t="str">
            <v/>
          </cell>
          <cell r="E167" t="e">
            <v>#VALUE!</v>
          </cell>
          <cell r="F167" t="e">
            <v>#VALUE!</v>
          </cell>
          <cell r="G167" t="str">
            <v/>
          </cell>
          <cell r="H167" t="str">
            <v/>
          </cell>
          <cell r="I167" t="e">
            <v>#VALUE!</v>
          </cell>
          <cell r="J167">
            <v>0</v>
          </cell>
        </row>
        <row r="168">
          <cell r="A168" t="str">
            <v/>
          </cell>
          <cell r="B168" t="str">
            <v/>
          </cell>
          <cell r="C168" t="str">
            <v/>
          </cell>
          <cell r="D168" t="str">
            <v/>
          </cell>
          <cell r="E168" t="e">
            <v>#VALUE!</v>
          </cell>
          <cell r="F168" t="e">
            <v>#VALUE!</v>
          </cell>
          <cell r="G168" t="str">
            <v/>
          </cell>
          <cell r="H168" t="str">
            <v/>
          </cell>
          <cell r="I168" t="e">
            <v>#VALUE!</v>
          </cell>
          <cell r="J168">
            <v>0</v>
          </cell>
        </row>
        <row r="169">
          <cell r="A169" t="str">
            <v/>
          </cell>
          <cell r="B169" t="str">
            <v/>
          </cell>
          <cell r="C169" t="str">
            <v/>
          </cell>
          <cell r="D169" t="str">
            <v/>
          </cell>
          <cell r="E169" t="e">
            <v>#VALUE!</v>
          </cell>
          <cell r="F169" t="e">
            <v>#VALUE!</v>
          </cell>
          <cell r="G169" t="str">
            <v/>
          </cell>
          <cell r="H169" t="str">
            <v/>
          </cell>
          <cell r="I169" t="e">
            <v>#VALUE!</v>
          </cell>
          <cell r="J169">
            <v>0</v>
          </cell>
        </row>
        <row r="170">
          <cell r="A170" t="str">
            <v/>
          </cell>
          <cell r="B170" t="str">
            <v/>
          </cell>
          <cell r="C170" t="str">
            <v/>
          </cell>
          <cell r="D170" t="str">
            <v/>
          </cell>
          <cell r="E170" t="e">
            <v>#VALUE!</v>
          </cell>
          <cell r="F170" t="e">
            <v>#VALUE!</v>
          </cell>
          <cell r="G170" t="str">
            <v/>
          </cell>
          <cell r="H170" t="str">
            <v/>
          </cell>
          <cell r="I170" t="e">
            <v>#VALUE!</v>
          </cell>
          <cell r="J170">
            <v>0</v>
          </cell>
        </row>
        <row r="171">
          <cell r="A171" t="str">
            <v/>
          </cell>
          <cell r="B171" t="str">
            <v/>
          </cell>
          <cell r="C171" t="str">
            <v/>
          </cell>
          <cell r="D171" t="str">
            <v/>
          </cell>
          <cell r="E171" t="e">
            <v>#VALUE!</v>
          </cell>
          <cell r="F171" t="e">
            <v>#VALUE!</v>
          </cell>
          <cell r="G171" t="str">
            <v/>
          </cell>
          <cell r="H171" t="str">
            <v/>
          </cell>
          <cell r="I171" t="e">
            <v>#VALUE!</v>
          </cell>
          <cell r="J171">
            <v>0</v>
          </cell>
        </row>
        <row r="172">
          <cell r="A172" t="str">
            <v/>
          </cell>
          <cell r="B172" t="str">
            <v/>
          </cell>
          <cell r="C172" t="str">
            <v/>
          </cell>
          <cell r="D172" t="str">
            <v/>
          </cell>
          <cell r="E172" t="e">
            <v>#VALUE!</v>
          </cell>
          <cell r="F172" t="e">
            <v>#VALUE!</v>
          </cell>
          <cell r="G172" t="str">
            <v/>
          </cell>
          <cell r="H172" t="str">
            <v/>
          </cell>
          <cell r="I172" t="e">
            <v>#VALUE!</v>
          </cell>
          <cell r="J172">
            <v>0</v>
          </cell>
        </row>
        <row r="173">
          <cell r="A173" t="str">
            <v/>
          </cell>
          <cell r="B173" t="str">
            <v/>
          </cell>
          <cell r="C173" t="str">
            <v/>
          </cell>
          <cell r="D173" t="str">
            <v/>
          </cell>
          <cell r="E173" t="e">
            <v>#VALUE!</v>
          </cell>
          <cell r="F173" t="e">
            <v>#VALUE!</v>
          </cell>
          <cell r="G173" t="str">
            <v/>
          </cell>
          <cell r="H173" t="str">
            <v/>
          </cell>
          <cell r="I173" t="e">
            <v>#VALUE!</v>
          </cell>
          <cell r="J173">
            <v>0</v>
          </cell>
        </row>
        <row r="174">
          <cell r="A174" t="str">
            <v/>
          </cell>
          <cell r="B174" t="str">
            <v/>
          </cell>
          <cell r="C174" t="str">
            <v/>
          </cell>
          <cell r="D174" t="str">
            <v/>
          </cell>
          <cell r="E174" t="e">
            <v>#VALUE!</v>
          </cell>
          <cell r="F174" t="e">
            <v>#VALUE!</v>
          </cell>
          <cell r="G174" t="str">
            <v/>
          </cell>
          <cell r="H174" t="str">
            <v/>
          </cell>
          <cell r="I174" t="e">
            <v>#VALUE!</v>
          </cell>
          <cell r="J174">
            <v>0</v>
          </cell>
        </row>
        <row r="175">
          <cell r="A175" t="str">
            <v/>
          </cell>
          <cell r="B175" t="str">
            <v/>
          </cell>
          <cell r="C175" t="str">
            <v/>
          </cell>
          <cell r="D175" t="str">
            <v/>
          </cell>
          <cell r="E175" t="e">
            <v>#VALUE!</v>
          </cell>
          <cell r="F175" t="e">
            <v>#VALUE!</v>
          </cell>
          <cell r="G175" t="str">
            <v/>
          </cell>
          <cell r="H175" t="str">
            <v/>
          </cell>
          <cell r="I175" t="e">
            <v>#VALUE!</v>
          </cell>
          <cell r="J175">
            <v>0</v>
          </cell>
        </row>
        <row r="176">
          <cell r="A176" t="str">
            <v/>
          </cell>
          <cell r="B176" t="str">
            <v/>
          </cell>
          <cell r="C176" t="str">
            <v/>
          </cell>
          <cell r="D176" t="str">
            <v/>
          </cell>
          <cell r="E176" t="e">
            <v>#VALUE!</v>
          </cell>
          <cell r="F176" t="e">
            <v>#VALUE!</v>
          </cell>
          <cell r="G176" t="str">
            <v/>
          </cell>
          <cell r="H176" t="str">
            <v/>
          </cell>
          <cell r="I176" t="e">
            <v>#VALUE!</v>
          </cell>
          <cell r="J176">
            <v>0</v>
          </cell>
        </row>
        <row r="177">
          <cell r="A177" t="str">
            <v/>
          </cell>
          <cell r="B177" t="str">
            <v/>
          </cell>
          <cell r="C177" t="str">
            <v/>
          </cell>
          <cell r="D177" t="str">
            <v/>
          </cell>
          <cell r="E177" t="e">
            <v>#VALUE!</v>
          </cell>
          <cell r="F177" t="e">
            <v>#VALUE!</v>
          </cell>
          <cell r="G177" t="str">
            <v/>
          </cell>
          <cell r="H177" t="str">
            <v/>
          </cell>
          <cell r="I177" t="e">
            <v>#VALUE!</v>
          </cell>
          <cell r="J177">
            <v>0</v>
          </cell>
        </row>
        <row r="178">
          <cell r="A178" t="str">
            <v/>
          </cell>
          <cell r="B178" t="str">
            <v/>
          </cell>
          <cell r="C178" t="str">
            <v/>
          </cell>
          <cell r="D178" t="str">
            <v/>
          </cell>
          <cell r="E178" t="e">
            <v>#VALUE!</v>
          </cell>
          <cell r="F178" t="e">
            <v>#VALUE!</v>
          </cell>
          <cell r="G178" t="str">
            <v/>
          </cell>
          <cell r="H178" t="str">
            <v/>
          </cell>
          <cell r="I178" t="e">
            <v>#VALUE!</v>
          </cell>
          <cell r="J178">
            <v>0</v>
          </cell>
        </row>
        <row r="179">
          <cell r="A179" t="str">
            <v/>
          </cell>
          <cell r="B179" t="str">
            <v/>
          </cell>
          <cell r="C179" t="str">
            <v/>
          </cell>
          <cell r="D179" t="str">
            <v/>
          </cell>
          <cell r="E179" t="e">
            <v>#VALUE!</v>
          </cell>
          <cell r="F179" t="e">
            <v>#VALUE!</v>
          </cell>
          <cell r="G179" t="str">
            <v/>
          </cell>
          <cell r="H179" t="str">
            <v/>
          </cell>
          <cell r="I179" t="e">
            <v>#VALUE!</v>
          </cell>
          <cell r="J179">
            <v>0</v>
          </cell>
        </row>
        <row r="180">
          <cell r="A180" t="str">
            <v/>
          </cell>
          <cell r="B180" t="str">
            <v/>
          </cell>
          <cell r="C180" t="str">
            <v/>
          </cell>
          <cell r="D180" t="str">
            <v/>
          </cell>
          <cell r="E180" t="e">
            <v>#VALUE!</v>
          </cell>
          <cell r="F180" t="e">
            <v>#VALUE!</v>
          </cell>
          <cell r="G180" t="str">
            <v/>
          </cell>
          <cell r="H180" t="str">
            <v/>
          </cell>
          <cell r="I180" t="e">
            <v>#VALUE!</v>
          </cell>
          <cell r="J180">
            <v>0</v>
          </cell>
        </row>
        <row r="181">
          <cell r="A181" t="str">
            <v/>
          </cell>
          <cell r="B181" t="str">
            <v/>
          </cell>
          <cell r="C181" t="str">
            <v/>
          </cell>
          <cell r="D181" t="str">
            <v/>
          </cell>
          <cell r="E181" t="e">
            <v>#VALUE!</v>
          </cell>
          <cell r="F181" t="e">
            <v>#VALUE!</v>
          </cell>
          <cell r="G181" t="str">
            <v/>
          </cell>
          <cell r="H181" t="str">
            <v/>
          </cell>
          <cell r="I181" t="e">
            <v>#VALUE!</v>
          </cell>
          <cell r="J181">
            <v>0</v>
          </cell>
        </row>
        <row r="182">
          <cell r="A182" t="str">
            <v/>
          </cell>
          <cell r="B182" t="str">
            <v/>
          </cell>
          <cell r="C182" t="str">
            <v/>
          </cell>
          <cell r="D182" t="str">
            <v/>
          </cell>
          <cell r="E182" t="e">
            <v>#VALUE!</v>
          </cell>
          <cell r="F182" t="e">
            <v>#VALUE!</v>
          </cell>
          <cell r="G182" t="str">
            <v/>
          </cell>
          <cell r="H182" t="str">
            <v/>
          </cell>
          <cell r="I182" t="e">
            <v>#VALUE!</v>
          </cell>
          <cell r="J182">
            <v>0</v>
          </cell>
        </row>
        <row r="183">
          <cell r="A183" t="str">
            <v/>
          </cell>
          <cell r="B183" t="str">
            <v/>
          </cell>
          <cell r="C183" t="str">
            <v/>
          </cell>
          <cell r="D183" t="str">
            <v/>
          </cell>
          <cell r="E183" t="e">
            <v>#VALUE!</v>
          </cell>
          <cell r="F183" t="e">
            <v>#VALUE!</v>
          </cell>
          <cell r="G183" t="str">
            <v/>
          </cell>
          <cell r="H183" t="str">
            <v/>
          </cell>
          <cell r="I183" t="e">
            <v>#VALUE!</v>
          </cell>
          <cell r="J183">
            <v>0</v>
          </cell>
        </row>
        <row r="184">
          <cell r="A184" t="str">
            <v/>
          </cell>
          <cell r="B184" t="str">
            <v/>
          </cell>
          <cell r="C184" t="str">
            <v/>
          </cell>
          <cell r="D184" t="str">
            <v/>
          </cell>
          <cell r="E184" t="e">
            <v>#VALUE!</v>
          </cell>
          <cell r="F184" t="e">
            <v>#VALUE!</v>
          </cell>
          <cell r="G184" t="str">
            <v/>
          </cell>
          <cell r="H184" t="str">
            <v/>
          </cell>
          <cell r="I184" t="e">
            <v>#VALUE!</v>
          </cell>
          <cell r="J184">
            <v>0</v>
          </cell>
        </row>
        <row r="185">
          <cell r="A185" t="str">
            <v/>
          </cell>
          <cell r="B185" t="str">
            <v/>
          </cell>
          <cell r="C185" t="str">
            <v/>
          </cell>
          <cell r="D185" t="str">
            <v/>
          </cell>
          <cell r="E185" t="e">
            <v>#VALUE!</v>
          </cell>
          <cell r="F185" t="e">
            <v>#VALUE!</v>
          </cell>
          <cell r="G185" t="str">
            <v/>
          </cell>
          <cell r="H185" t="str">
            <v/>
          </cell>
          <cell r="I185" t="e">
            <v>#VALUE!</v>
          </cell>
          <cell r="J185">
            <v>0</v>
          </cell>
        </row>
        <row r="186">
          <cell r="A186" t="str">
            <v/>
          </cell>
          <cell r="B186" t="str">
            <v/>
          </cell>
          <cell r="C186" t="str">
            <v/>
          </cell>
          <cell r="D186" t="str">
            <v/>
          </cell>
          <cell r="E186" t="e">
            <v>#VALUE!</v>
          </cell>
          <cell r="F186" t="e">
            <v>#VALUE!</v>
          </cell>
          <cell r="G186" t="str">
            <v/>
          </cell>
          <cell r="H186" t="str">
            <v/>
          </cell>
          <cell r="I186" t="e">
            <v>#VALUE!</v>
          </cell>
          <cell r="J186">
            <v>0</v>
          </cell>
        </row>
        <row r="187">
          <cell r="A187" t="str">
            <v/>
          </cell>
          <cell r="B187" t="str">
            <v/>
          </cell>
          <cell r="C187" t="str">
            <v/>
          </cell>
          <cell r="D187" t="str">
            <v/>
          </cell>
          <cell r="E187" t="e">
            <v>#VALUE!</v>
          </cell>
          <cell r="F187" t="e">
            <v>#VALUE!</v>
          </cell>
          <cell r="G187" t="str">
            <v/>
          </cell>
          <cell r="H187" t="str">
            <v/>
          </cell>
          <cell r="I187" t="e">
            <v>#VALUE!</v>
          </cell>
          <cell r="J187">
            <v>0</v>
          </cell>
        </row>
        <row r="188">
          <cell r="A188" t="str">
            <v/>
          </cell>
          <cell r="B188" t="str">
            <v/>
          </cell>
          <cell r="C188" t="str">
            <v/>
          </cell>
          <cell r="D188" t="str">
            <v/>
          </cell>
          <cell r="E188" t="e">
            <v>#VALUE!</v>
          </cell>
          <cell r="F188" t="e">
            <v>#VALUE!</v>
          </cell>
          <cell r="G188" t="str">
            <v/>
          </cell>
          <cell r="H188" t="str">
            <v/>
          </cell>
          <cell r="I188" t="e">
            <v>#VALUE!</v>
          </cell>
          <cell r="J188">
            <v>0</v>
          </cell>
        </row>
        <row r="189">
          <cell r="A189" t="str">
            <v/>
          </cell>
          <cell r="B189" t="str">
            <v/>
          </cell>
          <cell r="C189" t="str">
            <v/>
          </cell>
          <cell r="D189" t="str">
            <v/>
          </cell>
          <cell r="E189" t="e">
            <v>#VALUE!</v>
          </cell>
          <cell r="F189" t="e">
            <v>#VALUE!</v>
          </cell>
          <cell r="G189" t="str">
            <v/>
          </cell>
          <cell r="H189" t="str">
            <v/>
          </cell>
          <cell r="I189" t="e">
            <v>#VALUE!</v>
          </cell>
          <cell r="J189">
            <v>0</v>
          </cell>
        </row>
        <row r="190">
          <cell r="A190" t="str">
            <v/>
          </cell>
          <cell r="B190" t="str">
            <v/>
          </cell>
          <cell r="C190" t="str">
            <v/>
          </cell>
          <cell r="D190" t="str">
            <v/>
          </cell>
          <cell r="E190" t="e">
            <v>#VALUE!</v>
          </cell>
          <cell r="F190" t="e">
            <v>#VALUE!</v>
          </cell>
          <cell r="G190" t="str">
            <v/>
          </cell>
          <cell r="H190" t="str">
            <v/>
          </cell>
          <cell r="I190" t="e">
            <v>#VALUE!</v>
          </cell>
          <cell r="J190">
            <v>0</v>
          </cell>
        </row>
        <row r="191">
          <cell r="A191" t="str">
            <v/>
          </cell>
          <cell r="B191" t="str">
            <v/>
          </cell>
          <cell r="C191" t="str">
            <v/>
          </cell>
          <cell r="D191" t="str">
            <v/>
          </cell>
          <cell r="E191" t="e">
            <v>#VALUE!</v>
          </cell>
          <cell r="F191" t="e">
            <v>#VALUE!</v>
          </cell>
          <cell r="G191" t="str">
            <v/>
          </cell>
          <cell r="H191" t="str">
            <v/>
          </cell>
          <cell r="I191" t="e">
            <v>#VALUE!</v>
          </cell>
          <cell r="J191">
            <v>0</v>
          </cell>
        </row>
        <row r="192">
          <cell r="A192" t="str">
            <v/>
          </cell>
          <cell r="B192" t="str">
            <v/>
          </cell>
          <cell r="C192" t="str">
            <v/>
          </cell>
          <cell r="D192" t="str">
            <v/>
          </cell>
          <cell r="E192" t="e">
            <v>#VALUE!</v>
          </cell>
          <cell r="F192" t="e">
            <v>#VALUE!</v>
          </cell>
          <cell r="G192" t="str">
            <v/>
          </cell>
          <cell r="H192" t="str">
            <v/>
          </cell>
          <cell r="I192" t="e">
            <v>#VALUE!</v>
          </cell>
          <cell r="J192">
            <v>0</v>
          </cell>
        </row>
        <row r="193">
          <cell r="A193" t="str">
            <v/>
          </cell>
          <cell r="B193" t="str">
            <v/>
          </cell>
          <cell r="C193" t="str">
            <v/>
          </cell>
          <cell r="D193" t="str">
            <v/>
          </cell>
          <cell r="E193" t="e">
            <v>#VALUE!</v>
          </cell>
          <cell r="F193" t="e">
            <v>#VALUE!</v>
          </cell>
          <cell r="G193" t="str">
            <v/>
          </cell>
          <cell r="H193" t="str">
            <v/>
          </cell>
          <cell r="I193" t="e">
            <v>#VALUE!</v>
          </cell>
          <cell r="J193">
            <v>0</v>
          </cell>
        </row>
        <row r="194">
          <cell r="A194" t="str">
            <v/>
          </cell>
          <cell r="B194" t="str">
            <v/>
          </cell>
          <cell r="C194" t="str">
            <v/>
          </cell>
          <cell r="D194" t="str">
            <v/>
          </cell>
          <cell r="E194" t="e">
            <v>#VALUE!</v>
          </cell>
          <cell r="F194" t="e">
            <v>#VALUE!</v>
          </cell>
          <cell r="G194" t="str">
            <v/>
          </cell>
          <cell r="H194" t="str">
            <v/>
          </cell>
          <cell r="I194" t="e">
            <v>#VALUE!</v>
          </cell>
          <cell r="J194">
            <v>0</v>
          </cell>
        </row>
        <row r="195">
          <cell r="A195" t="str">
            <v/>
          </cell>
          <cell r="B195" t="str">
            <v/>
          </cell>
          <cell r="C195" t="str">
            <v/>
          </cell>
          <cell r="D195" t="str">
            <v/>
          </cell>
          <cell r="E195" t="e">
            <v>#VALUE!</v>
          </cell>
          <cell r="F195" t="e">
            <v>#VALUE!</v>
          </cell>
          <cell r="G195" t="str">
            <v/>
          </cell>
          <cell r="H195" t="str">
            <v/>
          </cell>
          <cell r="I195" t="e">
            <v>#VALUE!</v>
          </cell>
          <cell r="J195">
            <v>0</v>
          </cell>
        </row>
        <row r="196">
          <cell r="A196" t="str">
            <v/>
          </cell>
          <cell r="B196" t="str">
            <v/>
          </cell>
          <cell r="C196" t="str">
            <v/>
          </cell>
          <cell r="D196" t="str">
            <v/>
          </cell>
          <cell r="E196" t="e">
            <v>#VALUE!</v>
          </cell>
          <cell r="F196" t="e">
            <v>#VALUE!</v>
          </cell>
          <cell r="G196" t="str">
            <v/>
          </cell>
          <cell r="H196" t="str">
            <v/>
          </cell>
          <cell r="I196" t="e">
            <v>#VALUE!</v>
          </cell>
          <cell r="J196">
            <v>0</v>
          </cell>
        </row>
        <row r="197">
          <cell r="A197" t="str">
            <v/>
          </cell>
          <cell r="B197" t="str">
            <v/>
          </cell>
          <cell r="C197" t="str">
            <v/>
          </cell>
          <cell r="D197" t="str">
            <v/>
          </cell>
          <cell r="E197" t="e">
            <v>#VALUE!</v>
          </cell>
          <cell r="F197" t="e">
            <v>#VALUE!</v>
          </cell>
          <cell r="G197" t="str">
            <v/>
          </cell>
          <cell r="H197" t="str">
            <v/>
          </cell>
          <cell r="I197" t="e">
            <v>#VALUE!</v>
          </cell>
          <cell r="J197">
            <v>0</v>
          </cell>
        </row>
        <row r="198">
          <cell r="A198" t="str">
            <v/>
          </cell>
          <cell r="B198" t="str">
            <v/>
          </cell>
          <cell r="C198" t="str">
            <v/>
          </cell>
          <cell r="D198" t="str">
            <v/>
          </cell>
          <cell r="E198" t="e">
            <v>#VALUE!</v>
          </cell>
          <cell r="F198" t="e">
            <v>#VALUE!</v>
          </cell>
          <cell r="G198" t="str">
            <v/>
          </cell>
          <cell r="H198" t="str">
            <v/>
          </cell>
          <cell r="I198" t="e">
            <v>#VALUE!</v>
          </cell>
          <cell r="J198">
            <v>0</v>
          </cell>
        </row>
        <row r="199">
          <cell r="A199" t="str">
            <v/>
          </cell>
          <cell r="B199" t="str">
            <v/>
          </cell>
          <cell r="C199" t="str">
            <v/>
          </cell>
          <cell r="D199" t="str">
            <v/>
          </cell>
          <cell r="E199" t="e">
            <v>#VALUE!</v>
          </cell>
          <cell r="F199" t="e">
            <v>#VALUE!</v>
          </cell>
          <cell r="G199" t="str">
            <v/>
          </cell>
          <cell r="H199" t="str">
            <v/>
          </cell>
          <cell r="I199" t="e">
            <v>#VALUE!</v>
          </cell>
          <cell r="J199">
            <v>0</v>
          </cell>
        </row>
        <row r="200">
          <cell r="A200" t="str">
            <v/>
          </cell>
          <cell r="B200" t="str">
            <v/>
          </cell>
          <cell r="C200" t="str">
            <v/>
          </cell>
          <cell r="D200" t="str">
            <v/>
          </cell>
          <cell r="E200" t="e">
            <v>#VALUE!</v>
          </cell>
          <cell r="F200" t="e">
            <v>#VALUE!</v>
          </cell>
          <cell r="G200" t="str">
            <v/>
          </cell>
          <cell r="H200" t="str">
            <v/>
          </cell>
          <cell r="I200" t="e">
            <v>#VALUE!</v>
          </cell>
          <cell r="J200">
            <v>0</v>
          </cell>
        </row>
        <row r="201">
          <cell r="A201" t="str">
            <v/>
          </cell>
          <cell r="B201" t="str">
            <v/>
          </cell>
          <cell r="C201" t="str">
            <v/>
          </cell>
          <cell r="D201" t="str">
            <v/>
          </cell>
          <cell r="E201" t="e">
            <v>#VALUE!</v>
          </cell>
          <cell r="F201" t="e">
            <v>#VALUE!</v>
          </cell>
          <cell r="G201" t="str">
            <v/>
          </cell>
          <cell r="H201" t="str">
            <v/>
          </cell>
          <cell r="I201" t="e">
            <v>#VALUE!</v>
          </cell>
          <cell r="J201">
            <v>0</v>
          </cell>
        </row>
        <row r="202">
          <cell r="A202" t="str">
            <v/>
          </cell>
          <cell r="B202" t="str">
            <v/>
          </cell>
          <cell r="C202" t="str">
            <v/>
          </cell>
          <cell r="D202" t="str">
            <v/>
          </cell>
          <cell r="E202" t="e">
            <v>#VALUE!</v>
          </cell>
          <cell r="F202" t="e">
            <v>#VALUE!</v>
          </cell>
          <cell r="G202" t="str">
            <v/>
          </cell>
          <cell r="H202" t="str">
            <v/>
          </cell>
          <cell r="I202" t="e">
            <v>#VALUE!</v>
          </cell>
          <cell r="J202">
            <v>0</v>
          </cell>
        </row>
        <row r="203">
          <cell r="A203" t="str">
            <v/>
          </cell>
          <cell r="B203" t="str">
            <v/>
          </cell>
          <cell r="C203" t="str">
            <v/>
          </cell>
          <cell r="D203" t="str">
            <v/>
          </cell>
          <cell r="E203" t="e">
            <v>#VALUE!</v>
          </cell>
          <cell r="F203" t="e">
            <v>#VALUE!</v>
          </cell>
          <cell r="G203" t="str">
            <v/>
          </cell>
          <cell r="H203" t="str">
            <v/>
          </cell>
          <cell r="I203" t="e">
            <v>#VALUE!</v>
          </cell>
          <cell r="J203">
            <v>0</v>
          </cell>
        </row>
        <row r="204">
          <cell r="A204" t="str">
            <v/>
          </cell>
          <cell r="B204" t="str">
            <v/>
          </cell>
          <cell r="C204" t="str">
            <v/>
          </cell>
          <cell r="D204" t="str">
            <v/>
          </cell>
          <cell r="E204" t="e">
            <v>#VALUE!</v>
          </cell>
          <cell r="F204" t="e">
            <v>#VALUE!</v>
          </cell>
          <cell r="G204" t="str">
            <v/>
          </cell>
          <cell r="H204" t="str">
            <v/>
          </cell>
          <cell r="I204" t="e">
            <v>#VALUE!</v>
          </cell>
          <cell r="J204">
            <v>0</v>
          </cell>
        </row>
        <row r="205">
          <cell r="A205" t="str">
            <v/>
          </cell>
          <cell r="B205" t="str">
            <v/>
          </cell>
          <cell r="C205" t="str">
            <v/>
          </cell>
          <cell r="D205" t="str">
            <v/>
          </cell>
          <cell r="E205" t="e">
            <v>#VALUE!</v>
          </cell>
          <cell r="F205" t="e">
            <v>#VALUE!</v>
          </cell>
          <cell r="G205" t="str">
            <v/>
          </cell>
          <cell r="H205" t="str">
            <v/>
          </cell>
          <cell r="I205" t="e">
            <v>#VALUE!</v>
          </cell>
          <cell r="J205">
            <v>0</v>
          </cell>
        </row>
        <row r="206">
          <cell r="A206" t="str">
            <v/>
          </cell>
          <cell r="B206" t="str">
            <v/>
          </cell>
          <cell r="C206" t="str">
            <v/>
          </cell>
          <cell r="D206" t="str">
            <v/>
          </cell>
          <cell r="E206" t="e">
            <v>#VALUE!</v>
          </cell>
          <cell r="F206" t="e">
            <v>#VALUE!</v>
          </cell>
          <cell r="G206" t="str">
            <v/>
          </cell>
          <cell r="H206" t="str">
            <v/>
          </cell>
          <cell r="I206" t="e">
            <v>#VALUE!</v>
          </cell>
          <cell r="J206">
            <v>0</v>
          </cell>
        </row>
        <row r="207">
          <cell r="A207" t="str">
            <v/>
          </cell>
          <cell r="B207" t="str">
            <v/>
          </cell>
          <cell r="C207" t="str">
            <v/>
          </cell>
          <cell r="D207" t="str">
            <v/>
          </cell>
          <cell r="E207" t="e">
            <v>#VALUE!</v>
          </cell>
          <cell r="F207" t="e">
            <v>#VALUE!</v>
          </cell>
          <cell r="G207" t="str">
            <v/>
          </cell>
          <cell r="H207" t="str">
            <v/>
          </cell>
          <cell r="I207" t="e">
            <v>#VALUE!</v>
          </cell>
          <cell r="J207">
            <v>0</v>
          </cell>
        </row>
        <row r="208">
          <cell r="A208" t="str">
            <v/>
          </cell>
          <cell r="B208" t="str">
            <v/>
          </cell>
          <cell r="C208" t="str">
            <v/>
          </cell>
          <cell r="D208" t="str">
            <v/>
          </cell>
          <cell r="E208" t="e">
            <v>#VALUE!</v>
          </cell>
          <cell r="F208" t="e">
            <v>#VALUE!</v>
          </cell>
          <cell r="G208" t="str">
            <v/>
          </cell>
          <cell r="H208" t="str">
            <v/>
          </cell>
          <cell r="I208" t="e">
            <v>#VALUE!</v>
          </cell>
          <cell r="J208">
            <v>0</v>
          </cell>
        </row>
        <row r="209">
          <cell r="A209" t="str">
            <v/>
          </cell>
          <cell r="B209" t="str">
            <v/>
          </cell>
          <cell r="C209" t="str">
            <v/>
          </cell>
          <cell r="D209" t="str">
            <v/>
          </cell>
          <cell r="E209" t="e">
            <v>#VALUE!</v>
          </cell>
          <cell r="F209" t="e">
            <v>#VALUE!</v>
          </cell>
          <cell r="G209" t="str">
            <v/>
          </cell>
          <cell r="H209" t="str">
            <v/>
          </cell>
          <cell r="I209" t="e">
            <v>#VALUE!</v>
          </cell>
          <cell r="J209">
            <v>0</v>
          </cell>
        </row>
        <row r="210">
          <cell r="A210" t="str">
            <v/>
          </cell>
          <cell r="B210" t="str">
            <v/>
          </cell>
          <cell r="C210" t="str">
            <v/>
          </cell>
          <cell r="D210" t="str">
            <v/>
          </cell>
          <cell r="E210" t="e">
            <v>#VALUE!</v>
          </cell>
          <cell r="F210" t="e">
            <v>#VALUE!</v>
          </cell>
          <cell r="G210" t="str">
            <v/>
          </cell>
          <cell r="H210" t="str">
            <v/>
          </cell>
          <cell r="I210" t="e">
            <v>#VALUE!</v>
          </cell>
          <cell r="J210">
            <v>0</v>
          </cell>
        </row>
        <row r="211">
          <cell r="A211" t="str">
            <v/>
          </cell>
          <cell r="B211" t="str">
            <v/>
          </cell>
          <cell r="C211" t="str">
            <v/>
          </cell>
          <cell r="D211" t="str">
            <v/>
          </cell>
          <cell r="E211" t="e">
            <v>#VALUE!</v>
          </cell>
          <cell r="F211" t="e">
            <v>#VALUE!</v>
          </cell>
          <cell r="G211" t="str">
            <v/>
          </cell>
          <cell r="H211" t="str">
            <v/>
          </cell>
          <cell r="I211" t="e">
            <v>#VALUE!</v>
          </cell>
          <cell r="J211">
            <v>0</v>
          </cell>
        </row>
        <row r="212">
          <cell r="A212" t="str">
            <v/>
          </cell>
          <cell r="B212" t="str">
            <v/>
          </cell>
          <cell r="C212" t="str">
            <v/>
          </cell>
          <cell r="D212" t="str">
            <v/>
          </cell>
          <cell r="E212" t="e">
            <v>#VALUE!</v>
          </cell>
          <cell r="F212" t="e">
            <v>#VALUE!</v>
          </cell>
          <cell r="G212" t="str">
            <v/>
          </cell>
          <cell r="H212" t="str">
            <v/>
          </cell>
          <cell r="I212" t="e">
            <v>#VALUE!</v>
          </cell>
          <cell r="J212">
            <v>0</v>
          </cell>
        </row>
        <row r="213">
          <cell r="A213" t="str">
            <v/>
          </cell>
          <cell r="B213" t="str">
            <v/>
          </cell>
          <cell r="C213" t="str">
            <v/>
          </cell>
          <cell r="D213" t="str">
            <v/>
          </cell>
          <cell r="E213" t="e">
            <v>#VALUE!</v>
          </cell>
          <cell r="F213" t="e">
            <v>#VALUE!</v>
          </cell>
          <cell r="G213" t="str">
            <v/>
          </cell>
          <cell r="H213" t="str">
            <v/>
          </cell>
          <cell r="I213" t="e">
            <v>#VALUE!</v>
          </cell>
          <cell r="J213">
            <v>0</v>
          </cell>
        </row>
        <row r="214">
          <cell r="A214" t="str">
            <v/>
          </cell>
          <cell r="B214" t="str">
            <v/>
          </cell>
          <cell r="C214" t="str">
            <v/>
          </cell>
          <cell r="D214" t="str">
            <v/>
          </cell>
          <cell r="E214" t="e">
            <v>#VALUE!</v>
          </cell>
          <cell r="F214" t="e">
            <v>#VALUE!</v>
          </cell>
          <cell r="G214" t="str">
            <v/>
          </cell>
          <cell r="H214" t="str">
            <v/>
          </cell>
          <cell r="I214" t="e">
            <v>#VALUE!</v>
          </cell>
          <cell r="J214">
            <v>0</v>
          </cell>
        </row>
        <row r="215">
          <cell r="A215" t="str">
            <v/>
          </cell>
          <cell r="B215" t="str">
            <v/>
          </cell>
          <cell r="C215" t="str">
            <v/>
          </cell>
          <cell r="D215" t="str">
            <v/>
          </cell>
          <cell r="E215" t="e">
            <v>#VALUE!</v>
          </cell>
          <cell r="F215" t="e">
            <v>#VALUE!</v>
          </cell>
          <cell r="G215" t="str">
            <v/>
          </cell>
          <cell r="H215" t="str">
            <v/>
          </cell>
          <cell r="I215" t="e">
            <v>#VALUE!</v>
          </cell>
          <cell r="J215">
            <v>0</v>
          </cell>
        </row>
        <row r="216">
          <cell r="A216" t="str">
            <v/>
          </cell>
          <cell r="B216" t="str">
            <v/>
          </cell>
          <cell r="C216" t="str">
            <v/>
          </cell>
          <cell r="D216" t="str">
            <v/>
          </cell>
          <cell r="E216" t="e">
            <v>#VALUE!</v>
          </cell>
          <cell r="F216" t="e">
            <v>#VALUE!</v>
          </cell>
          <cell r="G216" t="str">
            <v/>
          </cell>
          <cell r="H216" t="str">
            <v/>
          </cell>
          <cell r="I216" t="e">
            <v>#VALUE!</v>
          </cell>
          <cell r="J216">
            <v>0</v>
          </cell>
        </row>
        <row r="217">
          <cell r="A217" t="str">
            <v/>
          </cell>
          <cell r="B217" t="str">
            <v/>
          </cell>
          <cell r="C217" t="str">
            <v/>
          </cell>
          <cell r="D217" t="str">
            <v/>
          </cell>
          <cell r="E217" t="e">
            <v>#VALUE!</v>
          </cell>
          <cell r="F217" t="e">
            <v>#VALUE!</v>
          </cell>
          <cell r="G217" t="str">
            <v/>
          </cell>
          <cell r="H217" t="str">
            <v/>
          </cell>
          <cell r="I217" t="e">
            <v>#VALUE!</v>
          </cell>
          <cell r="J217">
            <v>0</v>
          </cell>
        </row>
        <row r="218">
          <cell r="A218" t="str">
            <v/>
          </cell>
          <cell r="B218" t="str">
            <v/>
          </cell>
          <cell r="C218" t="str">
            <v/>
          </cell>
          <cell r="D218" t="str">
            <v/>
          </cell>
          <cell r="E218" t="e">
            <v>#VALUE!</v>
          </cell>
          <cell r="F218" t="e">
            <v>#VALUE!</v>
          </cell>
          <cell r="G218" t="str">
            <v/>
          </cell>
          <cell r="H218" t="str">
            <v/>
          </cell>
          <cell r="I218" t="e">
            <v>#VALUE!</v>
          </cell>
          <cell r="J218">
            <v>0</v>
          </cell>
        </row>
        <row r="219">
          <cell r="A219" t="str">
            <v/>
          </cell>
          <cell r="B219" t="str">
            <v/>
          </cell>
          <cell r="C219" t="str">
            <v/>
          </cell>
          <cell r="D219" t="str">
            <v/>
          </cell>
          <cell r="E219" t="e">
            <v>#VALUE!</v>
          </cell>
          <cell r="F219" t="e">
            <v>#VALUE!</v>
          </cell>
          <cell r="G219" t="str">
            <v/>
          </cell>
          <cell r="H219" t="str">
            <v/>
          </cell>
          <cell r="I219" t="e">
            <v>#VALUE!</v>
          </cell>
          <cell r="J219">
            <v>0</v>
          </cell>
        </row>
        <row r="220">
          <cell r="A220" t="str">
            <v/>
          </cell>
          <cell r="B220" t="str">
            <v/>
          </cell>
          <cell r="C220" t="str">
            <v/>
          </cell>
          <cell r="D220" t="str">
            <v/>
          </cell>
          <cell r="E220" t="e">
            <v>#VALUE!</v>
          </cell>
          <cell r="F220" t="e">
            <v>#VALUE!</v>
          </cell>
          <cell r="G220" t="str">
            <v/>
          </cell>
          <cell r="H220" t="str">
            <v/>
          </cell>
          <cell r="I220" t="e">
            <v>#VALUE!</v>
          </cell>
          <cell r="J220">
            <v>0</v>
          </cell>
        </row>
        <row r="221">
          <cell r="A221" t="str">
            <v/>
          </cell>
          <cell r="B221" t="str">
            <v/>
          </cell>
          <cell r="C221" t="str">
            <v/>
          </cell>
          <cell r="D221" t="str">
            <v/>
          </cell>
          <cell r="E221" t="e">
            <v>#VALUE!</v>
          </cell>
          <cell r="F221" t="e">
            <v>#VALUE!</v>
          </cell>
          <cell r="G221" t="str">
            <v/>
          </cell>
          <cell r="H221" t="str">
            <v/>
          </cell>
          <cell r="I221" t="e">
            <v>#VALUE!</v>
          </cell>
          <cell r="J221">
            <v>0</v>
          </cell>
        </row>
        <row r="222">
          <cell r="A222" t="str">
            <v/>
          </cell>
          <cell r="B222" t="str">
            <v/>
          </cell>
          <cell r="C222" t="str">
            <v/>
          </cell>
          <cell r="D222" t="str">
            <v/>
          </cell>
          <cell r="E222" t="e">
            <v>#VALUE!</v>
          </cell>
          <cell r="F222" t="e">
            <v>#VALUE!</v>
          </cell>
          <cell r="G222" t="str">
            <v/>
          </cell>
          <cell r="H222" t="str">
            <v/>
          </cell>
          <cell r="I222" t="e">
            <v>#VALUE!</v>
          </cell>
          <cell r="J222">
            <v>0</v>
          </cell>
        </row>
        <row r="223">
          <cell r="A223" t="str">
            <v/>
          </cell>
          <cell r="B223" t="str">
            <v/>
          </cell>
          <cell r="C223" t="str">
            <v/>
          </cell>
          <cell r="D223" t="str">
            <v/>
          </cell>
          <cell r="E223" t="e">
            <v>#VALUE!</v>
          </cell>
          <cell r="F223" t="e">
            <v>#VALUE!</v>
          </cell>
          <cell r="G223" t="str">
            <v/>
          </cell>
          <cell r="H223" t="str">
            <v/>
          </cell>
          <cell r="I223" t="e">
            <v>#VALUE!</v>
          </cell>
          <cell r="J223">
            <v>0</v>
          </cell>
        </row>
        <row r="224">
          <cell r="A224" t="str">
            <v/>
          </cell>
          <cell r="B224" t="str">
            <v/>
          </cell>
          <cell r="C224" t="str">
            <v/>
          </cell>
          <cell r="D224" t="str">
            <v/>
          </cell>
          <cell r="E224" t="e">
            <v>#VALUE!</v>
          </cell>
          <cell r="F224" t="e">
            <v>#VALUE!</v>
          </cell>
          <cell r="G224" t="str">
            <v/>
          </cell>
          <cell r="H224" t="str">
            <v/>
          </cell>
          <cell r="I224" t="e">
            <v>#VALUE!</v>
          </cell>
          <cell r="J224">
            <v>0</v>
          </cell>
        </row>
        <row r="225">
          <cell r="A225" t="str">
            <v/>
          </cell>
          <cell r="B225" t="str">
            <v/>
          </cell>
          <cell r="C225" t="str">
            <v/>
          </cell>
          <cell r="D225" t="str">
            <v/>
          </cell>
          <cell r="E225" t="e">
            <v>#VALUE!</v>
          </cell>
          <cell r="F225" t="e">
            <v>#VALUE!</v>
          </cell>
          <cell r="G225" t="str">
            <v/>
          </cell>
          <cell r="H225" t="str">
            <v/>
          </cell>
          <cell r="I225" t="e">
            <v>#VALUE!</v>
          </cell>
          <cell r="J225">
            <v>0</v>
          </cell>
        </row>
        <row r="226">
          <cell r="A226" t="str">
            <v/>
          </cell>
          <cell r="B226" t="str">
            <v/>
          </cell>
          <cell r="C226" t="str">
            <v/>
          </cell>
          <cell r="D226" t="str">
            <v/>
          </cell>
          <cell r="E226" t="e">
            <v>#VALUE!</v>
          </cell>
          <cell r="F226" t="e">
            <v>#VALUE!</v>
          </cell>
          <cell r="G226" t="str">
            <v/>
          </cell>
          <cell r="H226" t="str">
            <v/>
          </cell>
          <cell r="I226" t="e">
            <v>#VALUE!</v>
          </cell>
          <cell r="J226">
            <v>0</v>
          </cell>
        </row>
        <row r="227">
          <cell r="A227" t="str">
            <v/>
          </cell>
          <cell r="B227" t="str">
            <v/>
          </cell>
          <cell r="C227" t="str">
            <v/>
          </cell>
          <cell r="D227" t="str">
            <v/>
          </cell>
          <cell r="E227" t="e">
            <v>#VALUE!</v>
          </cell>
          <cell r="F227" t="e">
            <v>#VALUE!</v>
          </cell>
          <cell r="G227" t="str">
            <v/>
          </cell>
          <cell r="H227" t="str">
            <v/>
          </cell>
          <cell r="I227" t="e">
            <v>#VALUE!</v>
          </cell>
          <cell r="J227">
            <v>0</v>
          </cell>
        </row>
        <row r="228">
          <cell r="A228" t="str">
            <v/>
          </cell>
          <cell r="B228" t="str">
            <v/>
          </cell>
          <cell r="C228" t="str">
            <v/>
          </cell>
          <cell r="D228" t="str">
            <v/>
          </cell>
          <cell r="E228" t="e">
            <v>#VALUE!</v>
          </cell>
          <cell r="F228" t="e">
            <v>#VALUE!</v>
          </cell>
          <cell r="G228" t="str">
            <v/>
          </cell>
          <cell r="H228" t="str">
            <v/>
          </cell>
          <cell r="I228" t="e">
            <v>#VALUE!</v>
          </cell>
          <cell r="J228">
            <v>0</v>
          </cell>
        </row>
        <row r="229">
          <cell r="A229" t="str">
            <v/>
          </cell>
          <cell r="B229" t="str">
            <v/>
          </cell>
          <cell r="C229" t="str">
            <v/>
          </cell>
          <cell r="D229" t="str">
            <v/>
          </cell>
          <cell r="E229" t="e">
            <v>#VALUE!</v>
          </cell>
          <cell r="F229" t="e">
            <v>#VALUE!</v>
          </cell>
          <cell r="G229" t="str">
            <v/>
          </cell>
          <cell r="H229" t="str">
            <v/>
          </cell>
          <cell r="I229" t="e">
            <v>#VALUE!</v>
          </cell>
          <cell r="J229">
            <v>0</v>
          </cell>
        </row>
        <row r="230">
          <cell r="A230" t="str">
            <v/>
          </cell>
          <cell r="B230" t="str">
            <v/>
          </cell>
          <cell r="C230" t="str">
            <v/>
          </cell>
          <cell r="D230" t="str">
            <v/>
          </cell>
          <cell r="E230" t="e">
            <v>#VALUE!</v>
          </cell>
          <cell r="F230" t="e">
            <v>#VALUE!</v>
          </cell>
          <cell r="G230" t="str">
            <v/>
          </cell>
          <cell r="H230" t="str">
            <v/>
          </cell>
          <cell r="I230" t="e">
            <v>#VALUE!</v>
          </cell>
          <cell r="J230">
            <v>0</v>
          </cell>
        </row>
        <row r="231">
          <cell r="A231" t="str">
            <v/>
          </cell>
          <cell r="B231" t="str">
            <v/>
          </cell>
          <cell r="C231" t="str">
            <v/>
          </cell>
          <cell r="D231" t="str">
            <v/>
          </cell>
          <cell r="E231" t="e">
            <v>#VALUE!</v>
          </cell>
          <cell r="F231" t="e">
            <v>#VALUE!</v>
          </cell>
          <cell r="G231" t="str">
            <v/>
          </cell>
          <cell r="H231" t="str">
            <v/>
          </cell>
          <cell r="I231" t="e">
            <v>#VALUE!</v>
          </cell>
          <cell r="J231">
            <v>0</v>
          </cell>
        </row>
        <row r="232">
          <cell r="A232" t="str">
            <v/>
          </cell>
          <cell r="B232" t="str">
            <v/>
          </cell>
          <cell r="C232" t="str">
            <v/>
          </cell>
          <cell r="D232" t="str">
            <v/>
          </cell>
          <cell r="E232" t="e">
            <v>#VALUE!</v>
          </cell>
          <cell r="F232" t="e">
            <v>#VALUE!</v>
          </cell>
          <cell r="G232" t="str">
            <v/>
          </cell>
          <cell r="H232" t="str">
            <v/>
          </cell>
          <cell r="I232" t="e">
            <v>#VALUE!</v>
          </cell>
          <cell r="J232">
            <v>0</v>
          </cell>
        </row>
        <row r="233">
          <cell r="A233" t="str">
            <v/>
          </cell>
          <cell r="B233" t="str">
            <v/>
          </cell>
          <cell r="C233" t="str">
            <v/>
          </cell>
          <cell r="D233" t="str">
            <v/>
          </cell>
          <cell r="E233" t="e">
            <v>#VALUE!</v>
          </cell>
          <cell r="F233" t="e">
            <v>#VALUE!</v>
          </cell>
          <cell r="G233" t="str">
            <v/>
          </cell>
          <cell r="H233" t="str">
            <v/>
          </cell>
          <cell r="I233" t="e">
            <v>#VALUE!</v>
          </cell>
          <cell r="J233">
            <v>0</v>
          </cell>
        </row>
        <row r="234">
          <cell r="A234" t="str">
            <v/>
          </cell>
          <cell r="B234" t="str">
            <v/>
          </cell>
          <cell r="C234" t="str">
            <v/>
          </cell>
          <cell r="D234" t="str">
            <v/>
          </cell>
          <cell r="E234" t="e">
            <v>#VALUE!</v>
          </cell>
          <cell r="F234" t="e">
            <v>#VALUE!</v>
          </cell>
          <cell r="G234" t="str">
            <v/>
          </cell>
          <cell r="H234" t="str">
            <v/>
          </cell>
          <cell r="I234" t="e">
            <v>#VALUE!</v>
          </cell>
          <cell r="J234">
            <v>0</v>
          </cell>
        </row>
        <row r="235">
          <cell r="A235" t="str">
            <v/>
          </cell>
          <cell r="B235" t="str">
            <v/>
          </cell>
          <cell r="C235" t="str">
            <v/>
          </cell>
          <cell r="D235" t="str">
            <v/>
          </cell>
          <cell r="E235" t="e">
            <v>#VALUE!</v>
          </cell>
          <cell r="F235" t="e">
            <v>#VALUE!</v>
          </cell>
          <cell r="G235" t="str">
            <v/>
          </cell>
          <cell r="H235" t="str">
            <v/>
          </cell>
          <cell r="I235" t="e">
            <v>#VALUE!</v>
          </cell>
          <cell r="J235">
            <v>0</v>
          </cell>
        </row>
        <row r="236">
          <cell r="A236" t="str">
            <v/>
          </cell>
          <cell r="B236" t="str">
            <v/>
          </cell>
          <cell r="C236" t="str">
            <v/>
          </cell>
          <cell r="D236" t="str">
            <v/>
          </cell>
          <cell r="E236" t="e">
            <v>#VALUE!</v>
          </cell>
          <cell r="F236" t="e">
            <v>#VALUE!</v>
          </cell>
          <cell r="G236" t="str">
            <v/>
          </cell>
          <cell r="H236" t="str">
            <v/>
          </cell>
          <cell r="I236" t="e">
            <v>#VALUE!</v>
          </cell>
          <cell r="J236">
            <v>0</v>
          </cell>
        </row>
        <row r="237">
          <cell r="A237" t="str">
            <v/>
          </cell>
          <cell r="B237" t="str">
            <v/>
          </cell>
          <cell r="C237" t="str">
            <v/>
          </cell>
          <cell r="D237" t="str">
            <v/>
          </cell>
          <cell r="E237" t="e">
            <v>#VALUE!</v>
          </cell>
          <cell r="F237" t="e">
            <v>#VALUE!</v>
          </cell>
          <cell r="G237" t="str">
            <v/>
          </cell>
          <cell r="H237" t="str">
            <v/>
          </cell>
          <cell r="I237" t="e">
            <v>#VALUE!</v>
          </cell>
          <cell r="J237">
            <v>0</v>
          </cell>
        </row>
        <row r="238">
          <cell r="A238" t="str">
            <v/>
          </cell>
          <cell r="B238" t="str">
            <v/>
          </cell>
          <cell r="C238" t="str">
            <v/>
          </cell>
          <cell r="D238" t="str">
            <v/>
          </cell>
          <cell r="E238" t="e">
            <v>#VALUE!</v>
          </cell>
          <cell r="F238" t="e">
            <v>#VALUE!</v>
          </cell>
          <cell r="G238" t="str">
            <v/>
          </cell>
          <cell r="H238" t="str">
            <v/>
          </cell>
          <cell r="I238" t="e">
            <v>#VALUE!</v>
          </cell>
          <cell r="J238">
            <v>0</v>
          </cell>
        </row>
        <row r="239">
          <cell r="A239" t="str">
            <v/>
          </cell>
          <cell r="B239" t="str">
            <v/>
          </cell>
          <cell r="C239" t="str">
            <v/>
          </cell>
          <cell r="D239" t="str">
            <v/>
          </cell>
          <cell r="E239" t="e">
            <v>#VALUE!</v>
          </cell>
          <cell r="F239" t="e">
            <v>#VALUE!</v>
          </cell>
          <cell r="G239" t="str">
            <v/>
          </cell>
          <cell r="H239" t="str">
            <v/>
          </cell>
          <cell r="I239" t="e">
            <v>#VALUE!</v>
          </cell>
          <cell r="J239">
            <v>0</v>
          </cell>
        </row>
        <row r="240">
          <cell r="A240" t="str">
            <v/>
          </cell>
          <cell r="B240" t="str">
            <v/>
          </cell>
          <cell r="C240" t="str">
            <v/>
          </cell>
          <cell r="D240" t="str">
            <v/>
          </cell>
          <cell r="E240" t="e">
            <v>#VALUE!</v>
          </cell>
          <cell r="F240" t="e">
            <v>#VALUE!</v>
          </cell>
          <cell r="G240" t="str">
            <v/>
          </cell>
          <cell r="H240" t="str">
            <v/>
          </cell>
          <cell r="I240" t="e">
            <v>#VALUE!</v>
          </cell>
          <cell r="J240">
            <v>0</v>
          </cell>
        </row>
        <row r="241">
          <cell r="A241" t="str">
            <v/>
          </cell>
          <cell r="B241" t="str">
            <v/>
          </cell>
          <cell r="C241" t="str">
            <v/>
          </cell>
          <cell r="D241" t="str">
            <v/>
          </cell>
          <cell r="E241" t="e">
            <v>#VALUE!</v>
          </cell>
          <cell r="F241" t="e">
            <v>#VALUE!</v>
          </cell>
          <cell r="G241" t="str">
            <v/>
          </cell>
          <cell r="H241" t="str">
            <v/>
          </cell>
          <cell r="I241" t="e">
            <v>#VALUE!</v>
          </cell>
          <cell r="J241">
            <v>0</v>
          </cell>
        </row>
        <row r="242">
          <cell r="A242" t="str">
            <v/>
          </cell>
          <cell r="B242" t="str">
            <v/>
          </cell>
          <cell r="C242" t="str">
            <v/>
          </cell>
          <cell r="D242" t="str">
            <v/>
          </cell>
          <cell r="E242" t="e">
            <v>#VALUE!</v>
          </cell>
          <cell r="F242" t="e">
            <v>#VALUE!</v>
          </cell>
          <cell r="G242" t="str">
            <v/>
          </cell>
          <cell r="H242" t="str">
            <v/>
          </cell>
          <cell r="I242" t="e">
            <v>#VALUE!</v>
          </cell>
          <cell r="J242">
            <v>0</v>
          </cell>
        </row>
        <row r="243">
          <cell r="A243" t="str">
            <v/>
          </cell>
          <cell r="B243" t="str">
            <v/>
          </cell>
          <cell r="C243" t="str">
            <v/>
          </cell>
          <cell r="D243" t="str">
            <v/>
          </cell>
          <cell r="E243" t="e">
            <v>#VALUE!</v>
          </cell>
          <cell r="F243" t="e">
            <v>#VALUE!</v>
          </cell>
          <cell r="G243" t="str">
            <v/>
          </cell>
          <cell r="H243" t="str">
            <v/>
          </cell>
          <cell r="I243" t="e">
            <v>#VALUE!</v>
          </cell>
          <cell r="J243">
            <v>0</v>
          </cell>
        </row>
        <row r="244">
          <cell r="A244" t="str">
            <v/>
          </cell>
          <cell r="B244" t="str">
            <v/>
          </cell>
          <cell r="C244" t="str">
            <v/>
          </cell>
          <cell r="D244" t="str">
            <v/>
          </cell>
          <cell r="E244" t="e">
            <v>#VALUE!</v>
          </cell>
          <cell r="F244" t="e">
            <v>#VALUE!</v>
          </cell>
          <cell r="G244" t="str">
            <v/>
          </cell>
          <cell r="H244" t="str">
            <v/>
          </cell>
          <cell r="I244" t="e">
            <v>#VALUE!</v>
          </cell>
          <cell r="J244">
            <v>0</v>
          </cell>
        </row>
        <row r="245">
          <cell r="A245" t="str">
            <v/>
          </cell>
          <cell r="B245" t="str">
            <v/>
          </cell>
          <cell r="C245" t="str">
            <v/>
          </cell>
          <cell r="D245" t="str">
            <v/>
          </cell>
          <cell r="E245" t="e">
            <v>#VALUE!</v>
          </cell>
          <cell r="F245" t="e">
            <v>#VALUE!</v>
          </cell>
          <cell r="G245" t="str">
            <v/>
          </cell>
          <cell r="H245" t="str">
            <v/>
          </cell>
          <cell r="I245" t="e">
            <v>#VALUE!</v>
          </cell>
          <cell r="J245">
            <v>0</v>
          </cell>
        </row>
        <row r="246">
          <cell r="A246" t="str">
            <v/>
          </cell>
          <cell r="B246" t="str">
            <v/>
          </cell>
          <cell r="C246" t="str">
            <v/>
          </cell>
          <cell r="D246" t="str">
            <v/>
          </cell>
          <cell r="E246" t="e">
            <v>#VALUE!</v>
          </cell>
          <cell r="F246" t="e">
            <v>#VALUE!</v>
          </cell>
          <cell r="G246" t="str">
            <v/>
          </cell>
          <cell r="H246" t="str">
            <v/>
          </cell>
          <cell r="I246" t="e">
            <v>#VALUE!</v>
          </cell>
          <cell r="J246">
            <v>0</v>
          </cell>
        </row>
        <row r="247">
          <cell r="A247" t="str">
            <v/>
          </cell>
          <cell r="B247" t="str">
            <v/>
          </cell>
          <cell r="C247" t="str">
            <v/>
          </cell>
          <cell r="D247" t="str">
            <v/>
          </cell>
          <cell r="E247" t="e">
            <v>#VALUE!</v>
          </cell>
          <cell r="F247" t="e">
            <v>#VALUE!</v>
          </cell>
          <cell r="G247" t="str">
            <v/>
          </cell>
          <cell r="H247" t="str">
            <v/>
          </cell>
          <cell r="I247" t="e">
            <v>#VALUE!</v>
          </cell>
          <cell r="J247">
            <v>0</v>
          </cell>
        </row>
        <row r="248">
          <cell r="A248" t="str">
            <v/>
          </cell>
          <cell r="B248" t="str">
            <v/>
          </cell>
          <cell r="C248" t="str">
            <v/>
          </cell>
          <cell r="D248" t="str">
            <v/>
          </cell>
          <cell r="E248" t="e">
            <v>#VALUE!</v>
          </cell>
          <cell r="F248" t="e">
            <v>#VALUE!</v>
          </cell>
          <cell r="G248" t="str">
            <v/>
          </cell>
          <cell r="H248" t="str">
            <v/>
          </cell>
          <cell r="I248" t="e">
            <v>#VALUE!</v>
          </cell>
          <cell r="J248">
            <v>0</v>
          </cell>
        </row>
        <row r="249">
          <cell r="A249" t="str">
            <v/>
          </cell>
          <cell r="B249" t="str">
            <v/>
          </cell>
          <cell r="C249" t="str">
            <v/>
          </cell>
          <cell r="D249" t="str">
            <v/>
          </cell>
          <cell r="E249" t="e">
            <v>#VALUE!</v>
          </cell>
          <cell r="F249" t="e">
            <v>#VALUE!</v>
          </cell>
          <cell r="G249" t="str">
            <v/>
          </cell>
          <cell r="H249" t="str">
            <v/>
          </cell>
          <cell r="I249" t="e">
            <v>#VALUE!</v>
          </cell>
          <cell r="J249">
            <v>0</v>
          </cell>
        </row>
        <row r="250">
          <cell r="A250" t="str">
            <v/>
          </cell>
          <cell r="B250" t="str">
            <v/>
          </cell>
          <cell r="C250" t="str">
            <v/>
          </cell>
          <cell r="D250" t="str">
            <v/>
          </cell>
          <cell r="E250" t="e">
            <v>#VALUE!</v>
          </cell>
          <cell r="F250" t="e">
            <v>#VALUE!</v>
          </cell>
          <cell r="G250" t="str">
            <v/>
          </cell>
          <cell r="H250" t="str">
            <v/>
          </cell>
          <cell r="I250" t="e">
            <v>#VALUE!</v>
          </cell>
          <cell r="J250">
            <v>0</v>
          </cell>
        </row>
        <row r="251">
          <cell r="A251" t="str">
            <v/>
          </cell>
          <cell r="B251" t="str">
            <v/>
          </cell>
          <cell r="C251" t="str">
            <v/>
          </cell>
          <cell r="D251" t="str">
            <v/>
          </cell>
          <cell r="E251" t="e">
            <v>#VALUE!</v>
          </cell>
          <cell r="F251" t="e">
            <v>#VALUE!</v>
          </cell>
          <cell r="G251" t="str">
            <v/>
          </cell>
          <cell r="H251" t="str">
            <v/>
          </cell>
          <cell r="I251" t="e">
            <v>#VALUE!</v>
          </cell>
          <cell r="J251">
            <v>0</v>
          </cell>
        </row>
        <row r="252">
          <cell r="A252" t="str">
            <v/>
          </cell>
          <cell r="B252" t="str">
            <v/>
          </cell>
          <cell r="C252" t="str">
            <v/>
          </cell>
          <cell r="D252" t="str">
            <v/>
          </cell>
          <cell r="E252" t="e">
            <v>#VALUE!</v>
          </cell>
          <cell r="F252" t="e">
            <v>#VALUE!</v>
          </cell>
          <cell r="G252" t="str">
            <v/>
          </cell>
          <cell r="H252" t="str">
            <v/>
          </cell>
          <cell r="I252" t="e">
            <v>#VALUE!</v>
          </cell>
          <cell r="J252">
            <v>0</v>
          </cell>
        </row>
        <row r="253">
          <cell r="A253" t="str">
            <v/>
          </cell>
          <cell r="B253" t="str">
            <v/>
          </cell>
          <cell r="C253" t="str">
            <v/>
          </cell>
          <cell r="D253" t="str">
            <v/>
          </cell>
          <cell r="E253" t="e">
            <v>#VALUE!</v>
          </cell>
          <cell r="F253" t="e">
            <v>#VALUE!</v>
          </cell>
          <cell r="G253" t="str">
            <v/>
          </cell>
          <cell r="H253" t="str">
            <v/>
          </cell>
          <cell r="I253" t="e">
            <v>#VALUE!</v>
          </cell>
          <cell r="J253">
            <v>0</v>
          </cell>
        </row>
        <row r="254">
          <cell r="A254" t="str">
            <v/>
          </cell>
          <cell r="B254" t="str">
            <v/>
          </cell>
          <cell r="C254" t="str">
            <v/>
          </cell>
          <cell r="D254" t="str">
            <v/>
          </cell>
          <cell r="E254" t="e">
            <v>#VALUE!</v>
          </cell>
          <cell r="F254" t="e">
            <v>#VALUE!</v>
          </cell>
          <cell r="G254" t="str">
            <v/>
          </cell>
          <cell r="H254" t="str">
            <v/>
          </cell>
          <cell r="I254" t="e">
            <v>#VALUE!</v>
          </cell>
          <cell r="J254">
            <v>0</v>
          </cell>
        </row>
        <row r="255">
          <cell r="A255" t="str">
            <v/>
          </cell>
          <cell r="B255" t="str">
            <v/>
          </cell>
          <cell r="C255" t="str">
            <v/>
          </cell>
          <cell r="D255" t="str">
            <v/>
          </cell>
          <cell r="E255" t="e">
            <v>#VALUE!</v>
          </cell>
          <cell r="F255" t="e">
            <v>#VALUE!</v>
          </cell>
          <cell r="G255" t="str">
            <v/>
          </cell>
          <cell r="H255" t="str">
            <v/>
          </cell>
          <cell r="I255" t="e">
            <v>#VALUE!</v>
          </cell>
          <cell r="J255">
            <v>0</v>
          </cell>
        </row>
        <row r="256">
          <cell r="A256" t="str">
            <v/>
          </cell>
          <cell r="B256" t="str">
            <v/>
          </cell>
          <cell r="C256" t="str">
            <v/>
          </cell>
          <cell r="D256" t="str">
            <v/>
          </cell>
          <cell r="E256" t="e">
            <v>#VALUE!</v>
          </cell>
          <cell r="F256" t="e">
            <v>#VALUE!</v>
          </cell>
          <cell r="G256" t="str">
            <v/>
          </cell>
          <cell r="H256" t="str">
            <v/>
          </cell>
          <cell r="I256" t="e">
            <v>#VALUE!</v>
          </cell>
          <cell r="J256">
            <v>0</v>
          </cell>
        </row>
        <row r="257">
          <cell r="A257" t="str">
            <v/>
          </cell>
          <cell r="B257" t="str">
            <v/>
          </cell>
          <cell r="C257" t="str">
            <v/>
          </cell>
          <cell r="D257" t="str">
            <v/>
          </cell>
          <cell r="E257" t="e">
            <v>#VALUE!</v>
          </cell>
          <cell r="F257" t="e">
            <v>#VALUE!</v>
          </cell>
          <cell r="G257" t="str">
            <v/>
          </cell>
          <cell r="H257" t="str">
            <v/>
          </cell>
          <cell r="I257" t="e">
            <v>#VALUE!</v>
          </cell>
          <cell r="J257">
            <v>0</v>
          </cell>
        </row>
        <row r="258">
          <cell r="A258" t="str">
            <v/>
          </cell>
          <cell r="B258" t="str">
            <v/>
          </cell>
          <cell r="C258" t="str">
            <v/>
          </cell>
          <cell r="D258" t="str">
            <v/>
          </cell>
          <cell r="E258" t="e">
            <v>#VALUE!</v>
          </cell>
          <cell r="F258" t="e">
            <v>#VALUE!</v>
          </cell>
          <cell r="G258" t="str">
            <v/>
          </cell>
          <cell r="H258" t="str">
            <v/>
          </cell>
          <cell r="I258" t="e">
            <v>#VALUE!</v>
          </cell>
          <cell r="J258">
            <v>0</v>
          </cell>
        </row>
        <row r="259">
          <cell r="A259" t="str">
            <v/>
          </cell>
          <cell r="B259" t="str">
            <v/>
          </cell>
          <cell r="C259" t="str">
            <v/>
          </cell>
          <cell r="D259" t="str">
            <v/>
          </cell>
          <cell r="E259" t="e">
            <v>#VALUE!</v>
          </cell>
          <cell r="F259" t="e">
            <v>#VALUE!</v>
          </cell>
          <cell r="G259" t="str">
            <v/>
          </cell>
          <cell r="H259" t="str">
            <v/>
          </cell>
          <cell r="I259" t="e">
            <v>#VALUE!</v>
          </cell>
          <cell r="J259">
            <v>0</v>
          </cell>
        </row>
        <row r="260">
          <cell r="A260" t="str">
            <v/>
          </cell>
          <cell r="B260" t="str">
            <v/>
          </cell>
          <cell r="C260" t="str">
            <v/>
          </cell>
          <cell r="D260" t="str">
            <v/>
          </cell>
          <cell r="E260" t="e">
            <v>#VALUE!</v>
          </cell>
          <cell r="F260" t="e">
            <v>#VALUE!</v>
          </cell>
          <cell r="G260" t="str">
            <v/>
          </cell>
          <cell r="H260" t="str">
            <v/>
          </cell>
          <cell r="I260" t="e">
            <v>#VALUE!</v>
          </cell>
          <cell r="J260">
            <v>0</v>
          </cell>
        </row>
        <row r="261">
          <cell r="A261" t="str">
            <v/>
          </cell>
          <cell r="B261" t="str">
            <v/>
          </cell>
          <cell r="C261" t="str">
            <v/>
          </cell>
          <cell r="D261" t="str">
            <v/>
          </cell>
          <cell r="E261" t="e">
            <v>#VALUE!</v>
          </cell>
          <cell r="F261" t="e">
            <v>#VALUE!</v>
          </cell>
          <cell r="G261" t="str">
            <v/>
          </cell>
          <cell r="H261" t="str">
            <v/>
          </cell>
          <cell r="I261" t="e">
            <v>#VALUE!</v>
          </cell>
          <cell r="J261">
            <v>0</v>
          </cell>
        </row>
        <row r="262">
          <cell r="A262" t="str">
            <v/>
          </cell>
          <cell r="B262" t="str">
            <v/>
          </cell>
          <cell r="C262" t="str">
            <v/>
          </cell>
          <cell r="D262" t="str">
            <v/>
          </cell>
          <cell r="E262" t="e">
            <v>#VALUE!</v>
          </cell>
          <cell r="F262" t="e">
            <v>#VALUE!</v>
          </cell>
          <cell r="G262" t="str">
            <v/>
          </cell>
          <cell r="H262" t="str">
            <v/>
          </cell>
          <cell r="I262" t="e">
            <v>#VALUE!</v>
          </cell>
          <cell r="J262">
            <v>0</v>
          </cell>
        </row>
        <row r="263">
          <cell r="A263" t="str">
            <v/>
          </cell>
          <cell r="B263" t="str">
            <v/>
          </cell>
          <cell r="C263" t="str">
            <v/>
          </cell>
          <cell r="D263" t="str">
            <v/>
          </cell>
          <cell r="E263" t="e">
            <v>#VALUE!</v>
          </cell>
          <cell r="F263" t="e">
            <v>#VALUE!</v>
          </cell>
          <cell r="G263" t="str">
            <v/>
          </cell>
          <cell r="H263" t="str">
            <v/>
          </cell>
          <cell r="I263" t="e">
            <v>#VALUE!</v>
          </cell>
          <cell r="J263">
            <v>0</v>
          </cell>
        </row>
        <row r="264">
          <cell r="A264" t="str">
            <v/>
          </cell>
          <cell r="B264" t="str">
            <v/>
          </cell>
          <cell r="C264" t="str">
            <v/>
          </cell>
          <cell r="D264" t="str">
            <v/>
          </cell>
          <cell r="E264" t="e">
            <v>#VALUE!</v>
          </cell>
          <cell r="F264" t="e">
            <v>#VALUE!</v>
          </cell>
          <cell r="G264" t="str">
            <v/>
          </cell>
          <cell r="H264" t="str">
            <v/>
          </cell>
          <cell r="I264" t="e">
            <v>#VALUE!</v>
          </cell>
          <cell r="J264">
            <v>0</v>
          </cell>
        </row>
        <row r="265">
          <cell r="A265" t="str">
            <v/>
          </cell>
          <cell r="B265" t="str">
            <v/>
          </cell>
          <cell r="C265" t="str">
            <v/>
          </cell>
          <cell r="D265" t="str">
            <v/>
          </cell>
          <cell r="E265" t="e">
            <v>#VALUE!</v>
          </cell>
          <cell r="F265" t="e">
            <v>#VALUE!</v>
          </cell>
          <cell r="G265" t="str">
            <v/>
          </cell>
          <cell r="H265" t="str">
            <v/>
          </cell>
          <cell r="I265" t="e">
            <v>#VALUE!</v>
          </cell>
          <cell r="J265">
            <v>0</v>
          </cell>
        </row>
        <row r="266">
          <cell r="A266" t="str">
            <v/>
          </cell>
          <cell r="B266" t="str">
            <v/>
          </cell>
          <cell r="C266" t="str">
            <v/>
          </cell>
          <cell r="D266" t="str">
            <v/>
          </cell>
          <cell r="E266" t="e">
            <v>#VALUE!</v>
          </cell>
          <cell r="F266" t="e">
            <v>#VALUE!</v>
          </cell>
          <cell r="G266" t="str">
            <v/>
          </cell>
          <cell r="H266" t="str">
            <v/>
          </cell>
          <cell r="I266" t="e">
            <v>#VALUE!</v>
          </cell>
          <cell r="J266">
            <v>0</v>
          </cell>
        </row>
        <row r="267">
          <cell r="A267" t="str">
            <v/>
          </cell>
          <cell r="B267" t="str">
            <v/>
          </cell>
          <cell r="C267" t="str">
            <v/>
          </cell>
          <cell r="D267" t="str">
            <v/>
          </cell>
          <cell r="E267" t="e">
            <v>#VALUE!</v>
          </cell>
          <cell r="F267" t="e">
            <v>#VALUE!</v>
          </cell>
          <cell r="G267" t="str">
            <v/>
          </cell>
          <cell r="H267" t="str">
            <v/>
          </cell>
          <cell r="I267" t="e">
            <v>#VALUE!</v>
          </cell>
          <cell r="J267">
            <v>0</v>
          </cell>
        </row>
        <row r="268">
          <cell r="A268" t="str">
            <v/>
          </cell>
          <cell r="B268" t="str">
            <v/>
          </cell>
          <cell r="C268" t="str">
            <v/>
          </cell>
          <cell r="D268" t="str">
            <v/>
          </cell>
          <cell r="E268" t="e">
            <v>#VALUE!</v>
          </cell>
          <cell r="F268" t="e">
            <v>#VALUE!</v>
          </cell>
          <cell r="G268" t="str">
            <v/>
          </cell>
          <cell r="H268" t="str">
            <v/>
          </cell>
          <cell r="I268" t="e">
            <v>#VALUE!</v>
          </cell>
          <cell r="J268">
            <v>0</v>
          </cell>
        </row>
        <row r="269">
          <cell r="A269" t="str">
            <v/>
          </cell>
          <cell r="B269" t="str">
            <v/>
          </cell>
          <cell r="C269" t="str">
            <v/>
          </cell>
          <cell r="D269" t="str">
            <v/>
          </cell>
          <cell r="E269" t="e">
            <v>#VALUE!</v>
          </cell>
          <cell r="F269" t="e">
            <v>#VALUE!</v>
          </cell>
          <cell r="G269" t="str">
            <v/>
          </cell>
          <cell r="H269" t="str">
            <v/>
          </cell>
          <cell r="I269" t="e">
            <v>#VALUE!</v>
          </cell>
          <cell r="J269">
            <v>0</v>
          </cell>
        </row>
        <row r="270">
          <cell r="A270" t="str">
            <v/>
          </cell>
          <cell r="B270" t="str">
            <v/>
          </cell>
          <cell r="C270" t="str">
            <v/>
          </cell>
          <cell r="D270" t="str">
            <v/>
          </cell>
          <cell r="E270" t="e">
            <v>#VALUE!</v>
          </cell>
          <cell r="F270" t="e">
            <v>#VALUE!</v>
          </cell>
          <cell r="G270" t="str">
            <v/>
          </cell>
          <cell r="H270" t="str">
            <v/>
          </cell>
          <cell r="I270" t="e">
            <v>#VALUE!</v>
          </cell>
          <cell r="J270">
            <v>0</v>
          </cell>
        </row>
        <row r="271">
          <cell r="A271" t="str">
            <v/>
          </cell>
          <cell r="B271" t="str">
            <v/>
          </cell>
          <cell r="C271" t="str">
            <v/>
          </cell>
          <cell r="D271" t="str">
            <v/>
          </cell>
          <cell r="E271" t="e">
            <v>#VALUE!</v>
          </cell>
          <cell r="F271" t="e">
            <v>#VALUE!</v>
          </cell>
          <cell r="G271" t="str">
            <v/>
          </cell>
          <cell r="H271" t="str">
            <v/>
          </cell>
          <cell r="I271" t="e">
            <v>#VALUE!</v>
          </cell>
          <cell r="J271">
            <v>0</v>
          </cell>
        </row>
        <row r="272">
          <cell r="A272" t="str">
            <v/>
          </cell>
          <cell r="B272" t="str">
            <v/>
          </cell>
          <cell r="C272" t="str">
            <v/>
          </cell>
          <cell r="D272" t="str">
            <v/>
          </cell>
          <cell r="E272" t="e">
            <v>#VALUE!</v>
          </cell>
          <cell r="F272" t="e">
            <v>#VALUE!</v>
          </cell>
          <cell r="G272" t="str">
            <v/>
          </cell>
          <cell r="H272" t="str">
            <v/>
          </cell>
          <cell r="I272" t="e">
            <v>#VALUE!</v>
          </cell>
          <cell r="J272">
            <v>0</v>
          </cell>
        </row>
        <row r="273">
          <cell r="A273" t="str">
            <v/>
          </cell>
          <cell r="B273" t="str">
            <v/>
          </cell>
          <cell r="C273" t="str">
            <v/>
          </cell>
          <cell r="D273" t="str">
            <v/>
          </cell>
          <cell r="E273" t="e">
            <v>#VALUE!</v>
          </cell>
          <cell r="F273" t="e">
            <v>#VALUE!</v>
          </cell>
          <cell r="G273" t="str">
            <v/>
          </cell>
          <cell r="H273" t="str">
            <v/>
          </cell>
          <cell r="I273" t="e">
            <v>#VALUE!</v>
          </cell>
          <cell r="J273">
            <v>0</v>
          </cell>
        </row>
        <row r="274">
          <cell r="A274" t="str">
            <v/>
          </cell>
          <cell r="B274" t="str">
            <v/>
          </cell>
          <cell r="C274" t="str">
            <v/>
          </cell>
          <cell r="D274" t="str">
            <v/>
          </cell>
          <cell r="E274" t="e">
            <v>#VALUE!</v>
          </cell>
          <cell r="F274" t="e">
            <v>#VALUE!</v>
          </cell>
          <cell r="G274" t="str">
            <v/>
          </cell>
          <cell r="H274" t="str">
            <v/>
          </cell>
          <cell r="I274" t="e">
            <v>#VALUE!</v>
          </cell>
          <cell r="J274">
            <v>0</v>
          </cell>
        </row>
        <row r="275">
          <cell r="A275" t="str">
            <v/>
          </cell>
          <cell r="B275" t="str">
            <v/>
          </cell>
          <cell r="C275" t="str">
            <v/>
          </cell>
          <cell r="D275" t="str">
            <v/>
          </cell>
          <cell r="E275" t="e">
            <v>#VALUE!</v>
          </cell>
          <cell r="F275" t="e">
            <v>#VALUE!</v>
          </cell>
          <cell r="G275" t="str">
            <v/>
          </cell>
          <cell r="H275" t="str">
            <v/>
          </cell>
          <cell r="I275" t="e">
            <v>#VALUE!</v>
          </cell>
          <cell r="J275">
            <v>0</v>
          </cell>
        </row>
        <row r="276">
          <cell r="A276" t="str">
            <v/>
          </cell>
          <cell r="B276" t="str">
            <v/>
          </cell>
          <cell r="C276" t="str">
            <v/>
          </cell>
          <cell r="D276" t="str">
            <v/>
          </cell>
          <cell r="E276" t="e">
            <v>#VALUE!</v>
          </cell>
          <cell r="F276" t="e">
            <v>#VALUE!</v>
          </cell>
          <cell r="G276" t="str">
            <v/>
          </cell>
          <cell r="H276" t="str">
            <v/>
          </cell>
          <cell r="I276" t="e">
            <v>#VALUE!</v>
          </cell>
          <cell r="J276">
            <v>0</v>
          </cell>
        </row>
        <row r="277">
          <cell r="A277" t="str">
            <v/>
          </cell>
          <cell r="B277" t="str">
            <v/>
          </cell>
          <cell r="C277" t="str">
            <v/>
          </cell>
          <cell r="D277" t="str">
            <v/>
          </cell>
          <cell r="E277" t="e">
            <v>#VALUE!</v>
          </cell>
          <cell r="F277" t="e">
            <v>#VALUE!</v>
          </cell>
          <cell r="G277" t="str">
            <v/>
          </cell>
          <cell r="H277" t="str">
            <v/>
          </cell>
          <cell r="I277" t="e">
            <v>#VALUE!</v>
          </cell>
          <cell r="J277">
            <v>0</v>
          </cell>
        </row>
        <row r="278">
          <cell r="A278" t="str">
            <v/>
          </cell>
          <cell r="B278" t="str">
            <v/>
          </cell>
          <cell r="C278" t="str">
            <v/>
          </cell>
          <cell r="D278" t="str">
            <v/>
          </cell>
          <cell r="E278" t="e">
            <v>#VALUE!</v>
          </cell>
          <cell r="F278" t="e">
            <v>#VALUE!</v>
          </cell>
          <cell r="G278" t="str">
            <v/>
          </cell>
          <cell r="H278" t="str">
            <v/>
          </cell>
          <cell r="I278" t="e">
            <v>#VALUE!</v>
          </cell>
          <cell r="J278">
            <v>0</v>
          </cell>
        </row>
        <row r="279">
          <cell r="A279" t="str">
            <v/>
          </cell>
          <cell r="B279" t="str">
            <v/>
          </cell>
          <cell r="C279" t="str">
            <v/>
          </cell>
          <cell r="D279" t="str">
            <v/>
          </cell>
          <cell r="E279" t="e">
            <v>#VALUE!</v>
          </cell>
          <cell r="F279" t="e">
            <v>#VALUE!</v>
          </cell>
          <cell r="G279" t="str">
            <v/>
          </cell>
          <cell r="H279" t="str">
            <v/>
          </cell>
          <cell r="I279" t="e">
            <v>#VALUE!</v>
          </cell>
          <cell r="J279">
            <v>0</v>
          </cell>
        </row>
        <row r="280">
          <cell r="A280" t="str">
            <v/>
          </cell>
          <cell r="B280" t="str">
            <v/>
          </cell>
          <cell r="C280" t="str">
            <v/>
          </cell>
          <cell r="D280" t="str">
            <v/>
          </cell>
          <cell r="E280" t="e">
            <v>#VALUE!</v>
          </cell>
          <cell r="F280" t="e">
            <v>#VALUE!</v>
          </cell>
          <cell r="G280" t="str">
            <v/>
          </cell>
          <cell r="H280" t="str">
            <v/>
          </cell>
          <cell r="I280" t="e">
            <v>#VALUE!</v>
          </cell>
          <cell r="J280">
            <v>0</v>
          </cell>
        </row>
        <row r="281">
          <cell r="A281" t="str">
            <v/>
          </cell>
          <cell r="B281" t="str">
            <v/>
          </cell>
          <cell r="C281" t="str">
            <v/>
          </cell>
          <cell r="D281" t="str">
            <v/>
          </cell>
          <cell r="E281" t="e">
            <v>#VALUE!</v>
          </cell>
          <cell r="F281" t="e">
            <v>#VALUE!</v>
          </cell>
          <cell r="G281" t="str">
            <v/>
          </cell>
          <cell r="H281" t="str">
            <v/>
          </cell>
          <cell r="I281" t="e">
            <v>#VALUE!</v>
          </cell>
          <cell r="J281">
            <v>0</v>
          </cell>
        </row>
        <row r="282">
          <cell r="A282" t="str">
            <v/>
          </cell>
          <cell r="B282" t="str">
            <v/>
          </cell>
          <cell r="C282" t="str">
            <v/>
          </cell>
          <cell r="D282" t="str">
            <v/>
          </cell>
          <cell r="E282" t="e">
            <v>#VALUE!</v>
          </cell>
          <cell r="F282" t="e">
            <v>#VALUE!</v>
          </cell>
          <cell r="G282" t="str">
            <v/>
          </cell>
          <cell r="H282" t="str">
            <v/>
          </cell>
          <cell r="I282" t="e">
            <v>#VALUE!</v>
          </cell>
          <cell r="J282">
            <v>0</v>
          </cell>
        </row>
        <row r="283">
          <cell r="A283" t="str">
            <v/>
          </cell>
          <cell r="B283" t="str">
            <v/>
          </cell>
          <cell r="C283" t="str">
            <v/>
          </cell>
          <cell r="D283" t="str">
            <v/>
          </cell>
          <cell r="E283" t="e">
            <v>#VALUE!</v>
          </cell>
          <cell r="F283" t="e">
            <v>#VALUE!</v>
          </cell>
          <cell r="G283" t="str">
            <v/>
          </cell>
          <cell r="H283" t="str">
            <v/>
          </cell>
          <cell r="I283" t="e">
            <v>#VALUE!</v>
          </cell>
          <cell r="J283">
            <v>0</v>
          </cell>
        </row>
        <row r="284">
          <cell r="A284" t="str">
            <v/>
          </cell>
          <cell r="B284" t="str">
            <v/>
          </cell>
          <cell r="C284" t="str">
            <v/>
          </cell>
          <cell r="D284" t="str">
            <v/>
          </cell>
          <cell r="E284" t="e">
            <v>#VALUE!</v>
          </cell>
          <cell r="F284" t="e">
            <v>#VALUE!</v>
          </cell>
          <cell r="G284" t="str">
            <v/>
          </cell>
          <cell r="H284" t="str">
            <v/>
          </cell>
          <cell r="I284" t="e">
            <v>#VALUE!</v>
          </cell>
          <cell r="J284">
            <v>0</v>
          </cell>
        </row>
        <row r="285">
          <cell r="A285" t="str">
            <v/>
          </cell>
          <cell r="B285" t="str">
            <v/>
          </cell>
          <cell r="C285" t="str">
            <v/>
          </cell>
          <cell r="D285" t="str">
            <v/>
          </cell>
          <cell r="E285" t="e">
            <v>#VALUE!</v>
          </cell>
          <cell r="F285" t="e">
            <v>#VALUE!</v>
          </cell>
          <cell r="G285" t="str">
            <v/>
          </cell>
          <cell r="H285" t="str">
            <v/>
          </cell>
          <cell r="I285" t="e">
            <v>#VALUE!</v>
          </cell>
          <cell r="J285">
            <v>0</v>
          </cell>
        </row>
        <row r="286">
          <cell r="A286" t="str">
            <v/>
          </cell>
          <cell r="B286" t="str">
            <v/>
          </cell>
          <cell r="C286" t="str">
            <v/>
          </cell>
          <cell r="D286" t="str">
            <v/>
          </cell>
          <cell r="E286" t="e">
            <v>#VALUE!</v>
          </cell>
          <cell r="F286" t="e">
            <v>#VALUE!</v>
          </cell>
          <cell r="G286" t="str">
            <v/>
          </cell>
          <cell r="H286" t="str">
            <v/>
          </cell>
          <cell r="I286" t="e">
            <v>#VALUE!</v>
          </cell>
          <cell r="J286">
            <v>0</v>
          </cell>
        </row>
        <row r="287">
          <cell r="A287" t="str">
            <v/>
          </cell>
          <cell r="B287" t="str">
            <v/>
          </cell>
          <cell r="C287" t="str">
            <v/>
          </cell>
          <cell r="D287" t="str">
            <v/>
          </cell>
          <cell r="E287" t="e">
            <v>#VALUE!</v>
          </cell>
          <cell r="F287" t="e">
            <v>#VALUE!</v>
          </cell>
          <cell r="G287" t="str">
            <v/>
          </cell>
          <cell r="H287" t="str">
            <v/>
          </cell>
          <cell r="I287" t="e">
            <v>#VALUE!</v>
          </cell>
          <cell r="J287">
            <v>0</v>
          </cell>
        </row>
        <row r="288">
          <cell r="A288" t="str">
            <v/>
          </cell>
          <cell r="B288" t="str">
            <v/>
          </cell>
          <cell r="C288" t="str">
            <v/>
          </cell>
          <cell r="D288" t="str">
            <v/>
          </cell>
          <cell r="E288" t="e">
            <v>#VALUE!</v>
          </cell>
          <cell r="F288" t="e">
            <v>#VALUE!</v>
          </cell>
          <cell r="G288" t="str">
            <v/>
          </cell>
          <cell r="H288" t="str">
            <v/>
          </cell>
          <cell r="I288" t="e">
            <v>#VALUE!</v>
          </cell>
          <cell r="J288">
            <v>0</v>
          </cell>
        </row>
        <row r="289">
          <cell r="A289" t="str">
            <v/>
          </cell>
          <cell r="B289" t="str">
            <v/>
          </cell>
          <cell r="C289" t="str">
            <v/>
          </cell>
          <cell r="D289" t="str">
            <v/>
          </cell>
          <cell r="E289" t="e">
            <v>#VALUE!</v>
          </cell>
          <cell r="F289" t="e">
            <v>#VALUE!</v>
          </cell>
          <cell r="G289" t="str">
            <v/>
          </cell>
          <cell r="H289" t="str">
            <v/>
          </cell>
          <cell r="I289" t="e">
            <v>#VALUE!</v>
          </cell>
          <cell r="J289">
            <v>0</v>
          </cell>
        </row>
        <row r="290">
          <cell r="A290" t="str">
            <v/>
          </cell>
          <cell r="B290" t="str">
            <v/>
          </cell>
          <cell r="C290" t="str">
            <v/>
          </cell>
          <cell r="D290" t="str">
            <v/>
          </cell>
          <cell r="E290" t="e">
            <v>#VALUE!</v>
          </cell>
          <cell r="F290" t="e">
            <v>#VALUE!</v>
          </cell>
          <cell r="G290" t="str">
            <v/>
          </cell>
          <cell r="H290" t="str">
            <v/>
          </cell>
          <cell r="I290" t="e">
            <v>#VALUE!</v>
          </cell>
          <cell r="J290">
            <v>0</v>
          </cell>
        </row>
        <row r="291">
          <cell r="A291" t="str">
            <v/>
          </cell>
          <cell r="B291" t="str">
            <v/>
          </cell>
          <cell r="C291" t="str">
            <v/>
          </cell>
          <cell r="D291" t="str">
            <v/>
          </cell>
          <cell r="E291" t="e">
            <v>#VALUE!</v>
          </cell>
          <cell r="F291" t="e">
            <v>#VALUE!</v>
          </cell>
          <cell r="G291" t="str">
            <v/>
          </cell>
          <cell r="H291" t="str">
            <v/>
          </cell>
          <cell r="I291" t="e">
            <v>#VALUE!</v>
          </cell>
          <cell r="J291">
            <v>0</v>
          </cell>
        </row>
        <row r="292">
          <cell r="A292" t="str">
            <v/>
          </cell>
          <cell r="B292" t="str">
            <v/>
          </cell>
          <cell r="C292" t="str">
            <v/>
          </cell>
          <cell r="D292" t="str">
            <v/>
          </cell>
          <cell r="E292" t="e">
            <v>#VALUE!</v>
          </cell>
          <cell r="F292" t="e">
            <v>#VALUE!</v>
          </cell>
          <cell r="G292" t="str">
            <v/>
          </cell>
          <cell r="H292" t="str">
            <v/>
          </cell>
          <cell r="I292" t="e">
            <v>#VALUE!</v>
          </cell>
          <cell r="J292">
            <v>0</v>
          </cell>
        </row>
        <row r="293">
          <cell r="A293" t="str">
            <v/>
          </cell>
          <cell r="B293" t="str">
            <v/>
          </cell>
          <cell r="C293" t="str">
            <v/>
          </cell>
          <cell r="D293" t="str">
            <v/>
          </cell>
          <cell r="E293" t="e">
            <v>#VALUE!</v>
          </cell>
          <cell r="F293" t="e">
            <v>#VALUE!</v>
          </cell>
          <cell r="G293" t="str">
            <v/>
          </cell>
          <cell r="H293" t="str">
            <v/>
          </cell>
          <cell r="I293" t="e">
            <v>#VALUE!</v>
          </cell>
          <cell r="J293">
            <v>0</v>
          </cell>
        </row>
        <row r="294">
          <cell r="A294" t="str">
            <v/>
          </cell>
          <cell r="B294" t="str">
            <v/>
          </cell>
          <cell r="C294" t="str">
            <v/>
          </cell>
          <cell r="D294" t="str">
            <v/>
          </cell>
          <cell r="E294" t="e">
            <v>#VALUE!</v>
          </cell>
          <cell r="F294" t="e">
            <v>#VALUE!</v>
          </cell>
          <cell r="G294" t="str">
            <v/>
          </cell>
          <cell r="H294" t="str">
            <v/>
          </cell>
          <cell r="I294" t="e">
            <v>#VALUE!</v>
          </cell>
          <cell r="J294">
            <v>0</v>
          </cell>
        </row>
        <row r="295">
          <cell r="A295" t="str">
            <v/>
          </cell>
          <cell r="B295" t="str">
            <v/>
          </cell>
          <cell r="C295" t="str">
            <v/>
          </cell>
          <cell r="D295" t="str">
            <v/>
          </cell>
          <cell r="E295" t="e">
            <v>#VALUE!</v>
          </cell>
          <cell r="F295" t="e">
            <v>#VALUE!</v>
          </cell>
          <cell r="G295" t="str">
            <v/>
          </cell>
          <cell r="H295" t="str">
            <v/>
          </cell>
          <cell r="I295" t="e">
            <v>#VALUE!</v>
          </cell>
          <cell r="J295">
            <v>0</v>
          </cell>
        </row>
        <row r="296">
          <cell r="A296" t="str">
            <v/>
          </cell>
          <cell r="B296" t="str">
            <v/>
          </cell>
          <cell r="C296" t="str">
            <v/>
          </cell>
          <cell r="D296" t="str">
            <v/>
          </cell>
          <cell r="E296" t="e">
            <v>#VALUE!</v>
          </cell>
          <cell r="F296" t="e">
            <v>#VALUE!</v>
          </cell>
          <cell r="G296" t="str">
            <v/>
          </cell>
          <cell r="H296" t="str">
            <v/>
          </cell>
          <cell r="I296" t="e">
            <v>#VALUE!</v>
          </cell>
          <cell r="J296">
            <v>0</v>
          </cell>
        </row>
        <row r="297">
          <cell r="A297" t="str">
            <v/>
          </cell>
          <cell r="B297" t="str">
            <v/>
          </cell>
          <cell r="C297" t="str">
            <v/>
          </cell>
          <cell r="D297" t="str">
            <v/>
          </cell>
          <cell r="E297" t="e">
            <v>#VALUE!</v>
          </cell>
          <cell r="F297" t="e">
            <v>#VALUE!</v>
          </cell>
          <cell r="G297" t="str">
            <v/>
          </cell>
          <cell r="H297" t="str">
            <v/>
          </cell>
          <cell r="I297" t="e">
            <v>#VALUE!</v>
          </cell>
          <cell r="J297">
            <v>0</v>
          </cell>
        </row>
        <row r="298">
          <cell r="A298" t="str">
            <v/>
          </cell>
          <cell r="B298" t="str">
            <v/>
          </cell>
          <cell r="C298" t="str">
            <v/>
          </cell>
          <cell r="D298" t="str">
            <v/>
          </cell>
          <cell r="E298" t="e">
            <v>#VALUE!</v>
          </cell>
          <cell r="F298" t="e">
            <v>#VALUE!</v>
          </cell>
          <cell r="G298" t="str">
            <v/>
          </cell>
          <cell r="H298" t="str">
            <v/>
          </cell>
          <cell r="I298" t="e">
            <v>#VALUE!</v>
          </cell>
          <cell r="J298">
            <v>0</v>
          </cell>
        </row>
        <row r="299">
          <cell r="A299" t="str">
            <v/>
          </cell>
          <cell r="B299" t="str">
            <v/>
          </cell>
          <cell r="C299" t="str">
            <v/>
          </cell>
          <cell r="D299" t="str">
            <v/>
          </cell>
          <cell r="E299" t="e">
            <v>#VALUE!</v>
          </cell>
          <cell r="F299" t="e">
            <v>#VALUE!</v>
          </cell>
          <cell r="G299" t="str">
            <v/>
          </cell>
          <cell r="H299" t="str">
            <v/>
          </cell>
          <cell r="I299" t="e">
            <v>#VALUE!</v>
          </cell>
          <cell r="J299">
            <v>0</v>
          </cell>
        </row>
        <row r="300">
          <cell r="A300" t="str">
            <v/>
          </cell>
          <cell r="B300" t="str">
            <v/>
          </cell>
          <cell r="C300" t="str">
            <v/>
          </cell>
          <cell r="D300" t="str">
            <v/>
          </cell>
          <cell r="E300" t="e">
            <v>#VALUE!</v>
          </cell>
          <cell r="F300" t="e">
            <v>#VALUE!</v>
          </cell>
          <cell r="G300" t="str">
            <v/>
          </cell>
          <cell r="H300" t="str">
            <v/>
          </cell>
          <cell r="I300" t="e">
            <v>#VALUE!</v>
          </cell>
          <cell r="J300">
            <v>0</v>
          </cell>
        </row>
        <row r="301">
          <cell r="A301" t="str">
            <v/>
          </cell>
          <cell r="B301" t="str">
            <v/>
          </cell>
          <cell r="C301" t="str">
            <v/>
          </cell>
          <cell r="D301" t="str">
            <v/>
          </cell>
          <cell r="E301" t="e">
            <v>#VALUE!</v>
          </cell>
          <cell r="F301" t="e">
            <v>#VALUE!</v>
          </cell>
          <cell r="G301" t="str">
            <v/>
          </cell>
          <cell r="H301" t="str">
            <v/>
          </cell>
          <cell r="I301" t="e">
            <v>#VALUE!</v>
          </cell>
          <cell r="J301">
            <v>0</v>
          </cell>
        </row>
        <row r="302">
          <cell r="A302" t="str">
            <v/>
          </cell>
          <cell r="B302" t="str">
            <v/>
          </cell>
          <cell r="C302" t="str">
            <v/>
          </cell>
          <cell r="D302" t="str">
            <v/>
          </cell>
          <cell r="E302" t="e">
            <v>#VALUE!</v>
          </cell>
          <cell r="F302" t="e">
            <v>#VALUE!</v>
          </cell>
          <cell r="G302" t="str">
            <v/>
          </cell>
          <cell r="H302" t="str">
            <v/>
          </cell>
          <cell r="I302" t="e">
            <v>#VALUE!</v>
          </cell>
          <cell r="J302">
            <v>0</v>
          </cell>
        </row>
        <row r="303">
          <cell r="A303" t="str">
            <v/>
          </cell>
          <cell r="B303" t="str">
            <v/>
          </cell>
          <cell r="C303" t="str">
            <v/>
          </cell>
          <cell r="D303" t="str">
            <v/>
          </cell>
          <cell r="E303" t="e">
            <v>#VALUE!</v>
          </cell>
          <cell r="F303" t="e">
            <v>#VALUE!</v>
          </cell>
          <cell r="G303" t="str">
            <v/>
          </cell>
          <cell r="H303" t="str">
            <v/>
          </cell>
          <cell r="I303" t="e">
            <v>#VALUE!</v>
          </cell>
          <cell r="J303">
            <v>0</v>
          </cell>
        </row>
        <row r="304">
          <cell r="A304" t="str">
            <v/>
          </cell>
          <cell r="B304" t="str">
            <v/>
          </cell>
          <cell r="C304" t="str">
            <v/>
          </cell>
          <cell r="D304" t="str">
            <v/>
          </cell>
          <cell r="E304" t="e">
            <v>#VALUE!</v>
          </cell>
          <cell r="F304" t="e">
            <v>#VALUE!</v>
          </cell>
          <cell r="G304" t="str">
            <v/>
          </cell>
          <cell r="H304" t="str">
            <v/>
          </cell>
          <cell r="I304" t="e">
            <v>#VALUE!</v>
          </cell>
          <cell r="J304">
            <v>0</v>
          </cell>
        </row>
        <row r="305">
          <cell r="A305" t="str">
            <v/>
          </cell>
          <cell r="B305" t="str">
            <v/>
          </cell>
          <cell r="C305" t="str">
            <v/>
          </cell>
          <cell r="D305" t="str">
            <v/>
          </cell>
          <cell r="E305" t="e">
            <v>#VALUE!</v>
          </cell>
          <cell r="F305" t="e">
            <v>#VALUE!</v>
          </cell>
          <cell r="G305" t="str">
            <v/>
          </cell>
          <cell r="H305" t="str">
            <v/>
          </cell>
          <cell r="I305" t="e">
            <v>#VALUE!</v>
          </cell>
          <cell r="J305">
            <v>0</v>
          </cell>
        </row>
        <row r="306">
          <cell r="A306" t="str">
            <v/>
          </cell>
          <cell r="B306" t="str">
            <v/>
          </cell>
          <cell r="C306" t="str">
            <v/>
          </cell>
          <cell r="D306" t="str">
            <v/>
          </cell>
          <cell r="E306" t="e">
            <v>#VALUE!</v>
          </cell>
          <cell r="F306" t="e">
            <v>#VALUE!</v>
          </cell>
          <cell r="G306" t="str">
            <v/>
          </cell>
          <cell r="H306" t="str">
            <v/>
          </cell>
          <cell r="I306" t="e">
            <v>#VALUE!</v>
          </cell>
          <cell r="J306">
            <v>0</v>
          </cell>
        </row>
        <row r="307">
          <cell r="A307" t="str">
            <v/>
          </cell>
          <cell r="B307" t="str">
            <v/>
          </cell>
          <cell r="C307" t="str">
            <v/>
          </cell>
          <cell r="D307" t="str">
            <v/>
          </cell>
          <cell r="E307" t="e">
            <v>#VALUE!</v>
          </cell>
          <cell r="F307" t="e">
            <v>#VALUE!</v>
          </cell>
          <cell r="G307" t="str">
            <v/>
          </cell>
          <cell r="H307" t="str">
            <v/>
          </cell>
          <cell r="I307" t="e">
            <v>#VALUE!</v>
          </cell>
          <cell r="J307">
            <v>0</v>
          </cell>
        </row>
        <row r="308">
          <cell r="A308" t="str">
            <v/>
          </cell>
          <cell r="B308" t="str">
            <v/>
          </cell>
          <cell r="C308" t="str">
            <v/>
          </cell>
          <cell r="D308" t="str">
            <v/>
          </cell>
          <cell r="E308" t="e">
            <v>#VALUE!</v>
          </cell>
          <cell r="F308" t="e">
            <v>#VALUE!</v>
          </cell>
          <cell r="G308" t="str">
            <v/>
          </cell>
          <cell r="H308" t="str">
            <v/>
          </cell>
          <cell r="I308" t="e">
            <v>#VALUE!</v>
          </cell>
          <cell r="J308">
            <v>0</v>
          </cell>
        </row>
        <row r="309">
          <cell r="A309" t="str">
            <v/>
          </cell>
          <cell r="B309" t="str">
            <v/>
          </cell>
          <cell r="C309" t="str">
            <v/>
          </cell>
          <cell r="D309" t="str">
            <v/>
          </cell>
          <cell r="E309" t="e">
            <v>#VALUE!</v>
          </cell>
          <cell r="F309" t="e">
            <v>#VALUE!</v>
          </cell>
          <cell r="G309" t="str">
            <v/>
          </cell>
          <cell r="H309" t="str">
            <v/>
          </cell>
          <cell r="I309" t="e">
            <v>#VALUE!</v>
          </cell>
          <cell r="J309">
            <v>0</v>
          </cell>
        </row>
        <row r="310">
          <cell r="A310" t="str">
            <v/>
          </cell>
          <cell r="B310" t="str">
            <v/>
          </cell>
          <cell r="C310" t="str">
            <v/>
          </cell>
          <cell r="D310" t="str">
            <v/>
          </cell>
          <cell r="E310" t="e">
            <v>#VALUE!</v>
          </cell>
          <cell r="F310" t="e">
            <v>#VALUE!</v>
          </cell>
          <cell r="G310" t="str">
            <v/>
          </cell>
          <cell r="H310" t="str">
            <v/>
          </cell>
          <cell r="I310" t="e">
            <v>#VALUE!</v>
          </cell>
          <cell r="J310">
            <v>0</v>
          </cell>
        </row>
        <row r="311">
          <cell r="A311" t="str">
            <v/>
          </cell>
          <cell r="B311" t="str">
            <v/>
          </cell>
          <cell r="C311" t="str">
            <v/>
          </cell>
          <cell r="D311" t="str">
            <v/>
          </cell>
          <cell r="E311" t="e">
            <v>#VALUE!</v>
          </cell>
          <cell r="F311" t="e">
            <v>#VALUE!</v>
          </cell>
          <cell r="G311" t="str">
            <v/>
          </cell>
          <cell r="H311" t="str">
            <v/>
          </cell>
          <cell r="I311" t="e">
            <v>#VALUE!</v>
          </cell>
          <cell r="J311">
            <v>0</v>
          </cell>
        </row>
        <row r="312">
          <cell r="A312" t="str">
            <v/>
          </cell>
          <cell r="B312" t="str">
            <v/>
          </cell>
          <cell r="C312" t="str">
            <v/>
          </cell>
          <cell r="D312" t="str">
            <v/>
          </cell>
          <cell r="E312" t="e">
            <v>#VALUE!</v>
          </cell>
          <cell r="F312" t="e">
            <v>#VALUE!</v>
          </cell>
          <cell r="G312" t="str">
            <v/>
          </cell>
          <cell r="H312" t="str">
            <v/>
          </cell>
          <cell r="I312" t="e">
            <v>#VALUE!</v>
          </cell>
          <cell r="J312">
            <v>0</v>
          </cell>
        </row>
        <row r="313">
          <cell r="A313" t="str">
            <v/>
          </cell>
          <cell r="B313" t="str">
            <v/>
          </cell>
          <cell r="C313" t="str">
            <v/>
          </cell>
          <cell r="D313" t="str">
            <v/>
          </cell>
          <cell r="E313" t="e">
            <v>#VALUE!</v>
          </cell>
          <cell r="F313" t="e">
            <v>#VALUE!</v>
          </cell>
          <cell r="G313" t="str">
            <v/>
          </cell>
          <cell r="H313" t="str">
            <v/>
          </cell>
          <cell r="I313" t="e">
            <v>#VALUE!</v>
          </cell>
          <cell r="J313">
            <v>0</v>
          </cell>
        </row>
        <row r="314">
          <cell r="A314" t="str">
            <v/>
          </cell>
          <cell r="B314" t="str">
            <v/>
          </cell>
          <cell r="C314" t="str">
            <v/>
          </cell>
          <cell r="D314" t="str">
            <v/>
          </cell>
          <cell r="E314" t="e">
            <v>#VALUE!</v>
          </cell>
          <cell r="F314" t="e">
            <v>#VALUE!</v>
          </cell>
          <cell r="G314" t="str">
            <v/>
          </cell>
          <cell r="H314" t="str">
            <v/>
          </cell>
          <cell r="I314" t="e">
            <v>#VALUE!</v>
          </cell>
          <cell r="J314">
            <v>0</v>
          </cell>
        </row>
        <row r="315">
          <cell r="A315" t="str">
            <v/>
          </cell>
          <cell r="B315" t="str">
            <v/>
          </cell>
          <cell r="C315" t="str">
            <v/>
          </cell>
          <cell r="D315" t="str">
            <v/>
          </cell>
          <cell r="E315" t="e">
            <v>#VALUE!</v>
          </cell>
          <cell r="F315" t="e">
            <v>#VALUE!</v>
          </cell>
          <cell r="G315" t="str">
            <v/>
          </cell>
          <cell r="H315" t="str">
            <v/>
          </cell>
          <cell r="I315" t="e">
            <v>#VALUE!</v>
          </cell>
          <cell r="J315">
            <v>0</v>
          </cell>
        </row>
        <row r="316">
          <cell r="A316" t="str">
            <v/>
          </cell>
          <cell r="B316" t="str">
            <v/>
          </cell>
          <cell r="C316" t="str">
            <v/>
          </cell>
          <cell r="D316" t="str">
            <v/>
          </cell>
          <cell r="E316" t="e">
            <v>#VALUE!</v>
          </cell>
          <cell r="F316" t="e">
            <v>#VALUE!</v>
          </cell>
          <cell r="G316" t="str">
            <v/>
          </cell>
          <cell r="H316" t="str">
            <v/>
          </cell>
          <cell r="I316" t="e">
            <v>#VALUE!</v>
          </cell>
          <cell r="J316">
            <v>0</v>
          </cell>
        </row>
        <row r="317">
          <cell r="A317" t="str">
            <v/>
          </cell>
          <cell r="B317" t="str">
            <v/>
          </cell>
          <cell r="C317" t="str">
            <v/>
          </cell>
          <cell r="D317" t="str">
            <v/>
          </cell>
          <cell r="E317" t="e">
            <v>#VALUE!</v>
          </cell>
          <cell r="F317" t="e">
            <v>#VALUE!</v>
          </cell>
          <cell r="G317" t="str">
            <v/>
          </cell>
          <cell r="H317" t="str">
            <v/>
          </cell>
          <cell r="I317" t="e">
            <v>#VALUE!</v>
          </cell>
          <cell r="J317">
            <v>0</v>
          </cell>
        </row>
        <row r="318">
          <cell r="A318" t="str">
            <v/>
          </cell>
          <cell r="B318" t="str">
            <v/>
          </cell>
          <cell r="C318" t="str">
            <v/>
          </cell>
          <cell r="D318" t="str">
            <v/>
          </cell>
          <cell r="E318" t="e">
            <v>#VALUE!</v>
          </cell>
          <cell r="F318" t="e">
            <v>#VALUE!</v>
          </cell>
          <cell r="G318" t="str">
            <v/>
          </cell>
          <cell r="H318" t="str">
            <v/>
          </cell>
          <cell r="I318" t="e">
            <v>#VALUE!</v>
          </cell>
          <cell r="J318">
            <v>0</v>
          </cell>
        </row>
        <row r="319">
          <cell r="A319" t="str">
            <v/>
          </cell>
          <cell r="B319" t="str">
            <v/>
          </cell>
          <cell r="C319" t="str">
            <v/>
          </cell>
          <cell r="D319" t="str">
            <v/>
          </cell>
          <cell r="E319" t="e">
            <v>#VALUE!</v>
          </cell>
          <cell r="F319" t="e">
            <v>#VALUE!</v>
          </cell>
          <cell r="G319" t="str">
            <v/>
          </cell>
          <cell r="H319" t="str">
            <v/>
          </cell>
          <cell r="I319" t="e">
            <v>#VALUE!</v>
          </cell>
          <cell r="J319">
            <v>0</v>
          </cell>
        </row>
        <row r="320">
          <cell r="A320" t="str">
            <v/>
          </cell>
          <cell r="B320" t="str">
            <v/>
          </cell>
          <cell r="C320" t="str">
            <v/>
          </cell>
          <cell r="D320" t="str">
            <v/>
          </cell>
          <cell r="E320" t="e">
            <v>#VALUE!</v>
          </cell>
          <cell r="F320" t="e">
            <v>#VALUE!</v>
          </cell>
          <cell r="G320" t="str">
            <v/>
          </cell>
          <cell r="H320" t="str">
            <v/>
          </cell>
          <cell r="I320" t="e">
            <v>#VALUE!</v>
          </cell>
          <cell r="J320">
            <v>0</v>
          </cell>
        </row>
        <row r="321">
          <cell r="A321" t="str">
            <v/>
          </cell>
          <cell r="B321" t="str">
            <v/>
          </cell>
          <cell r="C321" t="str">
            <v/>
          </cell>
          <cell r="D321" t="str">
            <v/>
          </cell>
          <cell r="E321" t="e">
            <v>#VALUE!</v>
          </cell>
          <cell r="F321" t="e">
            <v>#VALUE!</v>
          </cell>
          <cell r="G321" t="str">
            <v/>
          </cell>
          <cell r="H321" t="str">
            <v/>
          </cell>
          <cell r="I321" t="e">
            <v>#VALUE!</v>
          </cell>
          <cell r="J321">
            <v>0</v>
          </cell>
        </row>
        <row r="322">
          <cell r="A322" t="str">
            <v/>
          </cell>
          <cell r="B322" t="str">
            <v/>
          </cell>
          <cell r="C322" t="str">
            <v/>
          </cell>
          <cell r="D322" t="str">
            <v/>
          </cell>
          <cell r="E322" t="e">
            <v>#VALUE!</v>
          </cell>
          <cell r="F322" t="e">
            <v>#VALUE!</v>
          </cell>
          <cell r="G322" t="str">
            <v/>
          </cell>
          <cell r="H322" t="str">
            <v/>
          </cell>
          <cell r="I322" t="e">
            <v>#VALUE!</v>
          </cell>
          <cell r="J322">
            <v>0</v>
          </cell>
        </row>
        <row r="323">
          <cell r="A323" t="str">
            <v/>
          </cell>
          <cell r="B323" t="str">
            <v/>
          </cell>
          <cell r="C323" t="str">
            <v/>
          </cell>
          <cell r="D323" t="str">
            <v/>
          </cell>
          <cell r="E323" t="e">
            <v>#VALUE!</v>
          </cell>
          <cell r="F323" t="e">
            <v>#VALUE!</v>
          </cell>
          <cell r="G323" t="str">
            <v/>
          </cell>
          <cell r="H323" t="str">
            <v/>
          </cell>
          <cell r="I323" t="e">
            <v>#VALUE!</v>
          </cell>
          <cell r="J323">
            <v>0</v>
          </cell>
        </row>
        <row r="324">
          <cell r="A324" t="str">
            <v/>
          </cell>
          <cell r="B324" t="str">
            <v/>
          </cell>
          <cell r="C324" t="str">
            <v/>
          </cell>
          <cell r="D324" t="str">
            <v/>
          </cell>
          <cell r="E324" t="e">
            <v>#VALUE!</v>
          </cell>
          <cell r="F324" t="e">
            <v>#VALUE!</v>
          </cell>
          <cell r="G324" t="str">
            <v/>
          </cell>
          <cell r="H324" t="str">
            <v/>
          </cell>
          <cell r="I324" t="e">
            <v>#VALUE!</v>
          </cell>
          <cell r="J324">
            <v>0</v>
          </cell>
        </row>
        <row r="325">
          <cell r="A325" t="str">
            <v/>
          </cell>
          <cell r="B325" t="str">
            <v/>
          </cell>
          <cell r="C325" t="str">
            <v/>
          </cell>
          <cell r="D325" t="str">
            <v/>
          </cell>
          <cell r="E325" t="e">
            <v>#VALUE!</v>
          </cell>
          <cell r="F325" t="e">
            <v>#VALUE!</v>
          </cell>
          <cell r="G325" t="str">
            <v/>
          </cell>
          <cell r="H325" t="str">
            <v/>
          </cell>
          <cell r="I325" t="e">
            <v>#VALUE!</v>
          </cell>
          <cell r="J325">
            <v>0</v>
          </cell>
        </row>
        <row r="326">
          <cell r="A326" t="str">
            <v/>
          </cell>
          <cell r="B326" t="str">
            <v/>
          </cell>
          <cell r="C326" t="str">
            <v/>
          </cell>
          <cell r="D326" t="str">
            <v/>
          </cell>
          <cell r="E326" t="e">
            <v>#VALUE!</v>
          </cell>
          <cell r="F326" t="e">
            <v>#VALUE!</v>
          </cell>
          <cell r="G326" t="str">
            <v/>
          </cell>
          <cell r="H326" t="str">
            <v/>
          </cell>
          <cell r="I326" t="e">
            <v>#VALUE!</v>
          </cell>
          <cell r="J326">
            <v>0</v>
          </cell>
        </row>
        <row r="327">
          <cell r="A327" t="str">
            <v/>
          </cell>
          <cell r="B327" t="str">
            <v/>
          </cell>
          <cell r="C327" t="str">
            <v/>
          </cell>
          <cell r="D327" t="str">
            <v/>
          </cell>
          <cell r="E327" t="e">
            <v>#VALUE!</v>
          </cell>
          <cell r="F327" t="e">
            <v>#VALUE!</v>
          </cell>
          <cell r="G327" t="str">
            <v/>
          </cell>
          <cell r="H327" t="str">
            <v/>
          </cell>
          <cell r="I327" t="e">
            <v>#VALUE!</v>
          </cell>
          <cell r="J327">
            <v>0</v>
          </cell>
        </row>
        <row r="328">
          <cell r="A328" t="str">
            <v/>
          </cell>
          <cell r="B328" t="str">
            <v/>
          </cell>
          <cell r="C328" t="str">
            <v/>
          </cell>
          <cell r="D328" t="str">
            <v/>
          </cell>
          <cell r="E328" t="e">
            <v>#VALUE!</v>
          </cell>
          <cell r="F328" t="e">
            <v>#VALUE!</v>
          </cell>
          <cell r="G328" t="str">
            <v/>
          </cell>
          <cell r="H328" t="str">
            <v/>
          </cell>
          <cell r="I328" t="e">
            <v>#VALUE!</v>
          </cell>
          <cell r="J328">
            <v>0</v>
          </cell>
        </row>
        <row r="329">
          <cell r="A329" t="str">
            <v/>
          </cell>
          <cell r="B329" t="str">
            <v/>
          </cell>
          <cell r="C329" t="str">
            <v/>
          </cell>
          <cell r="D329" t="str">
            <v/>
          </cell>
          <cell r="E329" t="e">
            <v>#VALUE!</v>
          </cell>
          <cell r="F329" t="e">
            <v>#VALUE!</v>
          </cell>
          <cell r="G329" t="str">
            <v/>
          </cell>
          <cell r="H329" t="str">
            <v/>
          </cell>
          <cell r="I329" t="e">
            <v>#VALUE!</v>
          </cell>
          <cell r="J329">
            <v>0</v>
          </cell>
        </row>
        <row r="330">
          <cell r="A330" t="str">
            <v/>
          </cell>
          <cell r="B330" t="str">
            <v/>
          </cell>
          <cell r="C330" t="str">
            <v/>
          </cell>
          <cell r="D330" t="str">
            <v/>
          </cell>
          <cell r="E330" t="e">
            <v>#VALUE!</v>
          </cell>
          <cell r="F330" t="e">
            <v>#VALUE!</v>
          </cell>
          <cell r="G330" t="str">
            <v/>
          </cell>
          <cell r="H330" t="str">
            <v/>
          </cell>
          <cell r="I330" t="e">
            <v>#VALUE!</v>
          </cell>
          <cell r="J330">
            <v>0</v>
          </cell>
        </row>
        <row r="331">
          <cell r="A331" t="str">
            <v/>
          </cell>
          <cell r="B331" t="str">
            <v/>
          </cell>
          <cell r="C331" t="str">
            <v/>
          </cell>
          <cell r="D331" t="str">
            <v/>
          </cell>
          <cell r="E331" t="e">
            <v>#VALUE!</v>
          </cell>
          <cell r="F331" t="e">
            <v>#VALUE!</v>
          </cell>
          <cell r="G331" t="str">
            <v/>
          </cell>
          <cell r="H331" t="str">
            <v/>
          </cell>
          <cell r="I331" t="e">
            <v>#VALUE!</v>
          </cell>
          <cell r="J331">
            <v>0</v>
          </cell>
        </row>
        <row r="332">
          <cell r="A332" t="str">
            <v/>
          </cell>
          <cell r="B332" t="str">
            <v/>
          </cell>
          <cell r="C332" t="str">
            <v/>
          </cell>
          <cell r="D332" t="str">
            <v/>
          </cell>
          <cell r="E332" t="e">
            <v>#VALUE!</v>
          </cell>
          <cell r="F332" t="e">
            <v>#VALUE!</v>
          </cell>
          <cell r="G332" t="str">
            <v/>
          </cell>
          <cell r="H332" t="str">
            <v/>
          </cell>
          <cell r="I332" t="e">
            <v>#VALUE!</v>
          </cell>
          <cell r="J332">
            <v>0</v>
          </cell>
        </row>
        <row r="333">
          <cell r="A333" t="str">
            <v/>
          </cell>
          <cell r="B333" t="str">
            <v/>
          </cell>
          <cell r="C333" t="str">
            <v/>
          </cell>
          <cell r="D333" t="str">
            <v/>
          </cell>
          <cell r="E333" t="e">
            <v>#VALUE!</v>
          </cell>
          <cell r="F333" t="e">
            <v>#VALUE!</v>
          </cell>
          <cell r="G333" t="str">
            <v/>
          </cell>
          <cell r="H333" t="str">
            <v/>
          </cell>
          <cell r="I333" t="e">
            <v>#VALUE!</v>
          </cell>
          <cell r="J333">
            <v>0</v>
          </cell>
        </row>
        <row r="334">
          <cell r="A334" t="str">
            <v/>
          </cell>
          <cell r="B334" t="str">
            <v/>
          </cell>
          <cell r="C334" t="str">
            <v/>
          </cell>
          <cell r="D334" t="str">
            <v/>
          </cell>
          <cell r="E334" t="e">
            <v>#VALUE!</v>
          </cell>
          <cell r="F334" t="e">
            <v>#VALUE!</v>
          </cell>
          <cell r="G334" t="str">
            <v/>
          </cell>
          <cell r="H334" t="str">
            <v/>
          </cell>
          <cell r="I334" t="e">
            <v>#VALUE!</v>
          </cell>
          <cell r="J334">
            <v>0</v>
          </cell>
        </row>
        <row r="335">
          <cell r="A335" t="str">
            <v/>
          </cell>
          <cell r="B335" t="str">
            <v/>
          </cell>
          <cell r="C335" t="str">
            <v/>
          </cell>
          <cell r="D335" t="str">
            <v/>
          </cell>
          <cell r="E335" t="e">
            <v>#VALUE!</v>
          </cell>
          <cell r="F335" t="e">
            <v>#VALUE!</v>
          </cell>
          <cell r="G335" t="str">
            <v/>
          </cell>
          <cell r="H335" t="str">
            <v/>
          </cell>
          <cell r="I335" t="e">
            <v>#VALUE!</v>
          </cell>
          <cell r="J335">
            <v>0</v>
          </cell>
        </row>
        <row r="336">
          <cell r="A336" t="str">
            <v/>
          </cell>
          <cell r="B336" t="str">
            <v/>
          </cell>
          <cell r="C336" t="str">
            <v/>
          </cell>
          <cell r="D336" t="str">
            <v/>
          </cell>
          <cell r="E336" t="e">
            <v>#VALUE!</v>
          </cell>
          <cell r="F336" t="e">
            <v>#VALUE!</v>
          </cell>
          <cell r="G336" t="str">
            <v/>
          </cell>
          <cell r="H336" t="str">
            <v/>
          </cell>
          <cell r="I336" t="e">
            <v>#VALUE!</v>
          </cell>
          <cell r="J336">
            <v>0</v>
          </cell>
        </row>
        <row r="337">
          <cell r="A337" t="str">
            <v/>
          </cell>
          <cell r="B337" t="str">
            <v/>
          </cell>
          <cell r="C337" t="str">
            <v/>
          </cell>
          <cell r="D337" t="str">
            <v/>
          </cell>
          <cell r="E337" t="e">
            <v>#VALUE!</v>
          </cell>
          <cell r="F337" t="e">
            <v>#VALUE!</v>
          </cell>
          <cell r="G337" t="str">
            <v/>
          </cell>
          <cell r="H337" t="str">
            <v/>
          </cell>
          <cell r="I337" t="e">
            <v>#VALUE!</v>
          </cell>
          <cell r="J337">
            <v>0</v>
          </cell>
        </row>
        <row r="338">
          <cell r="A338" t="str">
            <v/>
          </cell>
          <cell r="B338" t="str">
            <v/>
          </cell>
          <cell r="C338" t="str">
            <v/>
          </cell>
          <cell r="D338" t="str">
            <v/>
          </cell>
          <cell r="E338" t="e">
            <v>#VALUE!</v>
          </cell>
          <cell r="F338" t="e">
            <v>#VALUE!</v>
          </cell>
          <cell r="G338" t="str">
            <v/>
          </cell>
          <cell r="H338" t="str">
            <v/>
          </cell>
          <cell r="I338" t="e">
            <v>#VALUE!</v>
          </cell>
          <cell r="J338">
            <v>0</v>
          </cell>
        </row>
        <row r="339">
          <cell r="A339" t="str">
            <v/>
          </cell>
          <cell r="B339" t="str">
            <v/>
          </cell>
          <cell r="C339" t="str">
            <v/>
          </cell>
          <cell r="D339" t="str">
            <v/>
          </cell>
          <cell r="E339" t="e">
            <v>#VALUE!</v>
          </cell>
          <cell r="F339" t="e">
            <v>#VALUE!</v>
          </cell>
          <cell r="G339" t="str">
            <v/>
          </cell>
          <cell r="H339" t="str">
            <v/>
          </cell>
          <cell r="I339" t="e">
            <v>#VALUE!</v>
          </cell>
          <cell r="J339">
            <v>0</v>
          </cell>
        </row>
        <row r="340">
          <cell r="A340" t="str">
            <v/>
          </cell>
          <cell r="B340" t="str">
            <v/>
          </cell>
          <cell r="C340" t="str">
            <v/>
          </cell>
          <cell r="D340" t="str">
            <v/>
          </cell>
          <cell r="E340" t="e">
            <v>#VALUE!</v>
          </cell>
          <cell r="F340" t="e">
            <v>#VALUE!</v>
          </cell>
          <cell r="G340" t="str">
            <v/>
          </cell>
          <cell r="H340" t="str">
            <v/>
          </cell>
          <cell r="I340" t="e">
            <v>#VALUE!</v>
          </cell>
          <cell r="J340">
            <v>0</v>
          </cell>
        </row>
        <row r="341">
          <cell r="A341" t="str">
            <v/>
          </cell>
          <cell r="B341" t="str">
            <v/>
          </cell>
          <cell r="C341" t="str">
            <v/>
          </cell>
          <cell r="D341" t="str">
            <v/>
          </cell>
          <cell r="E341" t="e">
            <v>#VALUE!</v>
          </cell>
          <cell r="F341" t="e">
            <v>#VALUE!</v>
          </cell>
          <cell r="G341" t="str">
            <v/>
          </cell>
          <cell r="H341" t="str">
            <v/>
          </cell>
          <cell r="I341" t="e">
            <v>#VALUE!</v>
          </cell>
          <cell r="J341">
            <v>0</v>
          </cell>
        </row>
        <row r="342">
          <cell r="A342" t="str">
            <v/>
          </cell>
          <cell r="B342" t="str">
            <v/>
          </cell>
          <cell r="C342" t="str">
            <v/>
          </cell>
          <cell r="D342" t="str">
            <v/>
          </cell>
          <cell r="E342" t="e">
            <v>#VALUE!</v>
          </cell>
          <cell r="F342" t="e">
            <v>#VALUE!</v>
          </cell>
          <cell r="G342" t="str">
            <v/>
          </cell>
          <cell r="H342" t="str">
            <v/>
          </cell>
          <cell r="I342" t="e">
            <v>#VALUE!</v>
          </cell>
          <cell r="J342">
            <v>0</v>
          </cell>
        </row>
        <row r="343">
          <cell r="A343" t="str">
            <v/>
          </cell>
          <cell r="B343" t="str">
            <v/>
          </cell>
          <cell r="C343" t="str">
            <v/>
          </cell>
          <cell r="D343" t="str">
            <v/>
          </cell>
          <cell r="E343" t="e">
            <v>#VALUE!</v>
          </cell>
          <cell r="F343" t="e">
            <v>#VALUE!</v>
          </cell>
          <cell r="G343" t="str">
            <v/>
          </cell>
          <cell r="H343" t="str">
            <v/>
          </cell>
          <cell r="I343" t="e">
            <v>#VALUE!</v>
          </cell>
          <cell r="J343">
            <v>0</v>
          </cell>
        </row>
        <row r="344">
          <cell r="A344" t="str">
            <v/>
          </cell>
          <cell r="B344" t="str">
            <v/>
          </cell>
          <cell r="C344" t="str">
            <v/>
          </cell>
          <cell r="D344" t="str">
            <v/>
          </cell>
          <cell r="E344" t="e">
            <v>#VALUE!</v>
          </cell>
          <cell r="F344" t="e">
            <v>#VALUE!</v>
          </cell>
          <cell r="G344" t="str">
            <v/>
          </cell>
          <cell r="H344" t="str">
            <v/>
          </cell>
          <cell r="I344" t="e">
            <v>#VALUE!</v>
          </cell>
          <cell r="J344">
            <v>0</v>
          </cell>
        </row>
        <row r="345">
          <cell r="A345" t="str">
            <v/>
          </cell>
          <cell r="B345" t="str">
            <v/>
          </cell>
          <cell r="C345" t="str">
            <v/>
          </cell>
          <cell r="D345" t="str">
            <v/>
          </cell>
          <cell r="E345" t="e">
            <v>#VALUE!</v>
          </cell>
          <cell r="F345" t="e">
            <v>#VALUE!</v>
          </cell>
          <cell r="G345" t="str">
            <v/>
          </cell>
          <cell r="H345" t="str">
            <v/>
          </cell>
          <cell r="I345" t="e">
            <v>#VALUE!</v>
          </cell>
          <cell r="J345">
            <v>0</v>
          </cell>
        </row>
        <row r="346">
          <cell r="A346" t="str">
            <v/>
          </cell>
          <cell r="B346" t="str">
            <v/>
          </cell>
          <cell r="C346" t="str">
            <v/>
          </cell>
          <cell r="D346" t="str">
            <v/>
          </cell>
          <cell r="E346" t="e">
            <v>#VALUE!</v>
          </cell>
          <cell r="F346" t="e">
            <v>#VALUE!</v>
          </cell>
          <cell r="G346" t="str">
            <v/>
          </cell>
          <cell r="H346" t="str">
            <v/>
          </cell>
          <cell r="I346" t="e">
            <v>#VALUE!</v>
          </cell>
          <cell r="J346">
            <v>0</v>
          </cell>
        </row>
        <row r="347">
          <cell r="A347" t="str">
            <v/>
          </cell>
          <cell r="B347" t="str">
            <v/>
          </cell>
          <cell r="C347" t="str">
            <v/>
          </cell>
          <cell r="D347" t="str">
            <v/>
          </cell>
          <cell r="E347" t="e">
            <v>#VALUE!</v>
          </cell>
          <cell r="F347" t="e">
            <v>#VALUE!</v>
          </cell>
          <cell r="G347" t="str">
            <v/>
          </cell>
          <cell r="H347" t="str">
            <v/>
          </cell>
          <cell r="I347" t="e">
            <v>#VALUE!</v>
          </cell>
          <cell r="J347">
            <v>0</v>
          </cell>
        </row>
        <row r="348">
          <cell r="A348" t="str">
            <v/>
          </cell>
          <cell r="B348" t="str">
            <v/>
          </cell>
          <cell r="C348" t="str">
            <v/>
          </cell>
          <cell r="D348" t="str">
            <v/>
          </cell>
          <cell r="E348" t="e">
            <v>#VALUE!</v>
          </cell>
          <cell r="F348" t="e">
            <v>#VALUE!</v>
          </cell>
          <cell r="G348" t="str">
            <v/>
          </cell>
          <cell r="H348" t="str">
            <v/>
          </cell>
          <cell r="I348" t="e">
            <v>#VALUE!</v>
          </cell>
          <cell r="J348">
            <v>0</v>
          </cell>
        </row>
        <row r="349">
          <cell r="A349" t="str">
            <v/>
          </cell>
          <cell r="B349" t="str">
            <v/>
          </cell>
          <cell r="C349" t="str">
            <v/>
          </cell>
          <cell r="D349" t="str">
            <v/>
          </cell>
          <cell r="E349" t="e">
            <v>#VALUE!</v>
          </cell>
          <cell r="F349" t="e">
            <v>#VALUE!</v>
          </cell>
          <cell r="G349" t="str">
            <v/>
          </cell>
          <cell r="H349" t="str">
            <v/>
          </cell>
          <cell r="I349" t="e">
            <v>#VALUE!</v>
          </cell>
          <cell r="J349">
            <v>0</v>
          </cell>
        </row>
        <row r="350">
          <cell r="A350" t="str">
            <v/>
          </cell>
          <cell r="B350" t="str">
            <v/>
          </cell>
          <cell r="C350" t="str">
            <v/>
          </cell>
          <cell r="D350" t="str">
            <v/>
          </cell>
          <cell r="E350" t="e">
            <v>#VALUE!</v>
          </cell>
          <cell r="F350" t="e">
            <v>#VALUE!</v>
          </cell>
          <cell r="G350" t="str">
            <v/>
          </cell>
          <cell r="H350" t="str">
            <v/>
          </cell>
          <cell r="I350" t="e">
            <v>#VALUE!</v>
          </cell>
          <cell r="J350">
            <v>0</v>
          </cell>
        </row>
        <row r="351">
          <cell r="A351" t="str">
            <v/>
          </cell>
          <cell r="B351" t="str">
            <v/>
          </cell>
          <cell r="C351" t="str">
            <v/>
          </cell>
          <cell r="D351" t="str">
            <v/>
          </cell>
          <cell r="E351" t="e">
            <v>#VALUE!</v>
          </cell>
          <cell r="F351" t="e">
            <v>#VALUE!</v>
          </cell>
          <cell r="G351" t="str">
            <v/>
          </cell>
          <cell r="H351" t="str">
            <v/>
          </cell>
          <cell r="I351" t="e">
            <v>#VALUE!</v>
          </cell>
          <cell r="J351">
            <v>0</v>
          </cell>
        </row>
        <row r="352">
          <cell r="A352" t="str">
            <v/>
          </cell>
          <cell r="B352" t="str">
            <v/>
          </cell>
          <cell r="C352" t="str">
            <v/>
          </cell>
          <cell r="D352" t="str">
            <v/>
          </cell>
          <cell r="E352" t="e">
            <v>#VALUE!</v>
          </cell>
          <cell r="F352" t="e">
            <v>#VALUE!</v>
          </cell>
          <cell r="G352" t="str">
            <v/>
          </cell>
          <cell r="H352" t="str">
            <v/>
          </cell>
          <cell r="I352" t="e">
            <v>#VALUE!</v>
          </cell>
          <cell r="J352">
            <v>0</v>
          </cell>
        </row>
        <row r="353">
          <cell r="A353" t="str">
            <v/>
          </cell>
          <cell r="B353" t="str">
            <v/>
          </cell>
          <cell r="C353" t="str">
            <v/>
          </cell>
          <cell r="D353" t="str">
            <v/>
          </cell>
          <cell r="E353" t="e">
            <v>#VALUE!</v>
          </cell>
          <cell r="F353" t="e">
            <v>#VALUE!</v>
          </cell>
          <cell r="G353" t="str">
            <v/>
          </cell>
          <cell r="H353" t="str">
            <v/>
          </cell>
          <cell r="I353" t="e">
            <v>#VALUE!</v>
          </cell>
          <cell r="J353">
            <v>0</v>
          </cell>
        </row>
        <row r="354">
          <cell r="A354" t="str">
            <v/>
          </cell>
          <cell r="B354" t="str">
            <v/>
          </cell>
          <cell r="C354" t="str">
            <v/>
          </cell>
          <cell r="D354" t="str">
            <v/>
          </cell>
          <cell r="E354" t="e">
            <v>#VALUE!</v>
          </cell>
          <cell r="F354" t="e">
            <v>#VALUE!</v>
          </cell>
          <cell r="G354" t="str">
            <v/>
          </cell>
          <cell r="H354" t="str">
            <v/>
          </cell>
          <cell r="I354" t="e">
            <v>#VALUE!</v>
          </cell>
          <cell r="J354">
            <v>0</v>
          </cell>
        </row>
        <row r="355">
          <cell r="A355" t="str">
            <v/>
          </cell>
          <cell r="B355" t="str">
            <v/>
          </cell>
          <cell r="C355" t="str">
            <v/>
          </cell>
          <cell r="D355" t="str">
            <v/>
          </cell>
          <cell r="E355" t="e">
            <v>#VALUE!</v>
          </cell>
          <cell r="F355" t="e">
            <v>#VALUE!</v>
          </cell>
          <cell r="G355" t="str">
            <v/>
          </cell>
          <cell r="H355" t="str">
            <v/>
          </cell>
          <cell r="I355" t="e">
            <v>#VALUE!</v>
          </cell>
          <cell r="J355">
            <v>0</v>
          </cell>
        </row>
        <row r="356">
          <cell r="A356" t="str">
            <v/>
          </cell>
          <cell r="B356" t="str">
            <v/>
          </cell>
          <cell r="C356" t="str">
            <v/>
          </cell>
          <cell r="D356" t="str">
            <v/>
          </cell>
          <cell r="E356" t="e">
            <v>#VALUE!</v>
          </cell>
          <cell r="F356" t="e">
            <v>#VALUE!</v>
          </cell>
          <cell r="G356" t="str">
            <v/>
          </cell>
          <cell r="H356" t="str">
            <v/>
          </cell>
          <cell r="I356" t="e">
            <v>#VALUE!</v>
          </cell>
          <cell r="J356">
            <v>0</v>
          </cell>
        </row>
        <row r="357">
          <cell r="A357" t="str">
            <v/>
          </cell>
          <cell r="B357" t="str">
            <v/>
          </cell>
          <cell r="C357" t="str">
            <v/>
          </cell>
          <cell r="D357" t="str">
            <v/>
          </cell>
          <cell r="E357" t="e">
            <v>#VALUE!</v>
          </cell>
          <cell r="F357" t="e">
            <v>#VALUE!</v>
          </cell>
          <cell r="G357" t="str">
            <v/>
          </cell>
          <cell r="H357" t="str">
            <v/>
          </cell>
          <cell r="I357" t="e">
            <v>#VALUE!</v>
          </cell>
          <cell r="J357">
            <v>0</v>
          </cell>
        </row>
        <row r="358">
          <cell r="A358" t="str">
            <v/>
          </cell>
          <cell r="B358" t="str">
            <v/>
          </cell>
          <cell r="C358" t="str">
            <v/>
          </cell>
          <cell r="D358" t="str">
            <v/>
          </cell>
          <cell r="E358" t="e">
            <v>#VALUE!</v>
          </cell>
          <cell r="F358" t="e">
            <v>#VALUE!</v>
          </cell>
          <cell r="G358" t="str">
            <v/>
          </cell>
          <cell r="H358" t="str">
            <v/>
          </cell>
          <cell r="I358" t="e">
            <v>#VALUE!</v>
          </cell>
          <cell r="J358">
            <v>0</v>
          </cell>
        </row>
        <row r="359">
          <cell r="A359" t="str">
            <v/>
          </cell>
          <cell r="B359" t="str">
            <v/>
          </cell>
          <cell r="C359" t="str">
            <v/>
          </cell>
          <cell r="D359" t="str">
            <v/>
          </cell>
          <cell r="E359" t="e">
            <v>#VALUE!</v>
          </cell>
          <cell r="F359" t="e">
            <v>#VALUE!</v>
          </cell>
          <cell r="G359" t="str">
            <v/>
          </cell>
          <cell r="H359" t="str">
            <v/>
          </cell>
          <cell r="I359" t="e">
            <v>#VALUE!</v>
          </cell>
          <cell r="J359">
            <v>0</v>
          </cell>
        </row>
        <row r="360">
          <cell r="A360" t="str">
            <v/>
          </cell>
          <cell r="B360" t="str">
            <v/>
          </cell>
          <cell r="C360" t="str">
            <v/>
          </cell>
          <cell r="D360" t="str">
            <v/>
          </cell>
          <cell r="E360" t="e">
            <v>#VALUE!</v>
          </cell>
          <cell r="F360" t="e">
            <v>#VALUE!</v>
          </cell>
          <cell r="G360" t="str">
            <v/>
          </cell>
          <cell r="H360" t="str">
            <v/>
          </cell>
          <cell r="I360" t="e">
            <v>#VALUE!</v>
          </cell>
          <cell r="J360">
            <v>0</v>
          </cell>
        </row>
        <row r="361">
          <cell r="A361" t="str">
            <v/>
          </cell>
          <cell r="B361" t="str">
            <v/>
          </cell>
          <cell r="C361" t="str">
            <v/>
          </cell>
          <cell r="D361" t="str">
            <v/>
          </cell>
          <cell r="E361" t="e">
            <v>#VALUE!</v>
          </cell>
          <cell r="F361" t="e">
            <v>#VALUE!</v>
          </cell>
          <cell r="G361" t="str">
            <v/>
          </cell>
          <cell r="H361" t="str">
            <v/>
          </cell>
          <cell r="I361" t="e">
            <v>#VALUE!</v>
          </cell>
          <cell r="J361">
            <v>0</v>
          </cell>
        </row>
        <row r="362">
          <cell r="A362" t="str">
            <v/>
          </cell>
          <cell r="B362" t="str">
            <v/>
          </cell>
          <cell r="C362" t="str">
            <v/>
          </cell>
          <cell r="D362" t="str">
            <v/>
          </cell>
          <cell r="E362" t="e">
            <v>#VALUE!</v>
          </cell>
          <cell r="F362" t="e">
            <v>#VALUE!</v>
          </cell>
          <cell r="G362" t="str">
            <v/>
          </cell>
          <cell r="H362" t="str">
            <v/>
          </cell>
          <cell r="I362" t="e">
            <v>#VALUE!</v>
          </cell>
          <cell r="J362">
            <v>0</v>
          </cell>
        </row>
        <row r="363">
          <cell r="A363" t="str">
            <v/>
          </cell>
          <cell r="B363" t="str">
            <v/>
          </cell>
          <cell r="C363" t="str">
            <v/>
          </cell>
          <cell r="D363" t="str">
            <v/>
          </cell>
          <cell r="E363" t="e">
            <v>#VALUE!</v>
          </cell>
          <cell r="F363" t="e">
            <v>#VALUE!</v>
          </cell>
          <cell r="G363" t="str">
            <v/>
          </cell>
          <cell r="H363" t="str">
            <v/>
          </cell>
          <cell r="I363" t="e">
            <v>#VALUE!</v>
          </cell>
          <cell r="J363">
            <v>0</v>
          </cell>
        </row>
        <row r="364">
          <cell r="A364" t="str">
            <v/>
          </cell>
          <cell r="B364" t="str">
            <v/>
          </cell>
          <cell r="C364" t="str">
            <v/>
          </cell>
          <cell r="D364" t="str">
            <v/>
          </cell>
          <cell r="E364" t="e">
            <v>#VALUE!</v>
          </cell>
          <cell r="F364" t="e">
            <v>#VALUE!</v>
          </cell>
          <cell r="G364" t="str">
            <v/>
          </cell>
          <cell r="H364" t="str">
            <v/>
          </cell>
          <cell r="I364" t="e">
            <v>#VALUE!</v>
          </cell>
          <cell r="J364">
            <v>0</v>
          </cell>
        </row>
        <row r="365">
          <cell r="A365" t="str">
            <v/>
          </cell>
          <cell r="B365" t="str">
            <v/>
          </cell>
          <cell r="C365" t="str">
            <v/>
          </cell>
          <cell r="D365" t="str">
            <v/>
          </cell>
          <cell r="E365" t="e">
            <v>#VALUE!</v>
          </cell>
          <cell r="F365" t="e">
            <v>#VALUE!</v>
          </cell>
          <cell r="G365" t="str">
            <v/>
          </cell>
          <cell r="H365" t="str">
            <v/>
          </cell>
          <cell r="I365" t="e">
            <v>#VALUE!</v>
          </cell>
          <cell r="J365">
            <v>0</v>
          </cell>
        </row>
        <row r="366">
          <cell r="A366" t="str">
            <v/>
          </cell>
          <cell r="B366" t="str">
            <v/>
          </cell>
          <cell r="C366" t="str">
            <v/>
          </cell>
          <cell r="D366" t="str">
            <v/>
          </cell>
          <cell r="E366" t="e">
            <v>#VALUE!</v>
          </cell>
          <cell r="F366" t="e">
            <v>#VALUE!</v>
          </cell>
          <cell r="G366" t="str">
            <v/>
          </cell>
          <cell r="H366" t="str">
            <v/>
          </cell>
          <cell r="I366" t="e">
            <v>#VALUE!</v>
          </cell>
          <cell r="J366">
            <v>0</v>
          </cell>
        </row>
        <row r="367">
          <cell r="A367" t="str">
            <v/>
          </cell>
          <cell r="B367" t="str">
            <v/>
          </cell>
          <cell r="C367" t="str">
            <v/>
          </cell>
          <cell r="D367" t="str">
            <v/>
          </cell>
          <cell r="E367" t="e">
            <v>#VALUE!</v>
          </cell>
          <cell r="F367" t="e">
            <v>#VALUE!</v>
          </cell>
          <cell r="G367" t="str">
            <v/>
          </cell>
          <cell r="H367" t="str">
            <v/>
          </cell>
          <cell r="I367" t="e">
            <v>#VALUE!</v>
          </cell>
          <cell r="J367">
            <v>0</v>
          </cell>
        </row>
        <row r="368">
          <cell r="A368" t="str">
            <v/>
          </cell>
          <cell r="B368" t="str">
            <v/>
          </cell>
          <cell r="C368" t="str">
            <v/>
          </cell>
          <cell r="D368" t="str">
            <v/>
          </cell>
          <cell r="E368" t="e">
            <v>#VALUE!</v>
          </cell>
          <cell r="F368" t="e">
            <v>#VALUE!</v>
          </cell>
          <cell r="G368" t="str">
            <v/>
          </cell>
          <cell r="H368" t="str">
            <v/>
          </cell>
          <cell r="I368" t="e">
            <v>#VALUE!</v>
          </cell>
          <cell r="J368">
            <v>0</v>
          </cell>
        </row>
        <row r="369">
          <cell r="A369" t="str">
            <v/>
          </cell>
          <cell r="B369" t="str">
            <v/>
          </cell>
          <cell r="C369" t="str">
            <v/>
          </cell>
          <cell r="D369" t="str">
            <v/>
          </cell>
          <cell r="E369" t="e">
            <v>#VALUE!</v>
          </cell>
          <cell r="F369" t="e">
            <v>#VALUE!</v>
          </cell>
          <cell r="G369" t="str">
            <v/>
          </cell>
          <cell r="H369" t="str">
            <v/>
          </cell>
          <cell r="I369" t="e">
            <v>#VALUE!</v>
          </cell>
          <cell r="J369">
            <v>0</v>
          </cell>
        </row>
        <row r="370">
          <cell r="A370" t="str">
            <v/>
          </cell>
          <cell r="B370" t="str">
            <v/>
          </cell>
          <cell r="C370" t="str">
            <v/>
          </cell>
          <cell r="D370" t="str">
            <v/>
          </cell>
          <cell r="E370" t="e">
            <v>#VALUE!</v>
          </cell>
          <cell r="F370" t="e">
            <v>#VALUE!</v>
          </cell>
          <cell r="G370" t="str">
            <v/>
          </cell>
          <cell r="H370" t="str">
            <v/>
          </cell>
          <cell r="I370" t="e">
            <v>#VALUE!</v>
          </cell>
          <cell r="J370">
            <v>0</v>
          </cell>
        </row>
        <row r="371">
          <cell r="A371" t="str">
            <v/>
          </cell>
          <cell r="B371" t="str">
            <v/>
          </cell>
          <cell r="C371" t="str">
            <v/>
          </cell>
          <cell r="D371" t="str">
            <v/>
          </cell>
          <cell r="E371" t="e">
            <v>#VALUE!</v>
          </cell>
          <cell r="F371" t="e">
            <v>#VALUE!</v>
          </cell>
          <cell r="G371" t="str">
            <v/>
          </cell>
          <cell r="H371" t="str">
            <v/>
          </cell>
          <cell r="I371" t="e">
            <v>#VALUE!</v>
          </cell>
          <cell r="J371">
            <v>0</v>
          </cell>
        </row>
        <row r="372">
          <cell r="A372" t="str">
            <v/>
          </cell>
          <cell r="B372" t="str">
            <v/>
          </cell>
          <cell r="C372" t="str">
            <v/>
          </cell>
          <cell r="D372" t="str">
            <v/>
          </cell>
          <cell r="E372" t="e">
            <v>#VALUE!</v>
          </cell>
          <cell r="F372" t="e">
            <v>#VALUE!</v>
          </cell>
          <cell r="G372" t="str">
            <v/>
          </cell>
          <cell r="H372" t="str">
            <v/>
          </cell>
          <cell r="I372" t="e">
            <v>#VALUE!</v>
          </cell>
          <cell r="J372">
            <v>0</v>
          </cell>
        </row>
        <row r="373">
          <cell r="A373" t="str">
            <v/>
          </cell>
          <cell r="B373" t="str">
            <v/>
          </cell>
          <cell r="C373" t="str">
            <v/>
          </cell>
          <cell r="D373" t="str">
            <v/>
          </cell>
          <cell r="E373" t="e">
            <v>#VALUE!</v>
          </cell>
          <cell r="F373" t="e">
            <v>#VALUE!</v>
          </cell>
          <cell r="G373" t="str">
            <v/>
          </cell>
          <cell r="H373" t="str">
            <v/>
          </cell>
          <cell r="I373" t="e">
            <v>#VALUE!</v>
          </cell>
          <cell r="J373">
            <v>0</v>
          </cell>
        </row>
        <row r="374">
          <cell r="A374" t="str">
            <v/>
          </cell>
          <cell r="B374" t="str">
            <v/>
          </cell>
          <cell r="C374" t="str">
            <v/>
          </cell>
          <cell r="D374" t="str">
            <v/>
          </cell>
          <cell r="E374" t="e">
            <v>#VALUE!</v>
          </cell>
          <cell r="F374" t="e">
            <v>#VALUE!</v>
          </cell>
          <cell r="G374" t="str">
            <v/>
          </cell>
          <cell r="H374" t="str">
            <v/>
          </cell>
          <cell r="I374" t="e">
            <v>#VALUE!</v>
          </cell>
          <cell r="J374">
            <v>0</v>
          </cell>
        </row>
        <row r="375">
          <cell r="A375" t="str">
            <v/>
          </cell>
          <cell r="B375" t="str">
            <v/>
          </cell>
          <cell r="C375" t="str">
            <v/>
          </cell>
          <cell r="D375" t="str">
            <v/>
          </cell>
          <cell r="E375" t="e">
            <v>#VALUE!</v>
          </cell>
          <cell r="F375" t="e">
            <v>#VALUE!</v>
          </cell>
          <cell r="G375" t="str">
            <v/>
          </cell>
          <cell r="H375" t="str">
            <v/>
          </cell>
          <cell r="I375" t="e">
            <v>#VALUE!</v>
          </cell>
          <cell r="J375">
            <v>0</v>
          </cell>
        </row>
        <row r="376">
          <cell r="A376" t="str">
            <v/>
          </cell>
          <cell r="B376" t="str">
            <v/>
          </cell>
          <cell r="C376" t="str">
            <v/>
          </cell>
          <cell r="D376" t="str">
            <v/>
          </cell>
          <cell r="E376" t="e">
            <v>#VALUE!</v>
          </cell>
          <cell r="F376" t="e">
            <v>#VALUE!</v>
          </cell>
          <cell r="G376" t="str">
            <v/>
          </cell>
          <cell r="H376" t="str">
            <v/>
          </cell>
          <cell r="I376" t="e">
            <v>#VALUE!</v>
          </cell>
          <cell r="J376">
            <v>0</v>
          </cell>
        </row>
        <row r="377">
          <cell r="A377" t="str">
            <v/>
          </cell>
          <cell r="B377" t="str">
            <v/>
          </cell>
          <cell r="C377" t="str">
            <v/>
          </cell>
          <cell r="D377" t="str">
            <v/>
          </cell>
          <cell r="E377" t="e">
            <v>#VALUE!</v>
          </cell>
          <cell r="F377" t="e">
            <v>#VALUE!</v>
          </cell>
          <cell r="G377" t="str">
            <v/>
          </cell>
          <cell r="H377" t="str">
            <v/>
          </cell>
          <cell r="I377" t="e">
            <v>#VALUE!</v>
          </cell>
          <cell r="J377">
            <v>0</v>
          </cell>
        </row>
        <row r="378">
          <cell r="A378" t="str">
            <v/>
          </cell>
          <cell r="B378" t="str">
            <v/>
          </cell>
          <cell r="C378" t="str">
            <v/>
          </cell>
          <cell r="D378" t="str">
            <v/>
          </cell>
          <cell r="E378" t="e">
            <v>#VALUE!</v>
          </cell>
          <cell r="F378" t="e">
            <v>#VALUE!</v>
          </cell>
          <cell r="G378" t="str">
            <v/>
          </cell>
          <cell r="H378" t="str">
            <v/>
          </cell>
          <cell r="I378" t="e">
            <v>#VALUE!</v>
          </cell>
          <cell r="J378">
            <v>0</v>
          </cell>
        </row>
      </sheetData>
      <sheetData sheetId="96"/>
      <sheetData sheetId="97"/>
      <sheetData sheetId="98">
        <row r="83">
          <cell r="A83" t="str">
            <v>25-03(44)</v>
          </cell>
        </row>
      </sheetData>
      <sheetData sheetId="9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FFD2A4D-91AA-074D-B760-EF17D8F2F1F7}" name="Table223" displayName="Table223" ref="B96:K107" totalsRowCount="1" headerRowDxfId="377" dataDxfId="375" headerRowBorderDxfId="376" tableBorderDxfId="374" totalsRowBorderDxfId="373" dataCellStyle="Percent">
  <autoFilter ref="B96:K106" xr:uid="{0FFD2A4D-91AA-074D-B760-EF17D8F2F1F7}"/>
  <tableColumns count="10">
    <tableColumn id="1" xr3:uid="{9CFF255C-5AC2-2142-B18D-F4AD40ADDC82}" name="Lender" totalsRowLabel="Total" dataDxfId="372" totalsRowDxfId="371"/>
    <tableColumn id="2" xr3:uid="{EE22BE3C-874C-404B-9B67-4A3C7034A2FF}" name="Current Balance" totalsRowFunction="sum" dataDxfId="370" totalsRowDxfId="369" dataCellStyle="Currency"/>
    <tableColumn id="3" xr3:uid="{67AE47A4-5429-B84B-8793-17DC0F4FC0F6}" name="Mthly Pmt" totalsRowFunction="sum" dataDxfId="368" totalsRowDxfId="367" dataCellStyle="Currency"/>
    <tableColumn id="4" xr3:uid="{54FDAB71-FFFD-D04D-894B-B631D2B73798}" name="Collateral" dataDxfId="366" totalsRowDxfId="365" dataCellStyle="Currency"/>
    <tableColumn id="5" xr3:uid="{DFFF7468-5183-5542-A566-951CEA5363F6}" name="Refinance?" dataDxfId="364" totalsRowDxfId="363" dataCellStyle="Currency"/>
    <tableColumn id="6" xr3:uid="{9E483224-32EB-C546-AD81-D0CAF9C1E23A}" name="% of Loan" dataDxfId="362" totalsRowDxfId="361" dataCellStyle="Percent">
      <calculatedColumnFormula>IFERROR(Table223[[#This Row],[Current Balance]]/#REF!,0)</calculatedColumnFormula>
    </tableColumn>
    <tableColumn id="7" xr3:uid="{5861F31D-8AEC-8C41-BFA0-65E32680D0EB}" name="Refi Pmt" totalsRowFunction="sum" dataDxfId="360" totalsRowDxfId="359" dataCellStyle="Percent">
      <calculatedColumnFormula>IFERROR(IF(Table223[[#This Row],[Refinance?]]="Yes",PMT($C$36/12,$C$39,-Table223[[#This Row],[Current Balance]]),0),0)</calculatedColumnFormula>
    </tableColumn>
    <tableColumn id="8" xr3:uid="{0CE81D19-E5DD-184C-9547-26879984CCCA}" name="% Chg" dataDxfId="358" totalsRowDxfId="357" dataCellStyle="Percent">
      <calculatedColumnFormula>IFERROR((Table223[[#This Row],[Mthly Pmt]]-Table223[[#This Row],[Refi Pmt]])/Table223[[#This Row],[Mthly Pmt]],0)</calculatedColumnFormula>
    </tableColumn>
    <tableColumn id="9" xr3:uid="{67FB144D-B9C0-3A4F-9788-622ACF663891}" name="CF Debt Svc" totalsRowFunction="sum" dataDxfId="356" totalsRowDxfId="355">
      <calculatedColumnFormula>IF(Table223[[#This Row],[Refinance?]]="Yes",0,Table223[[#This Row],[Mthly Pmt]])</calculatedColumnFormula>
    </tableColumn>
    <tableColumn id="10" xr3:uid="{2C2569A0-CD10-0049-AA09-7172CBCDFF36}" name="Reserved" dataDxfId="354" totalsRowDxfId="353"/>
  </tableColumns>
  <tableStyleInfo name="TableStyleMedium2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B0B0D5-9E38-D24A-BBB6-CAFF2B9058F4}" name="Table2" displayName="Table2" ref="B206:K217" totalsRowCount="1" headerRowDxfId="352" dataDxfId="350" totalsRowDxfId="348" headerRowBorderDxfId="351" tableBorderDxfId="349" totalsRowBorderDxfId="347">
  <autoFilter ref="B206:K216" xr:uid="{1F8E17A7-68A5-4643-9AB0-B69D4F0A1849}"/>
  <tableColumns count="10">
    <tableColumn id="1" xr3:uid="{916EF707-7B60-AE48-8D10-922C9216495C}" name="Lender" totalsRowLabel="Total" dataDxfId="346" totalsRowDxfId="345"/>
    <tableColumn id="2" xr3:uid="{726ED945-9E2A-1243-A9E4-74E7C101CEE7}" name="Current Balance" totalsRowFunction="sum" dataDxfId="344" totalsRowDxfId="343" dataCellStyle="Currency"/>
    <tableColumn id="3" xr3:uid="{9020B9C1-D2EF-F54B-9785-9470E667CE74}" name="Mthly Pmt" totalsRowFunction="sum" dataDxfId="342" totalsRowDxfId="341" dataCellStyle="Currency"/>
    <tableColumn id="4" xr3:uid="{ED1DE3AD-B102-D24A-AF13-8C4961FFC7DF}" name="Collateral" dataDxfId="340" totalsRowDxfId="339" dataCellStyle="Currency"/>
    <tableColumn id="5" xr3:uid="{026E141A-0D92-6A42-87E3-CF02352E65AD}" name="Refinance?" dataDxfId="338" totalsRowDxfId="337" dataCellStyle="Currency"/>
    <tableColumn id="6" xr3:uid="{7A7A1FFD-BD47-3046-9A69-AF0008C87BE1}" name="% of Loan" dataDxfId="336" totalsRowDxfId="335" dataCellStyle="Percent">
      <calculatedColumnFormula>IFERROR(Table2[[#This Row],[Current Balance]]/$C$65,0)</calculatedColumnFormula>
    </tableColumn>
    <tableColumn id="7" xr3:uid="{E80A44F0-3E4F-1D43-8144-659804E6FD85}" name="Refi Pmt" totalsRowFunction="sum" dataDxfId="334" totalsRowDxfId="333" dataCellStyle="Percent">
      <calculatedColumnFormula>IFERROR(IF(Table2[[#This Row],[Refinance?]]="Yes",PMT($C$36/12,$C$39,-Table2[[#This Row],[Current Balance]]),0),0)</calculatedColumnFormula>
    </tableColumn>
    <tableColumn id="8" xr3:uid="{1A4EB28B-0B84-4848-9FC6-F8D84C5829C5}" name="% Chg" dataDxfId="332" totalsRowDxfId="331" dataCellStyle="Percent">
      <calculatedColumnFormula>IFERROR((Table2[[#This Row],[Mthly Pmt]]-Table2[[#This Row],[Refi Pmt]])/Table2[[#This Row],[Mthly Pmt]],0)</calculatedColumnFormula>
    </tableColumn>
    <tableColumn id="9" xr3:uid="{8AA14535-D1E7-1941-8D9C-B1AD84CBA020}" name="CF Debt Svc" totalsRowFunction="sum" dataDxfId="330" totalsRowDxfId="329">
      <calculatedColumnFormula>IF(Table2[[#This Row],[Refinance?]]="Yes",0,Table2[[#This Row],[Mthly Pmt]])</calculatedColumnFormula>
    </tableColumn>
    <tableColumn id="10" xr3:uid="{84A6F611-5F01-CC41-AFAF-A904F235B347}" name="Reserved" dataDxfId="328" totalsRowDxfId="3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FABD35-10C3-42A0-8CF8-EB780A8FFDCA}" name="Table1" displayName="Table1" ref="B6:O28" totalsRowCount="1" headerRowDxfId="326" totalsRowDxfId="323" headerRowBorderDxfId="325" tableBorderDxfId="324" totalsRowBorderDxfId="322">
  <autoFilter ref="B6:O27" xr:uid="{61FABD35-10C3-42A0-8CF8-EB780A8FFDCA}"/>
  <tableColumns count="14">
    <tableColumn id="1" xr3:uid="{AD281F36-B5C1-403C-A010-208BBBA36C77}" name="Creditor" totalsRowLabel="Total" dataDxfId="321" totalsRowDxfId="320" dataCellStyle="Normal 2 2"/>
    <tableColumn id="2" xr3:uid="{A38F8F9F-60FD-42E1-B861-8833FC0B115C}" name="Account Number" dataDxfId="319" totalsRowDxfId="318" dataCellStyle="Normal 2 2"/>
    <tableColumn id="3" xr3:uid="{2772F76C-6C71-42A5-9BCF-059FCF88720C}" name="Orig Balance" dataDxfId="317" totalsRowDxfId="316" dataCellStyle="Currency"/>
    <tableColumn id="4" xr3:uid="{5B7C273A-4319-439D-8BFF-B85F1A8D8CFE}" name="Balance Due" totalsRowFunction="sum" dataDxfId="315" totalsRowDxfId="314" dataCellStyle="Currency 3"/>
    <tableColumn id="5" xr3:uid="{337C24AE-76D6-45BD-A2D6-639B2AC5B290}" name="Curr Int Rate" dataDxfId="313" totalsRowDxfId="312" dataCellStyle="Percent"/>
    <tableColumn id="6" xr3:uid="{DB4B2EC3-EEB0-4B25-B390-A3B4BB7163EC}" name="Maturity Date" dataDxfId="311" totalsRowDxfId="310" dataCellStyle="Currency 3"/>
    <tableColumn id="7" xr3:uid="{F7080F36-2A2D-43D1-A820-523D4D738268}" name="Monthly Payment" totalsRowFunction="sum" dataDxfId="309" totalsRowDxfId="308" dataCellStyle="Currency"/>
    <tableColumn id="8" xr3:uid="{B9714E3E-AAB5-4B31-9572-9A45AB0F0849}" name="Security" dataDxfId="307" totalsRowDxfId="306" dataCellStyle="Normal 2 2"/>
    <tableColumn id="9" xr3:uid="{76653D1A-5007-4277-B796-4808CCEA74B3}" name="Notes/Original Use" dataDxfId="305" totalsRowDxfId="304" dataCellStyle="Normal 2 2"/>
    <tableColumn id="12" xr3:uid="{BEA1785E-B809-4FBD-87AD-F56DA60ED046}" name="Refi?" dataDxfId="303" totalsRowDxfId="302"/>
    <tableColumn id="13" xr3:uid="{B93A5C1E-A17D-4F75-81BD-B3BE085B3794}" name="% of Loan" dataDxfId="301" totalsRowDxfId="300" dataCellStyle="Percent">
      <calculatedColumnFormula>IFERROR(Table1[[#This Row],[Balance Due]]/$C$4,0)</calculatedColumnFormula>
    </tableColumn>
    <tableColumn id="14" xr3:uid="{C3296D72-1F4F-413A-80D2-6F9355FF2BA2}" name="Refi Pmt" totalsRowFunction="sum" dataDxfId="299" totalsRowDxfId="298">
      <calculatedColumnFormula>IFERROR(IF(Table1[[#This Row],[Refi?]]="Yes",PMT($E$4/12,$G$4,-Table1[[#This Row],[Balance Due]]),0),0)</calculatedColumnFormula>
    </tableColumn>
    <tableColumn id="15" xr3:uid="{050B803B-A2D9-49D5-8F1C-E33367FBB39C}" name="% Change" dataDxfId="297" totalsRowDxfId="296" dataCellStyle="Percent">
      <calculatedColumnFormula>IFERROR((Table1[[#This Row],[Monthly Payment]]-Table1[[#This Row],[Refi Pmt]])/Table1[[#This Row],[Monthly Payment]],0)</calculatedColumnFormula>
    </tableColumn>
    <tableColumn id="16" xr3:uid="{493253BD-8239-4D74-8366-FBB0772F298E}" name="CF Debt Svc" totalsRowFunction="sum" dataDxfId="295" totalsRowDxfId="294" dataCellStyle="Comma">
      <calculatedColumnFormula>IF(Table1[[#This Row],[Refi?]]="Yes",0,Table1[[#This Row],[Monthly Payment]])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573564-AB7E-46EE-B35F-BABDA942A88F}" name="EPCDebt" displayName="EPCDebt" ref="M8:Q30" totalsRowCount="1" headerRowDxfId="293" dataDxfId="292" headerRowCellStyle="Hyperlink">
  <autoFilter ref="M8:Q29" xr:uid="{5E573564-AB7E-46EE-B35F-BABDA942A88F}"/>
  <tableColumns count="5">
    <tableColumn id="1" xr3:uid="{F5D0EFA2-097E-4619-B335-23DB2A581111}" name="Lender Name" totalsRowLabel="Total" dataDxfId="291" totalsRowDxfId="290"/>
    <tableColumn id="2" xr3:uid="{AA5AA5F9-6896-47FC-9BB2-E21F0A0BA0CE}" name="Curr Bal" totalsRowFunction="sum" dataDxfId="289" totalsRowDxfId="288"/>
    <tableColumn id="3" xr3:uid="{B7F7217B-A81C-4552-8B78-3A3673D1133C}" name="Curr Pmt" totalsRowFunction="sum" dataDxfId="287" totalsRowDxfId="286"/>
    <tableColumn id="4" xr3:uid="{2C93C488-08AC-468E-8F88-8AB26B6C0CD1}" name="Orig Date" dataDxfId="285" totalsRowDxfId="284"/>
    <tableColumn id="5" xr3:uid="{6D20642F-240A-4286-813E-DC047BF4422E}" name="SBA Ln (Y/N)" dataDxfId="283" totalsRowDxfId="28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6DF23E-E043-4E22-BF17-04950E8D9638}" name="AFF1Debt" displayName="AFF1Debt" ref="M8:Q30" totalsRowCount="1" headerRowDxfId="281" dataDxfId="280" headerRowCellStyle="Hyperlink">
  <autoFilter ref="M8:Q29" xr:uid="{C66DF23E-E043-4E22-BF17-04950E8D9638}"/>
  <tableColumns count="5">
    <tableColumn id="1" xr3:uid="{063060F5-BEE7-40C3-BB7A-1EC6EDC74F72}" name="Lender Name" totalsRowLabel="Total" dataDxfId="279" totalsRowDxfId="278"/>
    <tableColumn id="2" xr3:uid="{B1CB510F-63E7-4DD6-8044-84046D405C7F}" name="Curr Bal" totalsRowFunction="sum" dataDxfId="277" totalsRowDxfId="276"/>
    <tableColumn id="3" xr3:uid="{5B07C186-35CF-4CB3-92B8-35B53765645F}" name="Curr Pmt" totalsRowFunction="sum" dataDxfId="275" totalsRowDxfId="274"/>
    <tableColumn id="4" xr3:uid="{E5E1503B-812E-443D-8BAB-2C53A39A6C5F}" name="Orig Date" dataDxfId="273" totalsRowDxfId="272"/>
    <tableColumn id="5" xr3:uid="{4A0ED84D-782C-4C63-9E4E-C724BD0D5A7A}" name="SBA Ln (Y/N)" dataDxfId="271" totalsRowDxfId="270"/>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EF087-1C28-48B3-AE0A-F59E2CC1EF07}" name="AFF2Debt" displayName="AFF2Debt" ref="M8:Q30" totalsRowCount="1" headerRowDxfId="269" dataDxfId="268" headerRowCellStyle="Hyperlink">
  <autoFilter ref="M8:Q29" xr:uid="{BD5EF087-1C28-48B3-AE0A-F59E2CC1EF07}"/>
  <tableColumns count="5">
    <tableColumn id="1" xr3:uid="{E23380C9-0C08-49DD-BB19-9B2D5ECDB0FB}" name="Lender Name" totalsRowLabel="Total" dataDxfId="267" totalsRowDxfId="266"/>
    <tableColumn id="2" xr3:uid="{08240E67-C0E7-4151-96E9-F37AB5EC4136}" name="Curr Bal" totalsRowFunction="sum" dataDxfId="265" totalsRowDxfId="264"/>
    <tableColumn id="3" xr3:uid="{DCF643B2-4C76-4342-8626-6A27F7ADF4DB}" name="Curr Pmt" totalsRowFunction="sum" dataDxfId="263" totalsRowDxfId="262"/>
    <tableColumn id="4" xr3:uid="{CC9D8EC3-F4DE-44F4-A4C1-F0D7FA8918C1}" name="Orig Date" dataDxfId="261" totalsRowDxfId="260"/>
    <tableColumn id="5" xr3:uid="{FB88808C-8301-4C08-A8E0-CB5BA65A3D02}" name="SBA Ln (Y/N)" dataDxfId="259" totalsRowDxfId="258"/>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AC81320-C15C-4E9B-B2EA-53A721D26B0E}" name="AFF3Debt" displayName="AFF3Debt" ref="M8:Q30" totalsRowCount="1" headerRowDxfId="257" dataDxfId="256" headerRowCellStyle="Hyperlink">
  <autoFilter ref="M8:Q29" xr:uid="{BAC81320-C15C-4E9B-B2EA-53A721D26B0E}"/>
  <tableColumns count="5">
    <tableColumn id="1" xr3:uid="{13255442-E674-42E2-A2E2-D570D07F2408}" name="Lender Name" totalsRowLabel="Total" dataDxfId="255" totalsRowDxfId="254"/>
    <tableColumn id="2" xr3:uid="{7CDEF42A-B0D2-434A-B74B-19CC266A3022}" name="Curr Bal" totalsRowFunction="sum" dataDxfId="253" totalsRowDxfId="252"/>
    <tableColumn id="3" xr3:uid="{160353A4-7446-4E2C-B2C6-424C05F1F650}" name="Curr Pmt" totalsRowFunction="sum" dataDxfId="251" totalsRowDxfId="250"/>
    <tableColumn id="4" xr3:uid="{EAB68E21-1F58-4ABD-997D-DCB4DBAF882E}" name="Orig Date" dataDxfId="249" totalsRowDxfId="248"/>
    <tableColumn id="5" xr3:uid="{CADDF146-21C0-4378-85A2-E5DE92E5D3E3}" name="SBA Ln (Y/N)" dataDxfId="247" totalsRowDxfId="246"/>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094E693-2E2D-4620-8189-A9E11D25307D}" name="AFF4Debt" displayName="AFF4Debt" ref="M8:Q30" totalsRowCount="1" headerRowDxfId="245" dataDxfId="244" headerRowCellStyle="Hyperlink">
  <autoFilter ref="M8:Q29" xr:uid="{3094E693-2E2D-4620-8189-A9E11D25307D}"/>
  <tableColumns count="5">
    <tableColumn id="1" xr3:uid="{5746BCD7-59C6-4FA4-83C5-4533E66B33D9}" name="Lender Name" totalsRowLabel="Total" dataDxfId="243" totalsRowDxfId="242"/>
    <tableColumn id="2" xr3:uid="{8A87084C-F06F-4FCC-A207-0801A072B6F4}" name="Curr Bal" totalsRowFunction="sum" dataDxfId="241" totalsRowDxfId="240"/>
    <tableColumn id="3" xr3:uid="{45F3E7DD-025A-442B-8CB0-F28584FBDB68}" name="Curr Pmt" totalsRowFunction="sum" dataDxfId="239" totalsRowDxfId="238"/>
    <tableColumn id="4" xr3:uid="{AD2B4687-1B17-46C2-8543-6108228059A0}" name="Orig Date" dataDxfId="237" totalsRowDxfId="236"/>
    <tableColumn id="5" xr3:uid="{101720B2-12C3-473D-9BA9-674F96E9C341}" name="SBA Ln (Y/N)" dataDxfId="235" totalsRowDxfId="234"/>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FEBA29-B391-4806-84D0-D2F2465D51D6}" name="AFF5Debt" displayName="AFF5Debt" ref="M8:Q30" totalsRowCount="1" headerRowDxfId="233" dataDxfId="232" headerRowCellStyle="Hyperlink">
  <autoFilter ref="M8:Q29" xr:uid="{AEFEBA29-B391-4806-84D0-D2F2465D51D6}"/>
  <tableColumns count="5">
    <tableColumn id="1" xr3:uid="{193FB26D-B918-4BE3-9C48-1B0374491514}" name="Lender Name" totalsRowLabel="Total" dataDxfId="231" totalsRowDxfId="230"/>
    <tableColumn id="2" xr3:uid="{6230CBF0-D7F0-4E3B-A9D1-B5C3E4806034}" name="Curr Bal" totalsRowFunction="sum" dataDxfId="229" totalsRowDxfId="228"/>
    <tableColumn id="3" xr3:uid="{F4BE2734-7523-48D0-B8AC-269ED34DD54A}" name="Curr Pmt" totalsRowFunction="sum" dataDxfId="227" totalsRowDxfId="226"/>
    <tableColumn id="4" xr3:uid="{CD66FC1B-2E3C-47C6-B8C2-15A5AFB38E1B}" name="Orig Date" dataDxfId="225" totalsRowDxfId="224"/>
    <tableColumn id="5" xr3:uid="{B27A71DA-2C98-4F27-AC22-720F62084E9F}" name="SBA Ln (Y/N)" dataDxfId="223" totalsRowDxfId="222"/>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7870642-8B50-41AA-8462-4A138B960A76}" name="AFF7Debt22" displayName="AFF7Debt22" ref="M8:Q30" totalsRowCount="1" headerRowDxfId="221" dataDxfId="220" headerRowCellStyle="Hyperlink">
  <autoFilter ref="M8:Q29" xr:uid="{17870642-8B50-41AA-8462-4A138B960A76}"/>
  <tableColumns count="5">
    <tableColumn id="1" xr3:uid="{FA91AF8D-F1D3-4EA5-B74C-FA76FDA75531}" name="Lender Name" totalsRowLabel="Total" dataDxfId="219" totalsRowDxfId="218"/>
    <tableColumn id="2" xr3:uid="{2D8B1870-EA64-448F-A2A6-3E467E710380}" name="Curr Bal" totalsRowFunction="sum" dataDxfId="217" totalsRowDxfId="216"/>
    <tableColumn id="3" xr3:uid="{BC005861-548D-43FF-88AC-3A69E3BE62F8}" name="Curr Pmt" totalsRowFunction="sum" dataDxfId="215" totalsRowDxfId="214"/>
    <tableColumn id="4" xr3:uid="{6D86AAED-8EE7-4DF9-AF19-E9E06E42B70B}" name="Orig Date" dataDxfId="213" totalsRowDxfId="212"/>
    <tableColumn id="5" xr3:uid="{DFCE6A72-720F-4B85-B192-F01BC5497549}" name="SBA Ln (Y/N)" dataDxfId="211" totalsRowDxfId="210"/>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9078539-E862-49C1-8A67-AA3C5732EA2B}" name="AFF7Debt" displayName="AFF7Debt" ref="M8:Q30" totalsRowCount="1" headerRowDxfId="209" dataDxfId="208" headerRowCellStyle="Hyperlink">
  <autoFilter ref="M8:Q29" xr:uid="{AEFEBA29-B391-4806-84D0-D2F2465D51D6}"/>
  <tableColumns count="5">
    <tableColumn id="1" xr3:uid="{A76CA185-E5C4-4244-91A1-35C6C5FD4371}" name="Lender Name" totalsRowLabel="Total" dataDxfId="207" totalsRowDxfId="206"/>
    <tableColumn id="2" xr3:uid="{706DAFC8-6DC2-4F1B-A92F-D83E3766DD80}" name="Curr Bal" totalsRowFunction="sum" dataDxfId="205" totalsRowDxfId="204"/>
    <tableColumn id="3" xr3:uid="{8E93D598-7061-43B6-B715-D22965D53FBD}" name="Curr Pmt" totalsRowFunction="sum" dataDxfId="203" totalsRowDxfId="202"/>
    <tableColumn id="4" xr3:uid="{3BE7B1E4-8FC8-44C8-876D-B6A1D68A77B8}" name="Orig Date" dataDxfId="201" totalsRowDxfId="200"/>
    <tableColumn id="5" xr3:uid="{94FFC707-1092-46F0-9197-C62752FD3F84}" name="SBA Ln (Y/N)" dataDxfId="199" totalsRowDxfId="198"/>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F9372D3-F3CD-478D-8DD2-A8353DCB3552}" name="AFF8Debt" displayName="AFF8Debt" ref="M8:Q30" totalsRowCount="1" headerRowDxfId="197" dataDxfId="196" headerRowCellStyle="Hyperlink">
  <autoFilter ref="M8:Q29" xr:uid="{AEFEBA29-B391-4806-84D0-D2F2465D51D6}"/>
  <tableColumns count="5">
    <tableColumn id="1" xr3:uid="{06755AB9-6C37-46ED-9732-771ECB74B2EF}" name="Lender Name" totalsRowLabel="Total" dataDxfId="195" totalsRowDxfId="194"/>
    <tableColumn id="2" xr3:uid="{CEF69754-0AEC-4D45-843E-3BCC73013913}" name="Curr Bal" totalsRowFunction="sum" dataDxfId="193" totalsRowDxfId="192"/>
    <tableColumn id="3" xr3:uid="{52CCFFBC-EA15-4AAB-A432-4DF12A6E015A}" name="Curr Pmt" totalsRowFunction="sum" dataDxfId="191" totalsRowDxfId="190"/>
    <tableColumn id="4" xr3:uid="{A48214AE-606A-4A0D-ACCC-F2A4C0AA1A55}" name="Orig Date" dataDxfId="189" totalsRowDxfId="188"/>
    <tableColumn id="5" xr3:uid="{0B69745D-999F-4B43-AD1C-FF37866D4CA8}" name="SBA Ln (Y/N)" dataDxfId="187" totalsRowDxfId="186"/>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F261977-C173-4FC2-8C07-A3BF100A14A7}" name="AFF9Debt" displayName="AFF9Debt" ref="M8:Q30" totalsRowCount="1" headerRowDxfId="185" dataDxfId="184" headerRowCellStyle="Hyperlink">
  <autoFilter ref="M8:Q29" xr:uid="{AEFEBA29-B391-4806-84D0-D2F2465D51D6}"/>
  <tableColumns count="5">
    <tableColumn id="1" xr3:uid="{D564F23B-1B66-47CC-8164-AEB325B83FFF}" name="Lender Name" totalsRowLabel="Total" dataDxfId="183" totalsRowDxfId="182"/>
    <tableColumn id="2" xr3:uid="{22A328F9-7C40-4AFE-AE6D-454145183DA0}" name="Curr Bal" totalsRowFunction="sum" dataDxfId="181" totalsRowDxfId="180"/>
    <tableColumn id="3" xr3:uid="{3CE394CB-A250-4768-9D66-41932C67EC86}" name="Curr Pmt" totalsRowFunction="sum" dataDxfId="179" totalsRowDxfId="178"/>
    <tableColumn id="4" xr3:uid="{DE264E6E-422D-4009-B68E-2F76B0D981A6}" name="Orig Date" dataDxfId="177" totalsRowDxfId="176"/>
    <tableColumn id="5" xr3:uid="{266CFE7B-ADA0-47FF-96E7-0FB8FFB9DB3D}" name="SBA Ln (Y/N)" dataDxfId="175" totalsRowDxfId="174"/>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EC563EA-B2D6-4A17-9DC9-0F1AB95A75B7}" name="AFF10Debt" displayName="AFF10Debt" ref="M8:Q30" totalsRowCount="1" headerRowDxfId="173" dataDxfId="172" headerRowCellStyle="Hyperlink">
  <autoFilter ref="M8:Q29" xr:uid="{AEFEBA29-B391-4806-84D0-D2F2465D51D6}"/>
  <tableColumns count="5">
    <tableColumn id="1" xr3:uid="{11E3630E-648A-4300-A61D-C63D28529C64}" name="Lender Name" totalsRowLabel="Total" dataDxfId="171" totalsRowDxfId="170"/>
    <tableColumn id="2" xr3:uid="{94A35819-B633-44E3-BA45-37755600F7D5}" name="Curr Bal" totalsRowFunction="sum" dataDxfId="169" totalsRowDxfId="168"/>
    <tableColumn id="3" xr3:uid="{5D2F4070-C727-461F-AD38-1E30535DAE59}" name="Curr Pmt" totalsRowFunction="sum" dataDxfId="167" totalsRowDxfId="166"/>
    <tableColumn id="4" xr3:uid="{CF7BBEED-CB31-405F-9BFA-6F6CFF510278}" name="Orig Date" dataDxfId="165" totalsRowDxfId="164"/>
    <tableColumn id="5" xr3:uid="{DB81EC7B-56CC-4039-A0F1-FEAB02FAC323}" name="SBA Ln (Y/N)" dataDxfId="163" totalsRowDxfId="162"/>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A70828C-3991-4607-AE5D-4B22D5CCCB5B}" name="AFF11Debt" displayName="AFF11Debt" ref="M8:Q30" totalsRowCount="1" headerRowDxfId="161" dataDxfId="160" headerRowCellStyle="Hyperlink">
  <autoFilter ref="M8:Q29" xr:uid="{1A70828C-3991-4607-AE5D-4B22D5CCCB5B}"/>
  <tableColumns count="5">
    <tableColumn id="1" xr3:uid="{4AB4BE5A-6D80-41EF-BBEF-D8C09F59FC76}" name="Lender Name" totalsRowLabel="Total" dataDxfId="159" totalsRowDxfId="158"/>
    <tableColumn id="2" xr3:uid="{DF61458E-6542-4315-B6D7-36E690C5905D}" name="Curr Bal" totalsRowFunction="sum" dataDxfId="157" totalsRowDxfId="156"/>
    <tableColumn id="3" xr3:uid="{6E8F28B7-5E81-4D4A-8567-CC0061ED15AB}" name="Curr Pmt" totalsRowFunction="sum" dataDxfId="155" totalsRowDxfId="154"/>
    <tableColumn id="4" xr3:uid="{E4E9D185-B5F0-45FE-AFF6-973083331E21}" name="Orig Date" dataDxfId="153" totalsRowDxfId="152"/>
    <tableColumn id="5" xr3:uid="{958FFE7F-4A63-478D-9452-7E07DBE049D9}" name="SBA Ln (Y/N)" dataDxfId="151" totalsRowDxfId="150"/>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4FEDD04-962D-4F21-A3A0-D9C6ADF496BE}" name="AFF12Debt" displayName="AFF12Debt" ref="M8:Q30" totalsRowCount="1" headerRowDxfId="149" dataDxfId="148" headerRowCellStyle="Hyperlink">
  <autoFilter ref="M8:Q29" xr:uid="{34FEDD04-962D-4F21-A3A0-D9C6ADF496BE}"/>
  <tableColumns count="5">
    <tableColumn id="1" xr3:uid="{696CA8CA-330A-49B5-9767-7A94DF448458}" name="Lender Name" totalsRowLabel="Total" dataDxfId="147" totalsRowDxfId="146"/>
    <tableColumn id="2" xr3:uid="{64859727-43F1-4C75-98BF-836876A92CB9}" name="Curr Bal" totalsRowFunction="sum" dataDxfId="145" totalsRowDxfId="144"/>
    <tableColumn id="3" xr3:uid="{C29BB021-93B2-4400-B5C2-C82F20FCF2E6}" name="Curr Pmt" totalsRowFunction="sum" dataDxfId="143" totalsRowDxfId="142"/>
    <tableColumn id="4" xr3:uid="{BDB52CFD-DA20-48F8-A715-B44D2DD8EF7C}" name="Orig Date" dataDxfId="141" totalsRowDxfId="140"/>
    <tableColumn id="5" xr3:uid="{45F6EF43-0071-434D-9CCD-D4358005DFD1}" name="SBA Ln (Y/N)" dataDxfId="139" totalsRowDxfId="138"/>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A62009A-6901-4F19-9FAD-5CECE9275315}" name="AFF13Debt" displayName="AFF13Debt" ref="N8:R30" totalsRowCount="1" headerRowDxfId="137" dataDxfId="136" headerRowCellStyle="Hyperlink">
  <autoFilter ref="N8:R29" xr:uid="{CA62009A-6901-4F19-9FAD-5CECE9275315}"/>
  <tableColumns count="5">
    <tableColumn id="1" xr3:uid="{E3E5E8CC-23AC-4F6C-A09F-35E48BD86F58}" name="Lender Name" totalsRowLabel="Total" dataDxfId="135" totalsRowDxfId="134"/>
    <tableColumn id="2" xr3:uid="{834F7C53-1286-4B2A-8DA3-91F86C95D8BB}" name="Curr Bal" totalsRowFunction="sum" dataDxfId="133" totalsRowDxfId="132"/>
    <tableColumn id="3" xr3:uid="{D06E698D-11DE-4A32-9380-15AADA6BB66F}" name="Curr Pmt" totalsRowFunction="sum" dataDxfId="131" totalsRowDxfId="130"/>
    <tableColumn id="4" xr3:uid="{2F225FB7-539E-4F6A-AA83-4164F3B541BF}" name="Orig Date" dataDxfId="129" totalsRowDxfId="128"/>
    <tableColumn id="5" xr3:uid="{1F362670-CFF9-45A2-9CE0-FD128C88A8EB}" name="SBA Ln (Y/N)" dataDxfId="127" totalsRowDxfId="126"/>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D5ABC72-766B-43BB-8CF5-FC9B3948926A}" name="AFF14Debt" displayName="AFF14Debt" ref="N8:R30" totalsRowCount="1" headerRowDxfId="125" dataDxfId="124" headerRowCellStyle="Hyperlink">
  <autoFilter ref="N8:R29" xr:uid="{FD5ABC72-766B-43BB-8CF5-FC9B3948926A}"/>
  <tableColumns count="5">
    <tableColumn id="1" xr3:uid="{7401BDFD-54C5-4546-AC3E-CB5BC0865F58}" name="Lender Name" totalsRowLabel="Total" dataDxfId="123" totalsRowDxfId="122"/>
    <tableColumn id="2" xr3:uid="{206E6F34-3A30-4C74-862A-F2E722D113CB}" name="Curr Bal" totalsRowFunction="sum" dataDxfId="121" totalsRowDxfId="120"/>
    <tableColumn id="3" xr3:uid="{C51B5405-F65B-4816-A8EB-9592DD66BFC7}" name="Curr Pmt" totalsRowFunction="sum" dataDxfId="119" totalsRowDxfId="118"/>
    <tableColumn id="4" xr3:uid="{55156EF9-2B9B-4706-980B-AA08A60386A0}" name="Orig Date" dataDxfId="117" totalsRowDxfId="116"/>
    <tableColumn id="5" xr3:uid="{6E2F1677-AF14-4FE8-94EC-350FB58F3762}" name="SBA Ln (Y/N)" dataDxfId="115" totalsRowDxfId="114"/>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6652638-0861-479C-A0B5-3A2AEE7B0591}" name="AFF15Debt" displayName="AFF15Debt" ref="M8:Q30" totalsRowCount="1" headerRowDxfId="113" dataDxfId="112" headerRowCellStyle="Hyperlink">
  <autoFilter ref="M8:Q29" xr:uid="{A6652638-0861-479C-A0B5-3A2AEE7B0591}"/>
  <tableColumns count="5">
    <tableColumn id="1" xr3:uid="{6A327C18-343C-44CB-BBB3-FBAAA19E5165}" name="Lender Name" totalsRowLabel="Total" dataDxfId="111" totalsRowDxfId="110"/>
    <tableColumn id="2" xr3:uid="{14743C08-FC41-41F7-89FC-6912575DBFAC}" name="Curr Bal" totalsRowFunction="sum" dataDxfId="109" totalsRowDxfId="108"/>
    <tableColumn id="3" xr3:uid="{91AF0881-3578-47FC-95FB-8371DB946153}" name="Curr Pmt" totalsRowFunction="sum" dataDxfId="107" totalsRowDxfId="106"/>
    <tableColumn id="4" xr3:uid="{66C3C705-34D9-45A6-8DBD-D2A6050C5D73}" name="Orig Date" dataDxfId="105" totalsRowDxfId="104"/>
    <tableColumn id="5" xr3:uid="{F3D41402-B8D8-43E8-B4C2-9511495AE7B6}" name="SBA Ln (Y/N)" dataDxfId="103" totalsRowDxfId="102"/>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D23B25-2DDF-4434-A9D2-E01258159946}" name="AFF16Debt" displayName="AFF16Debt" ref="M8:Q30" totalsRowCount="1" headerRowDxfId="101" dataDxfId="100" headerRowCellStyle="Hyperlink">
  <autoFilter ref="M8:Q29" xr:uid="{E1D23B25-2DDF-4434-A9D2-E01258159946}"/>
  <tableColumns count="5">
    <tableColumn id="1" xr3:uid="{9B1AD95C-0084-4592-A8EE-B2E1432CDC29}" name="Lender Name" totalsRowLabel="Total" dataDxfId="99" totalsRowDxfId="98"/>
    <tableColumn id="2" xr3:uid="{4A12A6B0-258A-4D69-97E9-AB4FD03DD2D1}" name="Curr Bal" totalsRowFunction="sum" dataDxfId="97" totalsRowDxfId="96"/>
    <tableColumn id="3" xr3:uid="{8A9CF96B-857D-4EF4-A145-1F5A6406F025}" name="Curr Pmt" totalsRowFunction="sum" dataDxfId="95" totalsRowDxfId="94"/>
    <tableColumn id="4" xr3:uid="{383F3FED-5243-4BAE-9634-AFFEC6A7640F}" name="Orig Date" dataDxfId="93" totalsRowDxfId="92"/>
    <tableColumn id="5" xr3:uid="{99BCFA00-4009-43FD-A9BA-656760EC4370}" name="SBA Ln (Y/N)" dataDxfId="91" totalsRowDxfId="90"/>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4347A43-B0E3-4B3B-9170-C007207E4802}" name="AFF17Debt" displayName="AFF17Debt" ref="N8:R30" totalsRowCount="1" headerRowDxfId="89" dataDxfId="88" headerRowCellStyle="Hyperlink">
  <autoFilter ref="N8:R29" xr:uid="{04347A43-B0E3-4B3B-9170-C007207E4802}"/>
  <tableColumns count="5">
    <tableColumn id="1" xr3:uid="{2571F7DB-C473-434F-9457-28308CBECBDA}" name="Lender Name" totalsRowLabel="Total" dataDxfId="87" totalsRowDxfId="86"/>
    <tableColumn id="2" xr3:uid="{1BBC83FD-B171-44B7-ACC5-4331B9E11269}" name="Curr Bal" totalsRowFunction="sum" dataDxfId="85" totalsRowDxfId="84"/>
    <tableColumn id="3" xr3:uid="{2568A157-9F92-4CFE-AD91-BDD1273CA978}" name="Curr Pmt" totalsRowFunction="sum" dataDxfId="83" totalsRowDxfId="82"/>
    <tableColumn id="4" xr3:uid="{8CC4DD83-6EDB-4CC0-B565-9AFD464EB932}" name="Orig Date" dataDxfId="81" totalsRowDxfId="80"/>
    <tableColumn id="5" xr3:uid="{411C62CF-98B2-4CC6-82EF-CCEDF110CBBC}" name="SBA Ln (Y/N)" dataDxfId="79" totalsRowDxfId="78"/>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0E9FB66-A9A4-4F4A-8B4B-E3A301B9085C}" name="AFF18Debt" displayName="AFF18Debt" ref="N8:R30" totalsRowCount="1" headerRowDxfId="77" dataDxfId="76" headerRowCellStyle="Hyperlink">
  <autoFilter ref="N8:R29" xr:uid="{70E9FB66-A9A4-4F4A-8B4B-E3A301B9085C}"/>
  <tableColumns count="5">
    <tableColumn id="1" xr3:uid="{E37E7357-03F0-46CC-8020-0CDA28F3ADDE}" name="Lender Name" totalsRowLabel="Total" dataDxfId="75" totalsRowDxfId="74"/>
    <tableColumn id="2" xr3:uid="{F438A530-E841-4ECB-A7FA-968C770099AB}" name="Curr Bal" totalsRowFunction="sum" dataDxfId="73" totalsRowDxfId="72"/>
    <tableColumn id="3" xr3:uid="{7DD89EED-A000-485E-82DC-3DD91F422A4E}" name="Curr Pmt" totalsRowFunction="sum" dataDxfId="71" totalsRowDxfId="70"/>
    <tableColumn id="4" xr3:uid="{7BAEFACA-FC87-4470-87A3-66F0BF7AFA1F}" name="Orig Date" dataDxfId="69" totalsRowDxfId="68"/>
    <tableColumn id="5" xr3:uid="{E9340FF2-9727-446E-9D58-F362D3B3F6C6}" name="SBA Ln (Y/N)" dataDxfId="67" totalsRowDxfId="66"/>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tools.usps.com/zip-code-lookup.htm"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5.bin"/><Relationship Id="rId7"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drawing" Target="../drawings/drawing4.xml"/><Relationship Id="rId5" Type="http://schemas.openxmlformats.org/officeDocument/2006/relationships/printerSettings" Target="../printerSettings/printerSettings7.bin"/><Relationship Id="rId4" Type="http://schemas.openxmlformats.org/officeDocument/2006/relationships/printerSettings" Target="../printerSettings/printerSettings6.bin"/><Relationship Id="rId9"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10.bin"/><Relationship Id="rId7" Type="http://schemas.openxmlformats.org/officeDocument/2006/relationships/ctrlProp" Target="../ctrlProps/ctrlProp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20.bin"/><Relationship Id="rId7" Type="http://schemas.openxmlformats.org/officeDocument/2006/relationships/vmlDrawing" Target="../drawings/vmlDrawing6.v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drawing" Target="../drawings/drawing7.xml"/><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5.bin"/><Relationship Id="rId7" Type="http://schemas.openxmlformats.org/officeDocument/2006/relationships/comments" Target="../comments4.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vmlDrawing" Target="../drawings/vmlDrawing7.vml"/><Relationship Id="rId5" Type="http://schemas.openxmlformats.org/officeDocument/2006/relationships/drawing" Target="../drawings/drawing8.xml"/><Relationship Id="rId4" Type="http://schemas.openxmlformats.org/officeDocument/2006/relationships/printerSettings" Target="../printerSettings/printerSettings26.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drawing" Target="../drawings/drawing9.xml"/><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34.bin"/><Relationship Id="rId7" Type="http://schemas.openxmlformats.org/officeDocument/2006/relationships/vmlDrawing" Target="../drawings/vmlDrawing8.v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drawing" Target="../drawings/drawing10.xml"/><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printerSettings" Target="../printerSettings/printerSettings39.bin"/><Relationship Id="rId7" Type="http://schemas.openxmlformats.org/officeDocument/2006/relationships/vmlDrawing" Target="../drawings/vmlDrawing9.v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drawing" Target="../drawings/drawing11.xml"/><Relationship Id="rId5" Type="http://schemas.openxmlformats.org/officeDocument/2006/relationships/printerSettings" Target="../printerSettings/printerSettings41.bin"/><Relationship Id="rId4" Type="http://schemas.openxmlformats.org/officeDocument/2006/relationships/printerSettings" Target="../printerSettings/printerSettings40.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4.bin"/><Relationship Id="rId7" Type="http://schemas.openxmlformats.org/officeDocument/2006/relationships/vmlDrawing" Target="../drawings/vmlDrawing10.vml"/><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 Id="rId6" Type="http://schemas.openxmlformats.org/officeDocument/2006/relationships/drawing" Target="../drawings/drawing12.xml"/><Relationship Id="rId5" Type="http://schemas.openxmlformats.org/officeDocument/2006/relationships/printerSettings" Target="../printerSettings/printerSettings46.bin"/><Relationship Id="rId10" Type="http://schemas.openxmlformats.org/officeDocument/2006/relationships/comments" Target="../comments7.xml"/><Relationship Id="rId4" Type="http://schemas.openxmlformats.org/officeDocument/2006/relationships/printerSettings" Target="../printerSettings/printerSettings45.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47.bin"/><Relationship Id="rId6" Type="http://schemas.openxmlformats.org/officeDocument/2006/relationships/comments" Target="../comments8.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48.bin"/><Relationship Id="rId4" Type="http://schemas.openxmlformats.org/officeDocument/2006/relationships/comments" Target="../comments9.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printerSettings" Target="../printerSettings/printerSettings51.bin"/><Relationship Id="rId7" Type="http://schemas.openxmlformats.org/officeDocument/2006/relationships/vmlDrawing" Target="../drawings/vmlDrawing13.v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drawing" Target="../drawings/drawing15.xml"/><Relationship Id="rId5" Type="http://schemas.openxmlformats.org/officeDocument/2006/relationships/printerSettings" Target="../printerSettings/printerSettings53.bin"/><Relationship Id="rId4" Type="http://schemas.openxmlformats.org/officeDocument/2006/relationships/printerSettings" Target="../printerSettings/printerSettings52.bin"/></Relationships>
</file>

<file path=xl/worksheets/_rels/sheet20.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printerSettings" Target="../printerSettings/printerSettings56.bin"/><Relationship Id="rId7" Type="http://schemas.openxmlformats.org/officeDocument/2006/relationships/vmlDrawing" Target="../drawings/vmlDrawing14.vml"/><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6" Type="http://schemas.openxmlformats.org/officeDocument/2006/relationships/drawing" Target="../drawings/drawing16.xml"/><Relationship Id="rId5" Type="http://schemas.openxmlformats.org/officeDocument/2006/relationships/printerSettings" Target="../printerSettings/printerSettings58.bin"/><Relationship Id="rId4" Type="http://schemas.openxmlformats.org/officeDocument/2006/relationships/printerSettings" Target="../printerSettings/printerSettings5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printerSettings" Target="../printerSettings/printerSettings63.bin"/><Relationship Id="rId7" Type="http://schemas.openxmlformats.org/officeDocument/2006/relationships/vmlDrawing" Target="../drawings/vmlDrawing15.vml"/><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drawing" Target="../drawings/drawing17.xml"/><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2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printerSettings" Target="../printerSettings/printerSettings68.bin"/><Relationship Id="rId7" Type="http://schemas.openxmlformats.org/officeDocument/2006/relationships/vmlDrawing" Target="../drawings/vmlDrawing16.vml"/><Relationship Id="rId2" Type="http://schemas.openxmlformats.org/officeDocument/2006/relationships/printerSettings" Target="../printerSettings/printerSettings67.bin"/><Relationship Id="rId1" Type="http://schemas.openxmlformats.org/officeDocument/2006/relationships/printerSettings" Target="../printerSettings/printerSettings66.bin"/><Relationship Id="rId6" Type="http://schemas.openxmlformats.org/officeDocument/2006/relationships/drawing" Target="../drawings/drawing18.xml"/><Relationship Id="rId5" Type="http://schemas.openxmlformats.org/officeDocument/2006/relationships/printerSettings" Target="../printerSettings/printerSettings70.bin"/><Relationship Id="rId4" Type="http://schemas.openxmlformats.org/officeDocument/2006/relationships/printerSettings" Target="../printerSettings/printerSettings69.bin"/><Relationship Id="rId9" Type="http://schemas.openxmlformats.org/officeDocument/2006/relationships/comments" Target="../comments13.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3.bin"/><Relationship Id="rId7" Type="http://schemas.openxmlformats.org/officeDocument/2006/relationships/vmlDrawing" Target="../drawings/vmlDrawing17.vml"/><Relationship Id="rId12" Type="http://schemas.openxmlformats.org/officeDocument/2006/relationships/comments" Target="../comments14.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drawing" Target="../drawings/drawing19.xml"/><Relationship Id="rId11" Type="http://schemas.openxmlformats.org/officeDocument/2006/relationships/ctrlProp" Target="../ctrlProps/ctrlProp12.xml"/><Relationship Id="rId5" Type="http://schemas.openxmlformats.org/officeDocument/2006/relationships/printerSettings" Target="../printerSettings/printerSettings75.bin"/><Relationship Id="rId10" Type="http://schemas.openxmlformats.org/officeDocument/2006/relationships/ctrlProp" Target="../ctrlProps/ctrlProp11.xml"/><Relationship Id="rId4" Type="http://schemas.openxmlformats.org/officeDocument/2006/relationships/printerSettings" Target="../printerSettings/printerSettings74.bin"/><Relationship Id="rId9" Type="http://schemas.openxmlformats.org/officeDocument/2006/relationships/ctrlProp" Target="../ctrlProps/ctrlProp1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78.bin"/><Relationship Id="rId2" Type="http://schemas.openxmlformats.org/officeDocument/2006/relationships/printerSettings" Target="../printerSettings/printerSettings77.bin"/><Relationship Id="rId1" Type="http://schemas.openxmlformats.org/officeDocument/2006/relationships/printerSettings" Target="../printerSettings/printerSettings76.bin"/><Relationship Id="rId6" Type="http://schemas.openxmlformats.org/officeDocument/2006/relationships/drawing" Target="../drawings/drawing20.xml"/><Relationship Id="rId5" Type="http://schemas.openxmlformats.org/officeDocument/2006/relationships/printerSettings" Target="../printerSettings/printerSettings80.bin"/><Relationship Id="rId4" Type="http://schemas.openxmlformats.org/officeDocument/2006/relationships/printerSettings" Target="../printerSettings/printerSettings79.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83.bin"/><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 Id="rId5" Type="http://schemas.openxmlformats.org/officeDocument/2006/relationships/printerSettings" Target="../printerSettings/printerSettings85.bin"/><Relationship Id="rId4" Type="http://schemas.openxmlformats.org/officeDocument/2006/relationships/printerSettings" Target="../printerSettings/printerSettings84.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88.bin"/><Relationship Id="rId7" Type="http://schemas.openxmlformats.org/officeDocument/2006/relationships/comments" Target="../comments15.xml"/><Relationship Id="rId2" Type="http://schemas.openxmlformats.org/officeDocument/2006/relationships/printerSettings" Target="../printerSettings/printerSettings87.bin"/><Relationship Id="rId1" Type="http://schemas.openxmlformats.org/officeDocument/2006/relationships/printerSettings" Target="../printerSettings/printerSettings86.bin"/><Relationship Id="rId6" Type="http://schemas.openxmlformats.org/officeDocument/2006/relationships/vmlDrawing" Target="../drawings/vmlDrawing18.vml"/><Relationship Id="rId5" Type="http://schemas.openxmlformats.org/officeDocument/2006/relationships/printerSettings" Target="../printerSettings/printerSettings90.bin"/><Relationship Id="rId4" Type="http://schemas.openxmlformats.org/officeDocument/2006/relationships/printerSettings" Target="../printerSettings/printerSettings89.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93.bin"/><Relationship Id="rId2" Type="http://schemas.openxmlformats.org/officeDocument/2006/relationships/printerSettings" Target="../printerSettings/printerSettings92.bin"/><Relationship Id="rId1" Type="http://schemas.openxmlformats.org/officeDocument/2006/relationships/printerSettings" Target="../printerSettings/printerSettings91.bin"/><Relationship Id="rId6" Type="http://schemas.openxmlformats.org/officeDocument/2006/relationships/drawing" Target="../drawings/drawing21.xml"/><Relationship Id="rId5" Type="http://schemas.openxmlformats.org/officeDocument/2006/relationships/printerSettings" Target="../printerSettings/printerSettings95.bin"/><Relationship Id="rId4" Type="http://schemas.openxmlformats.org/officeDocument/2006/relationships/printerSettings" Target="../printerSettings/printerSettings94.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98.bin"/><Relationship Id="rId2" Type="http://schemas.openxmlformats.org/officeDocument/2006/relationships/printerSettings" Target="../printerSettings/printerSettings97.bin"/><Relationship Id="rId1" Type="http://schemas.openxmlformats.org/officeDocument/2006/relationships/printerSettings" Target="../printerSettings/printerSettings96.bin"/><Relationship Id="rId5" Type="http://schemas.openxmlformats.org/officeDocument/2006/relationships/printerSettings" Target="../printerSettings/printerSettings100.bin"/><Relationship Id="rId4" Type="http://schemas.openxmlformats.org/officeDocument/2006/relationships/printerSettings" Target="../printerSettings/printerSettings99.bin"/></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103.bin"/><Relationship Id="rId2" Type="http://schemas.openxmlformats.org/officeDocument/2006/relationships/printerSettings" Target="../printerSettings/printerSettings102.bin"/><Relationship Id="rId1" Type="http://schemas.openxmlformats.org/officeDocument/2006/relationships/printerSettings" Target="../printerSettings/printerSettings101.bin"/><Relationship Id="rId5" Type="http://schemas.openxmlformats.org/officeDocument/2006/relationships/printerSettings" Target="../printerSettings/printerSettings105.bin"/><Relationship Id="rId4" Type="http://schemas.openxmlformats.org/officeDocument/2006/relationships/printerSettings" Target="../printerSettings/printerSettings10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08.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6" Type="http://schemas.openxmlformats.org/officeDocument/2006/relationships/drawing" Target="../drawings/drawing22.xml"/><Relationship Id="rId5" Type="http://schemas.openxmlformats.org/officeDocument/2006/relationships/printerSettings" Target="../printerSettings/printerSettings110.bin"/><Relationship Id="rId4" Type="http://schemas.openxmlformats.org/officeDocument/2006/relationships/printerSettings" Target="../printerSettings/printerSettings109.bin"/></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13.bin"/><Relationship Id="rId2" Type="http://schemas.openxmlformats.org/officeDocument/2006/relationships/printerSettings" Target="../printerSettings/printerSettings112.bin"/><Relationship Id="rId1" Type="http://schemas.openxmlformats.org/officeDocument/2006/relationships/printerSettings" Target="../printerSettings/printerSettings111.bin"/><Relationship Id="rId5" Type="http://schemas.openxmlformats.org/officeDocument/2006/relationships/printerSettings" Target="../printerSettings/printerSettings115.bin"/><Relationship Id="rId4" Type="http://schemas.openxmlformats.org/officeDocument/2006/relationships/printerSettings" Target="../printerSettings/printerSettings114.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118.bin"/><Relationship Id="rId2" Type="http://schemas.openxmlformats.org/officeDocument/2006/relationships/printerSettings" Target="../printerSettings/printerSettings117.bin"/><Relationship Id="rId1" Type="http://schemas.openxmlformats.org/officeDocument/2006/relationships/printerSettings" Target="../printerSettings/printerSettings116.bin"/><Relationship Id="rId5" Type="http://schemas.openxmlformats.org/officeDocument/2006/relationships/printerSettings" Target="../printerSettings/printerSettings120.bin"/><Relationship Id="rId4" Type="http://schemas.openxmlformats.org/officeDocument/2006/relationships/printerSettings" Target="../printerSettings/printerSettings119.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23.bin"/><Relationship Id="rId2" Type="http://schemas.openxmlformats.org/officeDocument/2006/relationships/printerSettings" Target="../printerSettings/printerSettings122.bin"/><Relationship Id="rId1" Type="http://schemas.openxmlformats.org/officeDocument/2006/relationships/printerSettings" Target="../printerSettings/printerSettings121.bin"/><Relationship Id="rId6" Type="http://schemas.openxmlformats.org/officeDocument/2006/relationships/drawing" Target="../drawings/drawing23.xml"/><Relationship Id="rId5" Type="http://schemas.openxmlformats.org/officeDocument/2006/relationships/printerSettings" Target="../printerSettings/printerSettings125.bin"/><Relationship Id="rId4" Type="http://schemas.openxmlformats.org/officeDocument/2006/relationships/printerSettings" Target="../printerSettings/printerSettings124.bin"/></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128.bin"/><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5" Type="http://schemas.openxmlformats.org/officeDocument/2006/relationships/printerSettings" Target="../printerSettings/printerSettings130.bin"/><Relationship Id="rId4" Type="http://schemas.openxmlformats.org/officeDocument/2006/relationships/printerSettings" Target="../printerSettings/printerSettings129.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133.bin"/><Relationship Id="rId2" Type="http://schemas.openxmlformats.org/officeDocument/2006/relationships/printerSettings" Target="../printerSettings/printerSettings132.bin"/><Relationship Id="rId1" Type="http://schemas.openxmlformats.org/officeDocument/2006/relationships/printerSettings" Target="../printerSettings/printerSettings131.bin"/><Relationship Id="rId5" Type="http://schemas.openxmlformats.org/officeDocument/2006/relationships/printerSettings" Target="../printerSettings/printerSettings135.bin"/><Relationship Id="rId4" Type="http://schemas.openxmlformats.org/officeDocument/2006/relationships/printerSettings" Target="../printerSettings/printerSettings13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9.vml"/><Relationship Id="rId1" Type="http://schemas.openxmlformats.org/officeDocument/2006/relationships/printerSettings" Target="../printerSettings/printerSettings137.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0.vml"/><Relationship Id="rId1" Type="http://schemas.openxmlformats.org/officeDocument/2006/relationships/printerSettings" Target="../printerSettings/printerSettings13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1.vml"/><Relationship Id="rId1" Type="http://schemas.openxmlformats.org/officeDocument/2006/relationships/printerSettings" Target="../printerSettings/printerSettings139.bin"/></Relationships>
</file>

<file path=xl/worksheets/_rels/sheet42.xml.rels><?xml version="1.0" encoding="UTF-8" standalone="yes"?>
<Relationships xmlns="http://schemas.openxmlformats.org/package/2006/relationships"><Relationship Id="rId8" Type="http://schemas.openxmlformats.org/officeDocument/2006/relationships/comments" Target="../comments19.xml"/><Relationship Id="rId3" Type="http://schemas.openxmlformats.org/officeDocument/2006/relationships/printerSettings" Target="../printerSettings/printerSettings142.bin"/><Relationship Id="rId7" Type="http://schemas.openxmlformats.org/officeDocument/2006/relationships/vmlDrawing" Target="../drawings/vmlDrawing22.vml"/><Relationship Id="rId2" Type="http://schemas.openxmlformats.org/officeDocument/2006/relationships/printerSettings" Target="../printerSettings/printerSettings141.bin"/><Relationship Id="rId1" Type="http://schemas.openxmlformats.org/officeDocument/2006/relationships/printerSettings" Target="../printerSettings/printerSettings140.bin"/><Relationship Id="rId6" Type="http://schemas.openxmlformats.org/officeDocument/2006/relationships/drawing" Target="../drawings/drawing24.xml"/><Relationship Id="rId5" Type="http://schemas.openxmlformats.org/officeDocument/2006/relationships/printerSettings" Target="../printerSettings/printerSettings144.bin"/><Relationship Id="rId4" Type="http://schemas.openxmlformats.org/officeDocument/2006/relationships/printerSettings" Target="../printerSettings/printerSettings143.bin"/></Relationships>
</file>

<file path=xl/worksheets/_rels/sheet4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printerSettings" Target="../printerSettings/printerSettings147.bin"/><Relationship Id="rId7" Type="http://schemas.openxmlformats.org/officeDocument/2006/relationships/vmlDrawing" Target="../drawings/vmlDrawing23.vml"/><Relationship Id="rId2" Type="http://schemas.openxmlformats.org/officeDocument/2006/relationships/printerSettings" Target="../printerSettings/printerSettings146.bin"/><Relationship Id="rId1" Type="http://schemas.openxmlformats.org/officeDocument/2006/relationships/printerSettings" Target="../printerSettings/printerSettings145.bin"/><Relationship Id="rId6" Type="http://schemas.openxmlformats.org/officeDocument/2006/relationships/drawing" Target="../drawings/drawing25.xml"/><Relationship Id="rId5" Type="http://schemas.openxmlformats.org/officeDocument/2006/relationships/printerSettings" Target="../printerSettings/printerSettings149.bin"/><Relationship Id="rId4" Type="http://schemas.openxmlformats.org/officeDocument/2006/relationships/printerSettings" Target="../printerSettings/printerSettings148.bin"/><Relationship Id="rId9" Type="http://schemas.openxmlformats.org/officeDocument/2006/relationships/comments" Target="../comments2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printerSettings" Target="../printerSettings/printerSettings152.bin"/><Relationship Id="rId7" Type="http://schemas.openxmlformats.org/officeDocument/2006/relationships/ctrlProp" Target="../ctrlProps/ctrlProp13.xml"/><Relationship Id="rId2" Type="http://schemas.openxmlformats.org/officeDocument/2006/relationships/printerSettings" Target="../printerSettings/printerSettings151.bin"/><Relationship Id="rId1" Type="http://schemas.openxmlformats.org/officeDocument/2006/relationships/printerSettings" Target="../printerSettings/printerSettings150.bin"/><Relationship Id="rId6" Type="http://schemas.openxmlformats.org/officeDocument/2006/relationships/vmlDrawing" Target="../drawings/vmlDrawing24.vml"/><Relationship Id="rId11" Type="http://schemas.openxmlformats.org/officeDocument/2006/relationships/comments" Target="../comments21.xml"/><Relationship Id="rId5" Type="http://schemas.openxmlformats.org/officeDocument/2006/relationships/drawing" Target="../drawings/drawing26.xml"/><Relationship Id="rId10" Type="http://schemas.openxmlformats.org/officeDocument/2006/relationships/ctrlProp" Target="../ctrlProps/ctrlProp16.xml"/><Relationship Id="rId4" Type="http://schemas.openxmlformats.org/officeDocument/2006/relationships/printerSettings" Target="../printerSettings/printerSettings153.bin"/><Relationship Id="rId9" Type="http://schemas.openxmlformats.org/officeDocument/2006/relationships/ctrlProp" Target="../ctrlProps/ctrlProp15.xml"/></Relationships>
</file>

<file path=xl/worksheets/_rels/sheet45.xml.rels><?xml version="1.0" encoding="UTF-8" standalone="yes"?>
<Relationships xmlns="http://schemas.openxmlformats.org/package/2006/relationships"><Relationship Id="rId8" Type="http://schemas.openxmlformats.org/officeDocument/2006/relationships/comments" Target="../comments22.xml"/><Relationship Id="rId3" Type="http://schemas.openxmlformats.org/officeDocument/2006/relationships/printerSettings" Target="../printerSettings/printerSettings156.bin"/><Relationship Id="rId7" Type="http://schemas.openxmlformats.org/officeDocument/2006/relationships/vmlDrawing" Target="../drawings/vmlDrawing25.vml"/><Relationship Id="rId2" Type="http://schemas.openxmlformats.org/officeDocument/2006/relationships/printerSettings" Target="../printerSettings/printerSettings155.bin"/><Relationship Id="rId1" Type="http://schemas.openxmlformats.org/officeDocument/2006/relationships/printerSettings" Target="../printerSettings/printerSettings154.bin"/><Relationship Id="rId6" Type="http://schemas.openxmlformats.org/officeDocument/2006/relationships/drawing" Target="../drawings/drawing27.xml"/><Relationship Id="rId5" Type="http://schemas.openxmlformats.org/officeDocument/2006/relationships/printerSettings" Target="../printerSettings/printerSettings158.bin"/><Relationship Id="rId4" Type="http://schemas.openxmlformats.org/officeDocument/2006/relationships/printerSettings" Target="../printerSettings/printerSettings157.bin"/></Relationships>
</file>

<file path=xl/worksheets/_rels/sheet4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printerSettings" Target="../printerSettings/printerSettings161.bin"/><Relationship Id="rId7" Type="http://schemas.openxmlformats.org/officeDocument/2006/relationships/vmlDrawing" Target="../drawings/vmlDrawing26.vml"/><Relationship Id="rId2" Type="http://schemas.openxmlformats.org/officeDocument/2006/relationships/printerSettings" Target="../printerSettings/printerSettings160.bin"/><Relationship Id="rId1" Type="http://schemas.openxmlformats.org/officeDocument/2006/relationships/printerSettings" Target="../printerSettings/printerSettings159.bin"/><Relationship Id="rId6" Type="http://schemas.openxmlformats.org/officeDocument/2006/relationships/drawing" Target="../drawings/drawing28.xml"/><Relationship Id="rId5" Type="http://schemas.openxmlformats.org/officeDocument/2006/relationships/printerSettings" Target="../printerSettings/printerSettings163.bin"/><Relationship Id="rId4" Type="http://schemas.openxmlformats.org/officeDocument/2006/relationships/printerSettings" Target="../printerSettings/printerSettings162.bin"/><Relationship Id="rId9" Type="http://schemas.openxmlformats.org/officeDocument/2006/relationships/comments" Target="../comments23.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printerSettings" Target="../printerSettings/printerSettings166.bin"/><Relationship Id="rId7" Type="http://schemas.openxmlformats.org/officeDocument/2006/relationships/ctrlProp" Target="../ctrlProps/ctrlProp17.xml"/><Relationship Id="rId2" Type="http://schemas.openxmlformats.org/officeDocument/2006/relationships/printerSettings" Target="../printerSettings/printerSettings165.bin"/><Relationship Id="rId1" Type="http://schemas.openxmlformats.org/officeDocument/2006/relationships/printerSettings" Target="../printerSettings/printerSettings164.bin"/><Relationship Id="rId6" Type="http://schemas.openxmlformats.org/officeDocument/2006/relationships/vmlDrawing" Target="../drawings/vmlDrawing27.vml"/><Relationship Id="rId11" Type="http://schemas.openxmlformats.org/officeDocument/2006/relationships/comments" Target="../comments24.xml"/><Relationship Id="rId5" Type="http://schemas.openxmlformats.org/officeDocument/2006/relationships/drawing" Target="../drawings/drawing29.xml"/><Relationship Id="rId10" Type="http://schemas.openxmlformats.org/officeDocument/2006/relationships/ctrlProp" Target="../ctrlProps/ctrlProp20.xml"/><Relationship Id="rId4" Type="http://schemas.openxmlformats.org/officeDocument/2006/relationships/printerSettings" Target="../printerSettings/printerSettings167.bin"/><Relationship Id="rId9"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printerSettings" Target="../printerSettings/printerSettings170.bin"/><Relationship Id="rId7" Type="http://schemas.openxmlformats.org/officeDocument/2006/relationships/vmlDrawing" Target="../drawings/vmlDrawing28.vml"/><Relationship Id="rId2" Type="http://schemas.openxmlformats.org/officeDocument/2006/relationships/printerSettings" Target="../printerSettings/printerSettings169.bin"/><Relationship Id="rId1" Type="http://schemas.openxmlformats.org/officeDocument/2006/relationships/printerSettings" Target="../printerSettings/printerSettings168.bin"/><Relationship Id="rId6" Type="http://schemas.openxmlformats.org/officeDocument/2006/relationships/drawing" Target="../drawings/drawing30.xml"/><Relationship Id="rId5" Type="http://schemas.openxmlformats.org/officeDocument/2006/relationships/printerSettings" Target="../printerSettings/printerSettings172.bin"/><Relationship Id="rId4" Type="http://schemas.openxmlformats.org/officeDocument/2006/relationships/printerSettings" Target="../printerSettings/printerSettings171.bin"/></Relationships>
</file>

<file path=xl/worksheets/_rels/sheet49.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175.bin"/><Relationship Id="rId7" Type="http://schemas.openxmlformats.org/officeDocument/2006/relationships/vmlDrawing" Target="../drawings/vmlDrawing29.vml"/><Relationship Id="rId2" Type="http://schemas.openxmlformats.org/officeDocument/2006/relationships/printerSettings" Target="../printerSettings/printerSettings174.bin"/><Relationship Id="rId1" Type="http://schemas.openxmlformats.org/officeDocument/2006/relationships/printerSettings" Target="../printerSettings/printerSettings173.bin"/><Relationship Id="rId6" Type="http://schemas.openxmlformats.org/officeDocument/2006/relationships/drawing" Target="../drawings/drawing31.xml"/><Relationship Id="rId5" Type="http://schemas.openxmlformats.org/officeDocument/2006/relationships/printerSettings" Target="../printerSettings/printerSettings177.bin"/><Relationship Id="rId4" Type="http://schemas.openxmlformats.org/officeDocument/2006/relationships/printerSettings" Target="../printerSettings/printerSettings176.bin"/><Relationship Id="rId9" Type="http://schemas.openxmlformats.org/officeDocument/2006/relationships/comments" Target="../comments26.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printerSettings" Target="../printerSettings/printerSettings180.bin"/><Relationship Id="rId7" Type="http://schemas.openxmlformats.org/officeDocument/2006/relationships/ctrlProp" Target="../ctrlProps/ctrlProp21.xml"/><Relationship Id="rId2" Type="http://schemas.openxmlformats.org/officeDocument/2006/relationships/printerSettings" Target="../printerSettings/printerSettings179.bin"/><Relationship Id="rId1" Type="http://schemas.openxmlformats.org/officeDocument/2006/relationships/printerSettings" Target="../printerSettings/printerSettings178.bin"/><Relationship Id="rId6" Type="http://schemas.openxmlformats.org/officeDocument/2006/relationships/vmlDrawing" Target="../drawings/vmlDrawing30.vml"/><Relationship Id="rId11" Type="http://schemas.openxmlformats.org/officeDocument/2006/relationships/comments" Target="../comments27.xml"/><Relationship Id="rId5" Type="http://schemas.openxmlformats.org/officeDocument/2006/relationships/drawing" Target="../drawings/drawing32.xml"/><Relationship Id="rId10" Type="http://schemas.openxmlformats.org/officeDocument/2006/relationships/ctrlProp" Target="../ctrlProps/ctrlProp24.xml"/><Relationship Id="rId4" Type="http://schemas.openxmlformats.org/officeDocument/2006/relationships/printerSettings" Target="../printerSettings/printerSettings181.bin"/><Relationship Id="rId9" Type="http://schemas.openxmlformats.org/officeDocument/2006/relationships/ctrlProp" Target="../ctrlProps/ctrlProp23.xml"/></Relationships>
</file>

<file path=xl/worksheets/_rels/sheet51.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184.bin"/><Relationship Id="rId7" Type="http://schemas.openxmlformats.org/officeDocument/2006/relationships/vmlDrawing" Target="../drawings/vmlDrawing31.vml"/><Relationship Id="rId2" Type="http://schemas.openxmlformats.org/officeDocument/2006/relationships/printerSettings" Target="../printerSettings/printerSettings183.bin"/><Relationship Id="rId1" Type="http://schemas.openxmlformats.org/officeDocument/2006/relationships/printerSettings" Target="../printerSettings/printerSettings182.bin"/><Relationship Id="rId6" Type="http://schemas.openxmlformats.org/officeDocument/2006/relationships/drawing" Target="../drawings/drawing33.xml"/><Relationship Id="rId5" Type="http://schemas.openxmlformats.org/officeDocument/2006/relationships/printerSettings" Target="../printerSettings/printerSettings186.bin"/><Relationship Id="rId4" Type="http://schemas.openxmlformats.org/officeDocument/2006/relationships/printerSettings" Target="../printerSettings/printerSettings185.bin"/></Relationships>
</file>

<file path=xl/worksheets/_rels/sheet5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printerSettings" Target="../printerSettings/printerSettings189.bin"/><Relationship Id="rId7" Type="http://schemas.openxmlformats.org/officeDocument/2006/relationships/vmlDrawing" Target="../drawings/vmlDrawing32.vml"/><Relationship Id="rId2" Type="http://schemas.openxmlformats.org/officeDocument/2006/relationships/printerSettings" Target="../printerSettings/printerSettings188.bin"/><Relationship Id="rId1" Type="http://schemas.openxmlformats.org/officeDocument/2006/relationships/printerSettings" Target="../printerSettings/printerSettings187.bin"/><Relationship Id="rId6" Type="http://schemas.openxmlformats.org/officeDocument/2006/relationships/drawing" Target="../drawings/drawing34.xml"/><Relationship Id="rId5" Type="http://schemas.openxmlformats.org/officeDocument/2006/relationships/printerSettings" Target="../printerSettings/printerSettings191.bin"/><Relationship Id="rId4" Type="http://schemas.openxmlformats.org/officeDocument/2006/relationships/printerSettings" Target="../printerSettings/printerSettings190.bin"/><Relationship Id="rId9" Type="http://schemas.openxmlformats.org/officeDocument/2006/relationships/comments" Target="../comments29.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printerSettings" Target="../printerSettings/printerSettings194.bin"/><Relationship Id="rId7" Type="http://schemas.openxmlformats.org/officeDocument/2006/relationships/ctrlProp" Target="../ctrlProps/ctrlProp25.xml"/><Relationship Id="rId2" Type="http://schemas.openxmlformats.org/officeDocument/2006/relationships/printerSettings" Target="../printerSettings/printerSettings193.bin"/><Relationship Id="rId1" Type="http://schemas.openxmlformats.org/officeDocument/2006/relationships/printerSettings" Target="../printerSettings/printerSettings192.bin"/><Relationship Id="rId6" Type="http://schemas.openxmlformats.org/officeDocument/2006/relationships/vmlDrawing" Target="../drawings/vmlDrawing33.vml"/><Relationship Id="rId11" Type="http://schemas.openxmlformats.org/officeDocument/2006/relationships/comments" Target="../comments30.xml"/><Relationship Id="rId5" Type="http://schemas.openxmlformats.org/officeDocument/2006/relationships/drawing" Target="../drawings/drawing35.xml"/><Relationship Id="rId10" Type="http://schemas.openxmlformats.org/officeDocument/2006/relationships/ctrlProp" Target="../ctrlProps/ctrlProp28.xml"/><Relationship Id="rId4" Type="http://schemas.openxmlformats.org/officeDocument/2006/relationships/printerSettings" Target="../printerSettings/printerSettings195.bin"/><Relationship Id="rId9" Type="http://schemas.openxmlformats.org/officeDocument/2006/relationships/ctrlProp" Target="../ctrlProps/ctrlProp27.xml"/></Relationships>
</file>

<file path=xl/worksheets/_rels/sheet54.xml.rels><?xml version="1.0" encoding="UTF-8" standalone="yes"?>
<Relationships xmlns="http://schemas.openxmlformats.org/package/2006/relationships"><Relationship Id="rId8" Type="http://schemas.openxmlformats.org/officeDocument/2006/relationships/comments" Target="../comments31.xml"/><Relationship Id="rId3" Type="http://schemas.openxmlformats.org/officeDocument/2006/relationships/printerSettings" Target="../printerSettings/printerSettings198.bin"/><Relationship Id="rId7" Type="http://schemas.openxmlformats.org/officeDocument/2006/relationships/vmlDrawing" Target="../drawings/vmlDrawing34.v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drawing" Target="../drawings/drawing36.xml"/><Relationship Id="rId5" Type="http://schemas.openxmlformats.org/officeDocument/2006/relationships/printerSettings" Target="../printerSettings/printerSettings200.bin"/><Relationship Id="rId4" Type="http://schemas.openxmlformats.org/officeDocument/2006/relationships/printerSettings" Target="../printerSettings/printerSettings199.bin"/></Relationships>
</file>

<file path=xl/worksheets/_rels/sheet55.xml.rels><?xml version="1.0" encoding="UTF-8" standalone="yes"?>
<Relationships xmlns="http://schemas.openxmlformats.org/package/2006/relationships"><Relationship Id="rId8" Type="http://schemas.openxmlformats.org/officeDocument/2006/relationships/comments" Target="../comments32.xml"/><Relationship Id="rId3" Type="http://schemas.openxmlformats.org/officeDocument/2006/relationships/printerSettings" Target="../printerSettings/printerSettings203.bin"/><Relationship Id="rId7" Type="http://schemas.openxmlformats.org/officeDocument/2006/relationships/table" Target="../tables/table9.xml"/><Relationship Id="rId2" Type="http://schemas.openxmlformats.org/officeDocument/2006/relationships/printerSettings" Target="../printerSettings/printerSettings202.bin"/><Relationship Id="rId1" Type="http://schemas.openxmlformats.org/officeDocument/2006/relationships/printerSettings" Target="../printerSettings/printerSettings201.bin"/><Relationship Id="rId6" Type="http://schemas.openxmlformats.org/officeDocument/2006/relationships/vmlDrawing" Target="../drawings/vmlDrawing35.vml"/><Relationship Id="rId5" Type="http://schemas.openxmlformats.org/officeDocument/2006/relationships/printerSettings" Target="../printerSettings/printerSettings205.bin"/><Relationship Id="rId4" Type="http://schemas.openxmlformats.org/officeDocument/2006/relationships/printerSettings" Target="../printerSettings/printerSettings204.bin"/></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printerSettings" Target="../printerSettings/printerSettings208.bin"/><Relationship Id="rId7" Type="http://schemas.openxmlformats.org/officeDocument/2006/relationships/ctrlProp" Target="../ctrlProps/ctrlProp29.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vmlDrawing" Target="../drawings/vmlDrawing36.vml"/><Relationship Id="rId11" Type="http://schemas.openxmlformats.org/officeDocument/2006/relationships/comments" Target="../comments33.xml"/><Relationship Id="rId5" Type="http://schemas.openxmlformats.org/officeDocument/2006/relationships/drawing" Target="../drawings/drawing37.xml"/><Relationship Id="rId10" Type="http://schemas.openxmlformats.org/officeDocument/2006/relationships/ctrlProp" Target="../ctrlProps/ctrlProp32.xml"/><Relationship Id="rId4" Type="http://schemas.openxmlformats.org/officeDocument/2006/relationships/printerSettings" Target="../printerSettings/printerSettings209.bin"/><Relationship Id="rId9" Type="http://schemas.openxmlformats.org/officeDocument/2006/relationships/ctrlProp" Target="../ctrlProps/ctrlProp31.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210.bin"/><Relationship Id="rId4" Type="http://schemas.openxmlformats.org/officeDocument/2006/relationships/comments" Target="../comments34.xml"/></Relationships>
</file>

<file path=xl/worksheets/_rels/sheet5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38.vml"/><Relationship Id="rId1" Type="http://schemas.openxmlformats.org/officeDocument/2006/relationships/printerSettings" Target="../printerSettings/printerSettings211.bin"/><Relationship Id="rId4" Type="http://schemas.openxmlformats.org/officeDocument/2006/relationships/comments" Target="../comments35.xml"/></Relationships>
</file>

<file path=xl/worksheets/_rels/sheet59.xml.rels><?xml version="1.0" encoding="UTF-8" standalone="yes"?>
<Relationships xmlns="http://schemas.openxmlformats.org/package/2006/relationships"><Relationship Id="rId8" Type="http://schemas.openxmlformats.org/officeDocument/2006/relationships/comments" Target="../comments36.xml"/><Relationship Id="rId3" Type="http://schemas.openxmlformats.org/officeDocument/2006/relationships/vmlDrawing" Target="../drawings/vmlDrawing39.vml"/><Relationship Id="rId7" Type="http://schemas.openxmlformats.org/officeDocument/2006/relationships/ctrlProp" Target="../ctrlProps/ctrlProp36.xml"/><Relationship Id="rId2" Type="http://schemas.openxmlformats.org/officeDocument/2006/relationships/drawing" Target="../drawings/drawing39.xml"/><Relationship Id="rId1" Type="http://schemas.openxmlformats.org/officeDocument/2006/relationships/printerSettings" Target="../printerSettings/printerSettings212.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213.bin"/><Relationship Id="rId4" Type="http://schemas.openxmlformats.org/officeDocument/2006/relationships/comments" Target="../comments37.xml"/></Relationships>
</file>

<file path=xl/worksheets/_rels/sheet6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1.vml"/><Relationship Id="rId1" Type="http://schemas.openxmlformats.org/officeDocument/2006/relationships/printerSettings" Target="../printerSettings/printerSettings214.bin"/><Relationship Id="rId4" Type="http://schemas.openxmlformats.org/officeDocument/2006/relationships/comments" Target="../comments38.xml"/></Relationships>
</file>

<file path=xl/worksheets/_rels/sheet62.xml.rels><?xml version="1.0" encoding="UTF-8" standalone="yes"?>
<Relationships xmlns="http://schemas.openxmlformats.org/package/2006/relationships"><Relationship Id="rId8" Type="http://schemas.openxmlformats.org/officeDocument/2006/relationships/comments" Target="../comments39.xml"/><Relationship Id="rId3" Type="http://schemas.openxmlformats.org/officeDocument/2006/relationships/vmlDrawing" Target="../drawings/vmlDrawing42.vml"/><Relationship Id="rId7" Type="http://schemas.openxmlformats.org/officeDocument/2006/relationships/ctrlProp" Target="../ctrlProps/ctrlProp40.xml"/><Relationship Id="rId2" Type="http://schemas.openxmlformats.org/officeDocument/2006/relationships/drawing" Target="../drawings/drawing41.xml"/><Relationship Id="rId1" Type="http://schemas.openxmlformats.org/officeDocument/2006/relationships/printerSettings" Target="../printerSettings/printerSettings215.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216.bin"/><Relationship Id="rId4" Type="http://schemas.openxmlformats.org/officeDocument/2006/relationships/comments" Target="../comments40.xml"/></Relationships>
</file>

<file path=xl/worksheets/_rels/sheet64.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44.vml"/><Relationship Id="rId1" Type="http://schemas.openxmlformats.org/officeDocument/2006/relationships/printerSettings" Target="../printerSettings/printerSettings217.bin"/><Relationship Id="rId4" Type="http://schemas.openxmlformats.org/officeDocument/2006/relationships/comments" Target="../comments41.xml"/></Relationships>
</file>

<file path=xl/worksheets/_rels/sheet65.xml.rels><?xml version="1.0" encoding="UTF-8" standalone="yes"?>
<Relationships xmlns="http://schemas.openxmlformats.org/package/2006/relationships"><Relationship Id="rId8" Type="http://schemas.openxmlformats.org/officeDocument/2006/relationships/comments" Target="../comments42.xml"/><Relationship Id="rId3" Type="http://schemas.openxmlformats.org/officeDocument/2006/relationships/vmlDrawing" Target="../drawings/vmlDrawing45.vml"/><Relationship Id="rId7" Type="http://schemas.openxmlformats.org/officeDocument/2006/relationships/ctrlProp" Target="../ctrlProps/ctrlProp44.xml"/><Relationship Id="rId2" Type="http://schemas.openxmlformats.org/officeDocument/2006/relationships/drawing" Target="../drawings/drawing43.xml"/><Relationship Id="rId1" Type="http://schemas.openxmlformats.org/officeDocument/2006/relationships/printerSettings" Target="../printerSettings/printerSettings218.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4.xml"/><Relationship Id="rId1" Type="http://schemas.openxmlformats.org/officeDocument/2006/relationships/printerSettings" Target="../printerSettings/printerSettings219.bin"/><Relationship Id="rId4" Type="http://schemas.openxmlformats.org/officeDocument/2006/relationships/comments" Target="../comments43.xml"/></Relationships>
</file>

<file path=xl/worksheets/_rels/sheet6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7.vml"/><Relationship Id="rId1" Type="http://schemas.openxmlformats.org/officeDocument/2006/relationships/printerSettings" Target="../printerSettings/printerSettings220.bin"/><Relationship Id="rId4" Type="http://schemas.openxmlformats.org/officeDocument/2006/relationships/comments" Target="../comments44.xml"/></Relationships>
</file>

<file path=xl/worksheets/_rels/sheet68.xml.rels><?xml version="1.0" encoding="UTF-8" standalone="yes"?>
<Relationships xmlns="http://schemas.openxmlformats.org/package/2006/relationships"><Relationship Id="rId8" Type="http://schemas.openxmlformats.org/officeDocument/2006/relationships/comments" Target="../comments45.xml"/><Relationship Id="rId3" Type="http://schemas.openxmlformats.org/officeDocument/2006/relationships/vmlDrawing" Target="../drawings/vmlDrawing48.vml"/><Relationship Id="rId7" Type="http://schemas.openxmlformats.org/officeDocument/2006/relationships/ctrlProp" Target="../ctrlProps/ctrlProp48.xml"/><Relationship Id="rId2" Type="http://schemas.openxmlformats.org/officeDocument/2006/relationships/drawing" Target="../drawings/drawing45.xml"/><Relationship Id="rId1" Type="http://schemas.openxmlformats.org/officeDocument/2006/relationships/printerSettings" Target="../printerSettings/printerSettings22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6.xml"/><Relationship Id="rId1" Type="http://schemas.openxmlformats.org/officeDocument/2006/relationships/printerSettings" Target="../printerSettings/printerSettings222.bin"/><Relationship Id="rId4" Type="http://schemas.openxmlformats.org/officeDocument/2006/relationships/comments" Target="../comments46.xml"/></Relationships>
</file>

<file path=xl/worksheets/_rels/sheet7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50.vml"/><Relationship Id="rId1" Type="http://schemas.openxmlformats.org/officeDocument/2006/relationships/printerSettings" Target="../printerSettings/printerSettings223.bin"/><Relationship Id="rId4" Type="http://schemas.openxmlformats.org/officeDocument/2006/relationships/comments" Target="../comments47.xml"/></Relationships>
</file>

<file path=xl/worksheets/_rels/sheet71.xml.rels><?xml version="1.0" encoding="UTF-8" standalone="yes"?>
<Relationships xmlns="http://schemas.openxmlformats.org/package/2006/relationships"><Relationship Id="rId8" Type="http://schemas.openxmlformats.org/officeDocument/2006/relationships/comments" Target="../comments48.xml"/><Relationship Id="rId3" Type="http://schemas.openxmlformats.org/officeDocument/2006/relationships/vmlDrawing" Target="../drawings/vmlDrawing51.vml"/><Relationship Id="rId7" Type="http://schemas.openxmlformats.org/officeDocument/2006/relationships/ctrlProp" Target="../ctrlProps/ctrlProp52.xml"/><Relationship Id="rId2" Type="http://schemas.openxmlformats.org/officeDocument/2006/relationships/drawing" Target="../drawings/drawing47.xml"/><Relationship Id="rId1" Type="http://schemas.openxmlformats.org/officeDocument/2006/relationships/printerSettings" Target="../printerSettings/printerSettings224.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48.xml"/><Relationship Id="rId1" Type="http://schemas.openxmlformats.org/officeDocument/2006/relationships/printerSettings" Target="../printerSettings/printerSettings225.bin"/><Relationship Id="rId4" Type="http://schemas.openxmlformats.org/officeDocument/2006/relationships/comments" Target="../comments49.xml"/></Relationships>
</file>

<file path=xl/worksheets/_rels/sheet7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53.vml"/><Relationship Id="rId1" Type="http://schemas.openxmlformats.org/officeDocument/2006/relationships/printerSettings" Target="../printerSettings/printerSettings226.bin"/><Relationship Id="rId4" Type="http://schemas.openxmlformats.org/officeDocument/2006/relationships/comments" Target="../comments50.xml"/></Relationships>
</file>

<file path=xl/worksheets/_rels/sheet74.xml.rels><?xml version="1.0" encoding="UTF-8" standalone="yes"?>
<Relationships xmlns="http://schemas.openxmlformats.org/package/2006/relationships"><Relationship Id="rId8" Type="http://schemas.openxmlformats.org/officeDocument/2006/relationships/comments" Target="../comments51.xml"/><Relationship Id="rId3" Type="http://schemas.openxmlformats.org/officeDocument/2006/relationships/vmlDrawing" Target="../drawings/vmlDrawing54.vml"/><Relationship Id="rId7" Type="http://schemas.openxmlformats.org/officeDocument/2006/relationships/ctrlProp" Target="../ctrlProps/ctrlProp56.xml"/><Relationship Id="rId2" Type="http://schemas.openxmlformats.org/officeDocument/2006/relationships/drawing" Target="../drawings/drawing49.xml"/><Relationship Id="rId1" Type="http://schemas.openxmlformats.org/officeDocument/2006/relationships/printerSettings" Target="../printerSettings/printerSettings227.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0.xml"/><Relationship Id="rId1" Type="http://schemas.openxmlformats.org/officeDocument/2006/relationships/printerSettings" Target="../printerSettings/printerSettings228.bin"/><Relationship Id="rId4" Type="http://schemas.openxmlformats.org/officeDocument/2006/relationships/comments" Target="../comments52.xml"/></Relationships>
</file>

<file path=xl/worksheets/_rels/sheet76.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vmlDrawing" Target="../drawings/vmlDrawing56.vml"/><Relationship Id="rId1" Type="http://schemas.openxmlformats.org/officeDocument/2006/relationships/printerSettings" Target="../printerSettings/printerSettings229.bin"/><Relationship Id="rId4" Type="http://schemas.openxmlformats.org/officeDocument/2006/relationships/comments" Target="../comments53.xml"/></Relationships>
</file>

<file path=xl/worksheets/_rels/sheet77.xml.rels><?xml version="1.0" encoding="UTF-8" standalone="yes"?>
<Relationships xmlns="http://schemas.openxmlformats.org/package/2006/relationships"><Relationship Id="rId8" Type="http://schemas.openxmlformats.org/officeDocument/2006/relationships/comments" Target="../comments54.xml"/><Relationship Id="rId3" Type="http://schemas.openxmlformats.org/officeDocument/2006/relationships/vmlDrawing" Target="../drawings/vmlDrawing57.vml"/><Relationship Id="rId7" Type="http://schemas.openxmlformats.org/officeDocument/2006/relationships/ctrlProp" Target="../ctrlProps/ctrlProp60.xml"/><Relationship Id="rId2" Type="http://schemas.openxmlformats.org/officeDocument/2006/relationships/drawing" Target="../drawings/drawing51.xml"/><Relationship Id="rId1" Type="http://schemas.openxmlformats.org/officeDocument/2006/relationships/printerSettings" Target="../printerSettings/printerSettings230.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2.xml"/><Relationship Id="rId1" Type="http://schemas.openxmlformats.org/officeDocument/2006/relationships/printerSettings" Target="../printerSettings/printerSettings231.bin"/><Relationship Id="rId4" Type="http://schemas.openxmlformats.org/officeDocument/2006/relationships/comments" Target="../comments55.xml"/></Relationships>
</file>

<file path=xl/worksheets/_rels/sheet7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9.vml"/><Relationship Id="rId1" Type="http://schemas.openxmlformats.org/officeDocument/2006/relationships/printerSettings" Target="../printerSettings/printerSettings232.bin"/><Relationship Id="rId4" Type="http://schemas.openxmlformats.org/officeDocument/2006/relationships/comments" Target="../comments56.xml"/></Relationships>
</file>

<file path=xl/worksheets/_rels/sheet80.xml.rels><?xml version="1.0" encoding="UTF-8" standalone="yes"?>
<Relationships xmlns="http://schemas.openxmlformats.org/package/2006/relationships"><Relationship Id="rId8" Type="http://schemas.openxmlformats.org/officeDocument/2006/relationships/comments" Target="../comments57.xml"/><Relationship Id="rId3" Type="http://schemas.openxmlformats.org/officeDocument/2006/relationships/vmlDrawing" Target="../drawings/vmlDrawing60.vml"/><Relationship Id="rId7" Type="http://schemas.openxmlformats.org/officeDocument/2006/relationships/ctrlProp" Target="../ctrlProps/ctrlProp64.xml"/><Relationship Id="rId2" Type="http://schemas.openxmlformats.org/officeDocument/2006/relationships/drawing" Target="../drawings/drawing53.xml"/><Relationship Id="rId1" Type="http://schemas.openxmlformats.org/officeDocument/2006/relationships/printerSettings" Target="../printerSettings/printerSettings233.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54.xml"/><Relationship Id="rId1" Type="http://schemas.openxmlformats.org/officeDocument/2006/relationships/printerSettings" Target="../printerSettings/printerSettings234.bin"/><Relationship Id="rId4" Type="http://schemas.openxmlformats.org/officeDocument/2006/relationships/comments" Target="../comments58.xml"/></Relationships>
</file>

<file path=xl/worksheets/_rels/sheet82.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62.vml"/><Relationship Id="rId1" Type="http://schemas.openxmlformats.org/officeDocument/2006/relationships/printerSettings" Target="../printerSettings/printerSettings235.bin"/><Relationship Id="rId4" Type="http://schemas.openxmlformats.org/officeDocument/2006/relationships/comments" Target="../comments59.xml"/></Relationships>
</file>

<file path=xl/worksheets/_rels/sheet83.xml.rels><?xml version="1.0" encoding="UTF-8" standalone="yes"?>
<Relationships xmlns="http://schemas.openxmlformats.org/package/2006/relationships"><Relationship Id="rId8" Type="http://schemas.openxmlformats.org/officeDocument/2006/relationships/comments" Target="../comments60.xml"/><Relationship Id="rId3" Type="http://schemas.openxmlformats.org/officeDocument/2006/relationships/vmlDrawing" Target="../drawings/vmlDrawing63.vml"/><Relationship Id="rId7" Type="http://schemas.openxmlformats.org/officeDocument/2006/relationships/ctrlProp" Target="../ctrlProps/ctrlProp68.xml"/><Relationship Id="rId2" Type="http://schemas.openxmlformats.org/officeDocument/2006/relationships/drawing" Target="../drawings/drawing55.xml"/><Relationship Id="rId1" Type="http://schemas.openxmlformats.org/officeDocument/2006/relationships/printerSettings" Target="../printerSettings/printerSettings236.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56.xml"/><Relationship Id="rId1" Type="http://schemas.openxmlformats.org/officeDocument/2006/relationships/printerSettings" Target="../printerSettings/printerSettings237.bin"/><Relationship Id="rId4" Type="http://schemas.openxmlformats.org/officeDocument/2006/relationships/comments" Target="../comments61.xml"/></Relationships>
</file>

<file path=xl/worksheets/_rels/sheet8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65.vml"/><Relationship Id="rId1" Type="http://schemas.openxmlformats.org/officeDocument/2006/relationships/printerSettings" Target="../printerSettings/printerSettings238.bin"/><Relationship Id="rId4" Type="http://schemas.openxmlformats.org/officeDocument/2006/relationships/comments" Target="../comments62.xml"/></Relationships>
</file>

<file path=xl/worksheets/_rels/sheet86.xml.rels><?xml version="1.0" encoding="UTF-8" standalone="yes"?>
<Relationships xmlns="http://schemas.openxmlformats.org/package/2006/relationships"><Relationship Id="rId8" Type="http://schemas.openxmlformats.org/officeDocument/2006/relationships/comments" Target="../comments63.xml"/><Relationship Id="rId3" Type="http://schemas.openxmlformats.org/officeDocument/2006/relationships/vmlDrawing" Target="../drawings/vmlDrawing66.vml"/><Relationship Id="rId7" Type="http://schemas.openxmlformats.org/officeDocument/2006/relationships/ctrlProp" Target="../ctrlProps/ctrlProp72.xml"/><Relationship Id="rId2" Type="http://schemas.openxmlformats.org/officeDocument/2006/relationships/drawing" Target="../drawings/drawing57.xml"/><Relationship Id="rId1" Type="http://schemas.openxmlformats.org/officeDocument/2006/relationships/printerSettings" Target="../printerSettings/printerSettings239.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58.xml"/><Relationship Id="rId1" Type="http://schemas.openxmlformats.org/officeDocument/2006/relationships/printerSettings" Target="../printerSettings/printerSettings240.bin"/><Relationship Id="rId4" Type="http://schemas.openxmlformats.org/officeDocument/2006/relationships/comments" Target="../comments64.xml"/></Relationships>
</file>

<file path=xl/worksheets/_rels/sheet88.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68.vml"/><Relationship Id="rId1" Type="http://schemas.openxmlformats.org/officeDocument/2006/relationships/printerSettings" Target="../printerSettings/printerSettings241.bin"/><Relationship Id="rId4" Type="http://schemas.openxmlformats.org/officeDocument/2006/relationships/comments" Target="../comments65.xml"/></Relationships>
</file>

<file path=xl/worksheets/_rels/sheet89.xml.rels><?xml version="1.0" encoding="UTF-8" standalone="yes"?>
<Relationships xmlns="http://schemas.openxmlformats.org/package/2006/relationships"><Relationship Id="rId8" Type="http://schemas.openxmlformats.org/officeDocument/2006/relationships/comments" Target="../comments66.xml"/><Relationship Id="rId3" Type="http://schemas.openxmlformats.org/officeDocument/2006/relationships/vmlDrawing" Target="../drawings/vmlDrawing69.vml"/><Relationship Id="rId7" Type="http://schemas.openxmlformats.org/officeDocument/2006/relationships/ctrlProp" Target="../ctrlProps/ctrlProp76.xml"/><Relationship Id="rId2" Type="http://schemas.openxmlformats.org/officeDocument/2006/relationships/drawing" Target="../drawings/drawing59.xml"/><Relationship Id="rId1" Type="http://schemas.openxmlformats.org/officeDocument/2006/relationships/printerSettings" Target="../printerSettings/printerSettings242.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60.xml"/><Relationship Id="rId1" Type="http://schemas.openxmlformats.org/officeDocument/2006/relationships/printerSettings" Target="../printerSettings/printerSettings243.bin"/><Relationship Id="rId4" Type="http://schemas.openxmlformats.org/officeDocument/2006/relationships/comments" Target="../comments67.xml"/></Relationships>
</file>

<file path=xl/worksheets/_rels/sheet9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vmlDrawing" Target="../drawings/vmlDrawing71.vml"/><Relationship Id="rId1" Type="http://schemas.openxmlformats.org/officeDocument/2006/relationships/printerSettings" Target="../printerSettings/printerSettings244.bin"/><Relationship Id="rId4" Type="http://schemas.openxmlformats.org/officeDocument/2006/relationships/comments" Target="../comments68.xml"/></Relationships>
</file>

<file path=xl/worksheets/_rels/sheet92.xml.rels><?xml version="1.0" encoding="UTF-8" standalone="yes"?>
<Relationships xmlns="http://schemas.openxmlformats.org/package/2006/relationships"><Relationship Id="rId8" Type="http://schemas.openxmlformats.org/officeDocument/2006/relationships/comments" Target="../comments69.xml"/><Relationship Id="rId3" Type="http://schemas.openxmlformats.org/officeDocument/2006/relationships/vmlDrawing" Target="../drawings/vmlDrawing72.vml"/><Relationship Id="rId7" Type="http://schemas.openxmlformats.org/officeDocument/2006/relationships/ctrlProp" Target="../ctrlProps/ctrlProp80.xml"/><Relationship Id="rId2" Type="http://schemas.openxmlformats.org/officeDocument/2006/relationships/drawing" Target="../drawings/drawing61.xml"/><Relationship Id="rId1" Type="http://schemas.openxmlformats.org/officeDocument/2006/relationships/printerSettings" Target="../printerSettings/printerSettings245.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62.xml"/><Relationship Id="rId1" Type="http://schemas.openxmlformats.org/officeDocument/2006/relationships/printerSettings" Target="../printerSettings/printerSettings246.bin"/><Relationship Id="rId4" Type="http://schemas.openxmlformats.org/officeDocument/2006/relationships/comments" Target="../comments70.xml"/></Relationships>
</file>

<file path=xl/worksheets/_rels/sheet94.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vmlDrawing" Target="../drawings/vmlDrawing74.vml"/><Relationship Id="rId1" Type="http://schemas.openxmlformats.org/officeDocument/2006/relationships/printerSettings" Target="../printerSettings/printerSettings247.bin"/><Relationship Id="rId4" Type="http://schemas.openxmlformats.org/officeDocument/2006/relationships/comments" Target="../comments71.xml"/></Relationships>
</file>

<file path=xl/worksheets/_rels/sheet95.xml.rels><?xml version="1.0" encoding="UTF-8" standalone="yes"?>
<Relationships xmlns="http://schemas.openxmlformats.org/package/2006/relationships"><Relationship Id="rId8" Type="http://schemas.openxmlformats.org/officeDocument/2006/relationships/comments" Target="../comments72.xml"/><Relationship Id="rId3" Type="http://schemas.openxmlformats.org/officeDocument/2006/relationships/vmlDrawing" Target="../drawings/vmlDrawing75.vml"/><Relationship Id="rId7" Type="http://schemas.openxmlformats.org/officeDocument/2006/relationships/ctrlProp" Target="../ctrlProps/ctrlProp84.xml"/><Relationship Id="rId2" Type="http://schemas.openxmlformats.org/officeDocument/2006/relationships/drawing" Target="../drawings/drawing63.xml"/><Relationship Id="rId1" Type="http://schemas.openxmlformats.org/officeDocument/2006/relationships/printerSettings" Target="../printerSettings/printerSettings248.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96.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76.vml"/><Relationship Id="rId7" Type="http://schemas.openxmlformats.org/officeDocument/2006/relationships/ctrlProp" Target="../ctrlProps/ctrlProp88.xml"/><Relationship Id="rId2" Type="http://schemas.openxmlformats.org/officeDocument/2006/relationships/drawing" Target="../drawings/drawing64.xml"/><Relationship Id="rId1" Type="http://schemas.openxmlformats.org/officeDocument/2006/relationships/printerSettings" Target="../printerSettings/printerSettings249.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97.xml.rels><?xml version="1.0" encoding="UTF-8" standalone="yes"?>
<Relationships xmlns="http://schemas.openxmlformats.org/package/2006/relationships"><Relationship Id="rId2" Type="http://schemas.openxmlformats.org/officeDocument/2006/relationships/printerSettings" Target="../printerSettings/printerSettings251.bin"/><Relationship Id="rId1" Type="http://schemas.openxmlformats.org/officeDocument/2006/relationships/printerSettings" Target="../printerSettings/printerSettings250.bin"/></Relationships>
</file>

<file path=xl/worksheets/_rels/sheet98.xml.rels><?xml version="1.0" encoding="UTF-8" standalone="yes"?>
<Relationships xmlns="http://schemas.openxmlformats.org/package/2006/relationships"><Relationship Id="rId3" Type="http://schemas.openxmlformats.org/officeDocument/2006/relationships/printerSettings" Target="../printerSettings/printerSettings254.bin"/><Relationship Id="rId2" Type="http://schemas.openxmlformats.org/officeDocument/2006/relationships/printerSettings" Target="../printerSettings/printerSettings253.bin"/><Relationship Id="rId1" Type="http://schemas.openxmlformats.org/officeDocument/2006/relationships/printerSettings" Target="../printerSettings/printerSettings252.bin"/><Relationship Id="rId5" Type="http://schemas.openxmlformats.org/officeDocument/2006/relationships/drawing" Target="../drawings/drawing65.xml"/><Relationship Id="rId4" Type="http://schemas.openxmlformats.org/officeDocument/2006/relationships/printerSettings" Target="../printerSettings/printerSettings255.bin"/></Relationships>
</file>

<file path=xl/worksheets/_rels/sheet99.xml.rels><?xml version="1.0" encoding="UTF-8" standalone="yes"?>
<Relationships xmlns="http://schemas.openxmlformats.org/package/2006/relationships"><Relationship Id="rId3" Type="http://schemas.openxmlformats.org/officeDocument/2006/relationships/printerSettings" Target="../printerSettings/printerSettings258.bin"/><Relationship Id="rId2" Type="http://schemas.openxmlformats.org/officeDocument/2006/relationships/printerSettings" Target="../printerSettings/printerSettings257.bin"/><Relationship Id="rId1" Type="http://schemas.openxmlformats.org/officeDocument/2006/relationships/printerSettings" Target="../printerSettings/printerSettings256.bin"/><Relationship Id="rId5" Type="http://schemas.openxmlformats.org/officeDocument/2006/relationships/drawing" Target="../drawings/drawing66.xml"/><Relationship Id="rId4" Type="http://schemas.openxmlformats.org/officeDocument/2006/relationships/printerSettings" Target="../printerSettings/printerSettings259.bin"/></Relationships>
</file>

<file path=xl/worksheets/_rels/sheet100.xml.rels><?xml version="1.0" encoding="UTF-8" standalone="yes"?>
<Relationships xmlns="http://schemas.openxmlformats.org/package/2006/relationships"><Relationship Id="rId3" Type="http://schemas.openxmlformats.org/officeDocument/2006/relationships/printerSettings" Target="../printerSettings/printerSettings262.bin"/><Relationship Id="rId2" Type="http://schemas.openxmlformats.org/officeDocument/2006/relationships/printerSettings" Target="../printerSettings/printerSettings261.bin"/><Relationship Id="rId1" Type="http://schemas.openxmlformats.org/officeDocument/2006/relationships/printerSettings" Target="../printerSettings/printerSettings260.bin"/><Relationship Id="rId5" Type="http://schemas.openxmlformats.org/officeDocument/2006/relationships/printerSettings" Target="../printerSettings/printerSettings264.bin"/><Relationship Id="rId4" Type="http://schemas.openxmlformats.org/officeDocument/2006/relationships/printerSettings" Target="../printerSettings/printerSettings263.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26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8D350-6451-C541-BD5A-00AA34B5C786}">
  <sheetPr>
    <pageSetUpPr fitToPage="1"/>
  </sheetPr>
  <dimension ref="B1:I73"/>
  <sheetViews>
    <sheetView tabSelected="1" workbookViewId="0">
      <selection activeCell="H35" sqref="H35"/>
    </sheetView>
  </sheetViews>
  <sheetFormatPr baseColWidth="10" defaultColWidth="8.83203125" defaultRowHeight="17" customHeight="1"/>
  <cols>
    <col min="1" max="1" width="3.5" style="2236" customWidth="1"/>
    <col min="2" max="2" width="35" style="1880" customWidth="1"/>
    <col min="3" max="8" width="17.5" style="1880" customWidth="1"/>
    <col min="9" max="16384" width="8.83203125" style="2236"/>
  </cols>
  <sheetData>
    <row r="1" spans="2:9" customFormat="1" ht="17" customHeight="1">
      <c r="B1" s="2276" t="s">
        <v>1872</v>
      </c>
      <c r="C1" s="2277"/>
      <c r="D1" s="2277"/>
      <c r="E1" s="2277"/>
      <c r="F1" s="2277"/>
      <c r="G1" s="2277"/>
      <c r="H1" s="2278"/>
      <c r="I1" s="2236"/>
    </row>
    <row r="2" spans="2:9" customFormat="1" ht="17" customHeight="1">
      <c r="B2" s="2258"/>
      <c r="C2" s="2259" t="s">
        <v>1879</v>
      </c>
      <c r="D2" s="2259" t="s">
        <v>1880</v>
      </c>
      <c r="E2" s="2259" t="s">
        <v>1881</v>
      </c>
      <c r="F2" s="2259" t="s">
        <v>1882</v>
      </c>
      <c r="G2" s="2259" t="s">
        <v>1883</v>
      </c>
      <c r="H2" s="2260" t="s">
        <v>1891</v>
      </c>
      <c r="I2" s="2236"/>
    </row>
    <row r="3" spans="2:9" customFormat="1" ht="17" customHeight="1">
      <c r="B3" s="2246" t="s">
        <v>2083</v>
      </c>
      <c r="C3" s="2238" t="s">
        <v>1888</v>
      </c>
      <c r="D3" s="2238" t="s">
        <v>1877</v>
      </c>
      <c r="E3" s="2238" t="s">
        <v>1878</v>
      </c>
      <c r="F3" s="2238" t="s">
        <v>1933</v>
      </c>
      <c r="G3" s="2238" t="s">
        <v>107</v>
      </c>
      <c r="H3" s="2247" t="s">
        <v>678</v>
      </c>
      <c r="I3" s="2236"/>
    </row>
    <row r="4" spans="2:9" customFormat="1" ht="17" customHeight="1">
      <c r="B4" s="2246" t="s">
        <v>529</v>
      </c>
      <c r="C4" s="2238">
        <v>0.75</v>
      </c>
      <c r="D4" s="2238" t="s">
        <v>327</v>
      </c>
      <c r="E4" s="2238" t="s">
        <v>327</v>
      </c>
      <c r="F4" s="2238" t="s">
        <v>327</v>
      </c>
      <c r="G4" s="2238" t="s">
        <v>327</v>
      </c>
      <c r="H4" s="2247" t="s">
        <v>327</v>
      </c>
      <c r="I4" s="2236"/>
    </row>
    <row r="5" spans="2:9" customFormat="1" ht="17" customHeight="1">
      <c r="B5" s="2246" t="s">
        <v>164</v>
      </c>
      <c r="C5" s="2239">
        <v>750000</v>
      </c>
      <c r="D5" s="2239">
        <v>4000000</v>
      </c>
      <c r="E5" s="2239">
        <v>2100000</v>
      </c>
      <c r="F5" s="2239">
        <v>500000</v>
      </c>
      <c r="G5" s="2239"/>
      <c r="H5" s="2248">
        <v>850000</v>
      </c>
      <c r="I5" s="2236"/>
    </row>
    <row r="6" spans="2:9" customFormat="1" ht="17" customHeight="1">
      <c r="B6" s="2246" t="s">
        <v>373</v>
      </c>
      <c r="C6" s="2238" t="s">
        <v>1693</v>
      </c>
      <c r="D6" s="2238" t="s">
        <v>1693</v>
      </c>
      <c r="E6" s="2238" t="s">
        <v>1689</v>
      </c>
      <c r="F6" s="2238" t="s">
        <v>1689</v>
      </c>
      <c r="G6" s="2238"/>
      <c r="H6" s="2247" t="s">
        <v>327</v>
      </c>
      <c r="I6" s="2236"/>
    </row>
    <row r="7" spans="2:9" customFormat="1" ht="17" customHeight="1">
      <c r="B7" s="2246" t="s">
        <v>1885</v>
      </c>
      <c r="C7" s="2238">
        <v>10</v>
      </c>
      <c r="D7" s="2238">
        <v>25</v>
      </c>
      <c r="E7" s="2238">
        <v>25</v>
      </c>
      <c r="F7" s="2238">
        <v>10</v>
      </c>
      <c r="G7" s="2238"/>
      <c r="H7" s="2247" t="s">
        <v>327</v>
      </c>
      <c r="I7" s="2236"/>
    </row>
    <row r="8" spans="2:9" customFormat="1" ht="17" customHeight="1">
      <c r="B8" s="2246" t="s">
        <v>1886</v>
      </c>
      <c r="C8" s="2238">
        <v>120</v>
      </c>
      <c r="D8" s="2238">
        <v>300</v>
      </c>
      <c r="E8" s="2238">
        <v>300</v>
      </c>
      <c r="F8" s="2238">
        <v>120</v>
      </c>
      <c r="G8" s="2238"/>
      <c r="H8" s="2247" t="s">
        <v>327</v>
      </c>
      <c r="I8" s="2236"/>
    </row>
    <row r="9" spans="2:9" customFormat="1" ht="17" customHeight="1">
      <c r="B9" s="2246" t="s">
        <v>112</v>
      </c>
      <c r="C9" s="2240">
        <v>6.7500000000000004E-2</v>
      </c>
      <c r="D9" s="2240">
        <v>6.7500000000000004E-2</v>
      </c>
      <c r="E9" s="2240">
        <v>5.9200000000000003E-2</v>
      </c>
      <c r="F9" s="2240">
        <v>0.08</v>
      </c>
      <c r="G9" s="2240"/>
      <c r="H9" s="2249" t="s">
        <v>327</v>
      </c>
      <c r="I9" s="2236"/>
    </row>
    <row r="10" spans="2:9" customFormat="1" ht="17" customHeight="1">
      <c r="B10" s="2246" t="s">
        <v>113</v>
      </c>
      <c r="C10" s="2240">
        <v>2.2499999999999999E-2</v>
      </c>
      <c r="D10" s="2240">
        <v>1.4999999999999999E-2</v>
      </c>
      <c r="E10" s="2240">
        <v>0</v>
      </c>
      <c r="F10" s="2240">
        <v>0</v>
      </c>
      <c r="G10" s="2240"/>
      <c r="H10" s="2249" t="s">
        <v>327</v>
      </c>
      <c r="I10" s="2236"/>
    </row>
    <row r="11" spans="2:9" customFormat="1" ht="17" customHeight="1" thickBot="1">
      <c r="B11" s="2250" t="s">
        <v>1884</v>
      </c>
      <c r="C11" s="2251">
        <v>0.09</v>
      </c>
      <c r="D11" s="2251">
        <v>8.2500000000000004E-2</v>
      </c>
      <c r="E11" s="2251">
        <v>5.9200000000000003E-2</v>
      </c>
      <c r="F11" s="2251">
        <v>0.08</v>
      </c>
      <c r="G11" s="2251"/>
      <c r="H11" s="2252" t="s">
        <v>327</v>
      </c>
      <c r="I11" s="2236"/>
    </row>
    <row r="12" spans="2:9" customFormat="1" ht="17" customHeight="1" thickBot="1">
      <c r="B12" s="2256"/>
      <c r="C12" s="2257"/>
      <c r="D12" s="2257"/>
      <c r="E12" s="2257"/>
      <c r="F12" s="2257"/>
      <c r="G12" s="2257"/>
      <c r="H12" s="2257"/>
      <c r="I12" s="2236"/>
    </row>
    <row r="13" spans="2:9" customFormat="1" ht="17" customHeight="1">
      <c r="B13" s="2276" t="s">
        <v>125</v>
      </c>
      <c r="C13" s="2277"/>
      <c r="D13" s="2277"/>
      <c r="E13" s="2277"/>
      <c r="F13" s="2277"/>
      <c r="G13" s="2277"/>
      <c r="H13" s="2278"/>
      <c r="I13" s="2236"/>
    </row>
    <row r="14" spans="2:9" customFormat="1" ht="15">
      <c r="B14" s="2258"/>
      <c r="C14" s="2259" t="s">
        <v>1519</v>
      </c>
      <c r="D14" s="2259">
        <v>504</v>
      </c>
      <c r="E14" s="2259" t="s">
        <v>1878</v>
      </c>
      <c r="F14" s="2259" t="s">
        <v>1873</v>
      </c>
      <c r="G14" s="2259" t="s">
        <v>678</v>
      </c>
      <c r="H14" s="2260" t="s">
        <v>104</v>
      </c>
      <c r="I14" s="2236"/>
    </row>
    <row r="15" spans="2:9" customFormat="1" ht="15">
      <c r="B15" s="2245" t="s">
        <v>135</v>
      </c>
      <c r="C15" s="2239"/>
      <c r="D15" s="2239">
        <v>3500000</v>
      </c>
      <c r="E15" s="2239">
        <v>2100000</v>
      </c>
      <c r="F15" s="2239"/>
      <c r="G15" s="2239"/>
      <c r="H15" s="2248">
        <v>5600000</v>
      </c>
      <c r="I15" s="2236"/>
    </row>
    <row r="16" spans="2:9" customFormat="1" ht="15">
      <c r="B16" s="2245" t="s">
        <v>137</v>
      </c>
      <c r="C16" s="2239"/>
      <c r="D16" s="2239"/>
      <c r="E16" s="2239"/>
      <c r="F16" s="2239"/>
      <c r="G16" s="2239"/>
      <c r="H16" s="2248">
        <v>0</v>
      </c>
      <c r="I16" s="2236"/>
    </row>
    <row r="17" spans="2:9" customFormat="1" ht="15">
      <c r="B17" s="2245" t="s">
        <v>139</v>
      </c>
      <c r="C17" s="2239"/>
      <c r="D17" s="2239"/>
      <c r="E17" s="2239"/>
      <c r="F17" s="2239"/>
      <c r="G17" s="2239"/>
      <c r="H17" s="2248">
        <v>0</v>
      </c>
      <c r="I17" s="2236"/>
    </row>
    <row r="18" spans="2:9" customFormat="1" ht="15">
      <c r="B18" s="2245" t="s">
        <v>143</v>
      </c>
      <c r="C18" s="2239"/>
      <c r="D18" s="2239"/>
      <c r="E18" s="2239"/>
      <c r="F18" s="2239"/>
      <c r="G18" s="2239"/>
      <c r="H18" s="2248">
        <v>0</v>
      </c>
      <c r="I18" s="2236"/>
    </row>
    <row r="19" spans="2:9" customFormat="1" ht="15">
      <c r="B19" s="2245" t="s">
        <v>145</v>
      </c>
      <c r="C19" s="2239"/>
      <c r="D19" s="2239">
        <v>500000</v>
      </c>
      <c r="E19" s="2239"/>
      <c r="F19" s="2239">
        <v>500000</v>
      </c>
      <c r="G19" s="2239"/>
      <c r="H19" s="2248">
        <v>1000000</v>
      </c>
      <c r="I19" s="2236"/>
    </row>
    <row r="20" spans="2:9" customFormat="1" ht="15">
      <c r="B20" s="2245" t="s">
        <v>147</v>
      </c>
      <c r="C20" s="2239"/>
      <c r="D20" s="2239"/>
      <c r="E20" s="2239"/>
      <c r="F20" s="2239"/>
      <c r="G20" s="2239"/>
      <c r="H20" s="2248">
        <v>0</v>
      </c>
      <c r="I20" s="2236"/>
    </row>
    <row r="21" spans="2:9" customFormat="1" ht="15">
      <c r="B21" s="2245" t="s">
        <v>149</v>
      </c>
      <c r="C21" s="2239"/>
      <c r="D21" s="2239"/>
      <c r="E21" s="2239"/>
      <c r="F21" s="2239"/>
      <c r="G21" s="2239"/>
      <c r="H21" s="2248">
        <v>0</v>
      </c>
      <c r="I21" s="2236"/>
    </row>
    <row r="22" spans="2:9" customFormat="1" ht="15">
      <c r="B22" s="2245" t="s">
        <v>151</v>
      </c>
      <c r="C22" s="2239">
        <v>50000</v>
      </c>
      <c r="D22" s="2239"/>
      <c r="E22" s="2239"/>
      <c r="F22" s="2239"/>
      <c r="G22" s="2239"/>
      <c r="H22" s="2248">
        <v>50000</v>
      </c>
      <c r="I22" s="2236"/>
    </row>
    <row r="23" spans="2:9" customFormat="1" ht="15">
      <c r="B23" s="2245" t="s">
        <v>153</v>
      </c>
      <c r="C23" s="2239">
        <v>300000</v>
      </c>
      <c r="D23" s="2239"/>
      <c r="E23" s="2239"/>
      <c r="F23" s="2239">
        <v>500000</v>
      </c>
      <c r="G23" s="2239">
        <v>350000</v>
      </c>
      <c r="H23" s="2248">
        <v>1150000</v>
      </c>
      <c r="I23" s="2236"/>
    </row>
    <row r="24" spans="2:9" customFormat="1" ht="15">
      <c r="B24" s="2245" t="s">
        <v>154</v>
      </c>
      <c r="C24" s="2239"/>
      <c r="D24" s="2239"/>
      <c r="E24" s="2239"/>
      <c r="F24" s="2239"/>
      <c r="G24" s="2239"/>
      <c r="H24" s="2248">
        <v>0</v>
      </c>
      <c r="I24" s="2236"/>
    </row>
    <row r="25" spans="2:9" customFormat="1" ht="15">
      <c r="B25" s="2245" t="s">
        <v>159</v>
      </c>
      <c r="C25" s="2239"/>
      <c r="D25" s="2239"/>
      <c r="E25" s="2239"/>
      <c r="F25" s="2239"/>
      <c r="G25" s="2239"/>
      <c r="H25" s="2248">
        <v>0</v>
      </c>
      <c r="I25" s="2236"/>
    </row>
    <row r="26" spans="2:9" customFormat="1" ht="15">
      <c r="B26" s="2245" t="s">
        <v>161</v>
      </c>
      <c r="C26" s="2239">
        <v>200000</v>
      </c>
      <c r="D26" s="2239"/>
      <c r="E26" s="2239"/>
      <c r="F26" s="2239"/>
      <c r="G26" s="2239"/>
      <c r="H26" s="2248">
        <v>200000</v>
      </c>
      <c r="I26" s="2236"/>
    </row>
    <row r="27" spans="2:9" customFormat="1" ht="15">
      <c r="B27" s="2245" t="s">
        <v>162</v>
      </c>
      <c r="C27" s="2239"/>
      <c r="D27" s="2239"/>
      <c r="E27" s="2239"/>
      <c r="F27" s="2239"/>
      <c r="G27" s="2239"/>
      <c r="H27" s="2248">
        <v>0</v>
      </c>
      <c r="I27" s="2236"/>
    </row>
    <row r="28" spans="2:9" customFormat="1" ht="15">
      <c r="B28" s="2245" t="s">
        <v>163</v>
      </c>
      <c r="C28" s="2239"/>
      <c r="D28" s="2239"/>
      <c r="E28" s="2239"/>
      <c r="F28" s="2239"/>
      <c r="G28" s="2239"/>
      <c r="H28" s="2248">
        <v>0</v>
      </c>
      <c r="I28" s="2236"/>
    </row>
    <row r="29" spans="2:9" customFormat="1" ht="15">
      <c r="B29" s="2245" t="s">
        <v>102</v>
      </c>
      <c r="C29" s="2239">
        <v>150000</v>
      </c>
      <c r="D29" s="2239"/>
      <c r="E29" s="2239"/>
      <c r="F29" s="2239"/>
      <c r="G29" s="2239">
        <v>50000</v>
      </c>
      <c r="H29" s="2248">
        <v>200000</v>
      </c>
      <c r="I29" s="2236"/>
    </row>
    <row r="30" spans="2:9" customFormat="1" ht="15">
      <c r="B30" s="2245" t="s">
        <v>1890</v>
      </c>
      <c r="C30" s="2239"/>
      <c r="D30" s="2239"/>
      <c r="E30" s="2239"/>
      <c r="F30" s="2239"/>
      <c r="G30" s="2239"/>
      <c r="H30" s="2248">
        <v>0</v>
      </c>
      <c r="I30" s="2236"/>
    </row>
    <row r="31" spans="2:9" customFormat="1" ht="15">
      <c r="B31" s="2269" t="s">
        <v>104</v>
      </c>
      <c r="C31" s="2239">
        <v>700000</v>
      </c>
      <c r="D31" s="2239">
        <v>4000000</v>
      </c>
      <c r="E31" s="2239">
        <v>2100000</v>
      </c>
      <c r="F31" s="2239">
        <v>1000000</v>
      </c>
      <c r="G31" s="2239">
        <v>400000</v>
      </c>
      <c r="H31" s="2248">
        <v>8200000</v>
      </c>
      <c r="I31" s="2236"/>
    </row>
    <row r="32" spans="2:9" customFormat="1" ht="16" thickBot="1">
      <c r="B32" s="2270" t="s">
        <v>1897</v>
      </c>
      <c r="C32" s="2271">
        <v>8.5365853658536592E-2</v>
      </c>
      <c r="D32" s="2271">
        <v>0.48780487804878048</v>
      </c>
      <c r="E32" s="2271">
        <v>0.25609756097560976</v>
      </c>
      <c r="F32" s="2271">
        <v>0.12195121951219512</v>
      </c>
      <c r="G32" s="2271">
        <v>4.878048780487805E-2</v>
      </c>
      <c r="H32" s="2272">
        <v>1</v>
      </c>
      <c r="I32" s="2236"/>
    </row>
    <row r="33" spans="2:9" customFormat="1" ht="17" customHeight="1" thickBot="1">
      <c r="B33" s="2237"/>
      <c r="C33" s="2241"/>
      <c r="D33" s="2241"/>
      <c r="E33" s="2241"/>
      <c r="F33" s="2241"/>
      <c r="G33" s="2241"/>
      <c r="H33" s="2242"/>
      <c r="I33" s="2236"/>
    </row>
    <row r="34" spans="2:9" ht="17" customHeight="1">
      <c r="B34" s="2276" t="s">
        <v>177</v>
      </c>
      <c r="C34" s="2277"/>
      <c r="D34" s="2277"/>
      <c r="E34" s="2277"/>
      <c r="F34" s="2278"/>
    </row>
    <row r="35" spans="2:9" ht="17" customHeight="1">
      <c r="B35" s="2253"/>
      <c r="C35" s="2259" t="s">
        <v>2043</v>
      </c>
      <c r="D35" s="2259" t="s">
        <v>2044</v>
      </c>
      <c r="E35" s="2259" t="s">
        <v>2045</v>
      </c>
      <c r="F35" s="2259" t="s">
        <v>2046</v>
      </c>
    </row>
    <row r="36" spans="2:9" ht="17" customHeight="1">
      <c r="B36" s="2246" t="s">
        <v>182</v>
      </c>
      <c r="C36" s="2243">
        <v>44926</v>
      </c>
      <c r="D36" s="2243">
        <v>45291</v>
      </c>
      <c r="E36" s="2243">
        <v>45657</v>
      </c>
      <c r="F36" s="2254">
        <v>46022</v>
      </c>
    </row>
    <row r="37" spans="2:9" ht="17" customHeight="1">
      <c r="B37" s="2246" t="s">
        <v>183</v>
      </c>
      <c r="C37" s="2238">
        <v>12</v>
      </c>
      <c r="D37" s="2238">
        <v>12</v>
      </c>
      <c r="E37" s="2238">
        <v>12</v>
      </c>
      <c r="F37" s="2247">
        <v>12</v>
      </c>
    </row>
    <row r="38" spans="2:9" ht="17" customHeight="1">
      <c r="B38" s="2246" t="s">
        <v>2047</v>
      </c>
      <c r="C38" s="2238" t="s">
        <v>186</v>
      </c>
      <c r="D38" s="2238" t="s">
        <v>186</v>
      </c>
      <c r="E38" s="2238" t="s">
        <v>186</v>
      </c>
      <c r="F38" s="2247" t="s">
        <v>187</v>
      </c>
    </row>
    <row r="39" spans="2:9" ht="17" customHeight="1">
      <c r="B39" s="2246" t="s">
        <v>2048</v>
      </c>
      <c r="C39" s="2238" t="s">
        <v>924</v>
      </c>
      <c r="D39" s="2238" t="s">
        <v>924</v>
      </c>
      <c r="E39" s="2238" t="s">
        <v>924</v>
      </c>
      <c r="F39" s="2247" t="s">
        <v>924</v>
      </c>
    </row>
    <row r="40" spans="2:9" ht="17" customHeight="1">
      <c r="B40" s="2273" t="s">
        <v>2049</v>
      </c>
      <c r="C40" s="2274"/>
      <c r="D40" s="2274"/>
      <c r="E40" s="2274"/>
      <c r="F40" s="2275"/>
    </row>
    <row r="41" spans="2:9" ht="17" customHeight="1">
      <c r="B41" s="2246" t="s">
        <v>2050</v>
      </c>
      <c r="C41" s="2261">
        <v>1575444</v>
      </c>
      <c r="D41" s="2261">
        <v>1672555</v>
      </c>
      <c r="E41" s="2261">
        <v>2100588</v>
      </c>
      <c r="F41" s="2262">
        <v>1952444</v>
      </c>
    </row>
    <row r="42" spans="2:9" ht="17" customHeight="1">
      <c r="B42" s="2246" t="s">
        <v>2051</v>
      </c>
      <c r="C42" s="2261">
        <v>975222</v>
      </c>
      <c r="D42" s="2261">
        <v>989254</v>
      </c>
      <c r="E42" s="2261">
        <v>1325222</v>
      </c>
      <c r="F42" s="2262">
        <v>1125363</v>
      </c>
    </row>
    <row r="43" spans="2:9" ht="17" customHeight="1">
      <c r="B43" s="2246" t="s">
        <v>2052</v>
      </c>
      <c r="C43" s="2261">
        <v>600222</v>
      </c>
      <c r="D43" s="2261">
        <v>683301</v>
      </c>
      <c r="E43" s="2261">
        <v>775366</v>
      </c>
      <c r="F43" s="2262">
        <v>827081</v>
      </c>
    </row>
    <row r="44" spans="2:9" ht="17" customHeight="1">
      <c r="B44" s="2273" t="s">
        <v>2053</v>
      </c>
      <c r="C44" s="2274"/>
      <c r="D44" s="2274"/>
      <c r="E44" s="2274"/>
      <c r="F44" s="2275"/>
    </row>
    <row r="45" spans="2:9" ht="17" customHeight="1">
      <c r="B45" s="2246" t="s">
        <v>2054</v>
      </c>
      <c r="C45" s="2261">
        <v>225757</v>
      </c>
      <c r="D45" s="2261">
        <v>265888</v>
      </c>
      <c r="E45" s="2261">
        <v>429875</v>
      </c>
      <c r="F45" s="2262">
        <v>378565</v>
      </c>
    </row>
    <row r="46" spans="2:9" ht="17" customHeight="1">
      <c r="B46" s="2246" t="s">
        <v>2055</v>
      </c>
      <c r="C46" s="2261">
        <v>374465</v>
      </c>
      <c r="D46" s="2261">
        <v>417413</v>
      </c>
      <c r="E46" s="2261">
        <v>345491</v>
      </c>
      <c r="F46" s="2262">
        <v>448516</v>
      </c>
    </row>
    <row r="47" spans="2:9" ht="17" customHeight="1">
      <c r="B47" s="2246" t="s">
        <v>2056</v>
      </c>
      <c r="C47" s="2261">
        <v>25454</v>
      </c>
      <c r="D47" s="2261">
        <v>0</v>
      </c>
      <c r="E47" s="2261">
        <v>0</v>
      </c>
      <c r="F47" s="2262">
        <v>65228</v>
      </c>
    </row>
    <row r="48" spans="2:9" ht="17" customHeight="1">
      <c r="B48" s="2246" t="s">
        <v>2057</v>
      </c>
      <c r="C48" s="2261">
        <v>349011</v>
      </c>
      <c r="D48" s="2261">
        <v>417413</v>
      </c>
      <c r="E48" s="2261">
        <v>345491</v>
      </c>
      <c r="F48" s="2262">
        <v>383288</v>
      </c>
    </row>
    <row r="49" spans="2:6" ht="17" customHeight="1">
      <c r="B49" s="2273" t="s">
        <v>2058</v>
      </c>
      <c r="C49" s="2274"/>
      <c r="D49" s="2274"/>
      <c r="E49" s="2274"/>
      <c r="F49" s="2275"/>
    </row>
    <row r="50" spans="2:6" ht="17" customHeight="1">
      <c r="B50" s="2246" t="s">
        <v>2059</v>
      </c>
      <c r="C50" s="2244">
        <v>125000</v>
      </c>
      <c r="D50" s="2244">
        <v>125000</v>
      </c>
      <c r="E50" s="2244">
        <v>125000</v>
      </c>
      <c r="F50" s="2255">
        <v>125000</v>
      </c>
    </row>
    <row r="51" spans="2:6" ht="17" customHeight="1">
      <c r="B51" s="2246" t="s">
        <v>2060</v>
      </c>
      <c r="C51" s="2244">
        <v>19544</v>
      </c>
      <c r="D51" s="2244">
        <v>27555</v>
      </c>
      <c r="E51" s="2244">
        <v>18254</v>
      </c>
      <c r="F51" s="2255">
        <v>0</v>
      </c>
    </row>
    <row r="52" spans="2:6" ht="17" customHeight="1">
      <c r="B52" s="2246" t="s">
        <v>2061</v>
      </c>
      <c r="C52" s="2244"/>
      <c r="D52" s="2244"/>
      <c r="E52" s="2244"/>
      <c r="F52" s="2255"/>
    </row>
    <row r="53" spans="2:6" ht="17" customHeight="1">
      <c r="B53" s="2246" t="s">
        <v>2062</v>
      </c>
      <c r="C53" s="2244"/>
      <c r="D53" s="2244"/>
      <c r="E53" s="2244"/>
      <c r="F53" s="2255"/>
    </row>
    <row r="54" spans="2:6" ht="17" customHeight="1">
      <c r="B54" s="2246" t="s">
        <v>2063</v>
      </c>
      <c r="C54" s="2244"/>
      <c r="D54" s="2244"/>
      <c r="E54" s="2244"/>
      <c r="F54" s="2255"/>
    </row>
    <row r="55" spans="2:6" ht="17" customHeight="1">
      <c r="B55" s="2246" t="s">
        <v>2064</v>
      </c>
      <c r="C55" s="2244"/>
      <c r="D55" s="2244"/>
      <c r="E55" s="2244"/>
      <c r="F55" s="2255"/>
    </row>
    <row r="56" spans="2:6" ht="17" customHeight="1">
      <c r="B56" s="2273" t="s">
        <v>2065</v>
      </c>
      <c r="C56" s="2274"/>
      <c r="D56" s="2274"/>
      <c r="E56" s="2274"/>
      <c r="F56" s="2275"/>
    </row>
    <row r="57" spans="2:6" ht="17" customHeight="1">
      <c r="B57" s="2246" t="s">
        <v>2066</v>
      </c>
      <c r="C57" s="2261">
        <v>493555</v>
      </c>
      <c r="D57" s="2261">
        <v>569968</v>
      </c>
      <c r="E57" s="2261">
        <v>488745</v>
      </c>
      <c r="F57" s="2262">
        <v>508288</v>
      </c>
    </row>
    <row r="58" spans="2:6" ht="17" customHeight="1">
      <c r="B58" s="2246" t="s">
        <v>2067</v>
      </c>
      <c r="C58" s="2261">
        <v>37555</v>
      </c>
      <c r="D58" s="2261">
        <v>37555</v>
      </c>
      <c r="E58" s="2261">
        <v>37555</v>
      </c>
      <c r="F58" s="2262">
        <v>37555</v>
      </c>
    </row>
    <row r="59" spans="2:6" ht="17" customHeight="1">
      <c r="B59" s="2246" t="s">
        <v>2068</v>
      </c>
      <c r="C59" s="2261">
        <v>56000</v>
      </c>
      <c r="D59" s="2261">
        <v>56000</v>
      </c>
      <c r="E59" s="2261">
        <v>56000</v>
      </c>
      <c r="F59" s="2262">
        <v>56000</v>
      </c>
    </row>
    <row r="60" spans="2:6" ht="17" customHeight="1">
      <c r="B60" s="2246" t="s">
        <v>2069</v>
      </c>
      <c r="C60" s="2261">
        <v>75000</v>
      </c>
      <c r="D60" s="2261">
        <v>75000</v>
      </c>
      <c r="E60" s="2261">
        <v>75000</v>
      </c>
      <c r="F60" s="2262">
        <v>75000</v>
      </c>
    </row>
    <row r="61" spans="2:6" ht="17" customHeight="1">
      <c r="B61" s="2246" t="s">
        <v>2070</v>
      </c>
      <c r="C61" s="2261"/>
      <c r="D61" s="2261"/>
      <c r="E61" s="2261"/>
      <c r="F61" s="2262"/>
    </row>
    <row r="62" spans="2:6" ht="17" customHeight="1">
      <c r="B62" s="2246" t="s">
        <v>2071</v>
      </c>
      <c r="C62" s="2261"/>
      <c r="D62" s="2261"/>
      <c r="E62" s="2261"/>
      <c r="F62" s="2262"/>
    </row>
    <row r="63" spans="2:6" ht="17" customHeight="1">
      <c r="B63" s="2246" t="s">
        <v>2072</v>
      </c>
      <c r="C63" s="2261"/>
      <c r="D63" s="2261"/>
      <c r="E63" s="2261"/>
      <c r="F63" s="2262"/>
    </row>
    <row r="64" spans="2:6" ht="17" customHeight="1">
      <c r="B64" s="2246" t="s">
        <v>2073</v>
      </c>
      <c r="C64" s="2261">
        <v>168555</v>
      </c>
      <c r="D64" s="2261">
        <v>168555</v>
      </c>
      <c r="E64" s="2261">
        <v>168555</v>
      </c>
      <c r="F64" s="2262">
        <v>168555</v>
      </c>
    </row>
    <row r="65" spans="2:6" ht="17" customHeight="1">
      <c r="B65" s="2246" t="s">
        <v>2074</v>
      </c>
      <c r="C65" s="2263">
        <v>2.9281540150099374</v>
      </c>
      <c r="D65" s="2263">
        <v>3.3814956542374892</v>
      </c>
      <c r="E65" s="2263">
        <v>2.8996173355877906</v>
      </c>
      <c r="F65" s="2264">
        <v>3.0155616860965262</v>
      </c>
    </row>
    <row r="66" spans="2:6" ht="17" customHeight="1">
      <c r="B66" s="2273" t="s">
        <v>2075</v>
      </c>
      <c r="C66" s="2274"/>
      <c r="D66" s="2274"/>
      <c r="E66" s="2274"/>
      <c r="F66" s="2275"/>
    </row>
    <row r="67" spans="2:6" ht="17" customHeight="1">
      <c r="B67" s="2246" t="s">
        <v>2076</v>
      </c>
      <c r="C67" s="2265">
        <v>254555</v>
      </c>
      <c r="D67" s="2265">
        <v>254555</v>
      </c>
      <c r="E67" s="2265">
        <v>254555</v>
      </c>
      <c r="F67" s="2266">
        <v>254555</v>
      </c>
    </row>
    <row r="68" spans="2:6" ht="17" customHeight="1">
      <c r="B68" s="2246" t="s">
        <v>2077</v>
      </c>
      <c r="C68" s="2265">
        <v>493555</v>
      </c>
      <c r="D68" s="2265">
        <v>569968</v>
      </c>
      <c r="E68" s="2265">
        <v>488745</v>
      </c>
      <c r="F68" s="2266">
        <v>508288</v>
      </c>
    </row>
    <row r="69" spans="2:6" ht="17" customHeight="1">
      <c r="B69" s="2246" t="s">
        <v>2078</v>
      </c>
      <c r="C69" s="2265">
        <v>748110</v>
      </c>
      <c r="D69" s="2265">
        <v>824523</v>
      </c>
      <c r="E69" s="2265">
        <v>743300</v>
      </c>
      <c r="F69" s="2266">
        <v>762843</v>
      </c>
    </row>
    <row r="70" spans="2:6" ht="17" customHeight="1">
      <c r="B70" s="2246" t="s">
        <v>2079</v>
      </c>
      <c r="C70" s="2265">
        <v>125000</v>
      </c>
      <c r="D70" s="2265">
        <v>125000</v>
      </c>
      <c r="E70" s="2265">
        <v>125000</v>
      </c>
      <c r="F70" s="2266">
        <v>125000</v>
      </c>
    </row>
    <row r="71" spans="2:6" ht="17" customHeight="1">
      <c r="B71" s="2246" t="s">
        <v>2080</v>
      </c>
      <c r="C71" s="2265">
        <v>168555</v>
      </c>
      <c r="D71" s="2265">
        <v>168555</v>
      </c>
      <c r="E71" s="2265">
        <v>168555</v>
      </c>
      <c r="F71" s="2266">
        <v>168555</v>
      </c>
    </row>
    <row r="72" spans="2:6" ht="17" customHeight="1">
      <c r="B72" s="2246" t="s">
        <v>2081</v>
      </c>
      <c r="C72" s="2265">
        <v>293555</v>
      </c>
      <c r="D72" s="2265">
        <v>293555</v>
      </c>
      <c r="E72" s="2265">
        <v>293555</v>
      </c>
      <c r="F72" s="2266">
        <v>293555</v>
      </c>
    </row>
    <row r="73" spans="2:6" ht="17" customHeight="1" thickBot="1">
      <c r="B73" s="2250" t="s">
        <v>2082</v>
      </c>
      <c r="C73" s="2267">
        <v>2.5484491832876293</v>
      </c>
      <c r="D73" s="2267">
        <v>2.8087513413159373</v>
      </c>
      <c r="E73" s="2267">
        <v>2.5320638381223279</v>
      </c>
      <c r="F73" s="2268">
        <v>2.5986373933334468</v>
      </c>
    </row>
  </sheetData>
  <mergeCells count="8">
    <mergeCell ref="B66:F66"/>
    <mergeCell ref="B1:H1"/>
    <mergeCell ref="B13:H13"/>
    <mergeCell ref="B34:F34"/>
    <mergeCell ref="B40:F40"/>
    <mergeCell ref="B44:F44"/>
    <mergeCell ref="B49:F49"/>
    <mergeCell ref="B56:F56"/>
  </mergeCells>
  <pageMargins left="0.75" right="0.75" top="1" bottom="1" header="0.5" footer="0.5"/>
  <pageSetup fitToHeight="0"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4674-C9CA-42D6-BC05-1BE3A52C7472}">
  <sheetPr codeName="Sheet2"/>
  <dimension ref="A1:A99"/>
  <sheetViews>
    <sheetView workbookViewId="0">
      <selection activeCell="J9" sqref="J9"/>
    </sheetView>
  </sheetViews>
  <sheetFormatPr baseColWidth="10" defaultColWidth="8.83203125" defaultRowHeight="15"/>
  <cols>
    <col min="1" max="1" width="25.83203125" bestFit="1" customWidth="1"/>
  </cols>
  <sheetData>
    <row r="1" spans="1:1">
      <c r="A1" s="1" t="s">
        <v>0</v>
      </c>
    </row>
    <row r="2" spans="1:1">
      <c r="A2" s="1" t="s">
        <v>1</v>
      </c>
    </row>
    <row r="3" spans="1:1">
      <c r="A3" s="1" t="s">
        <v>2</v>
      </c>
    </row>
    <row r="4" spans="1:1">
      <c r="A4" s="1" t="s">
        <v>3</v>
      </c>
    </row>
    <row r="5" spans="1:1">
      <c r="A5" s="1" t="s">
        <v>4</v>
      </c>
    </row>
    <row r="6" spans="1:1">
      <c r="A6" s="1" t="s">
        <v>5</v>
      </c>
    </row>
    <row r="7" spans="1:1">
      <c r="A7" s="1" t="s">
        <v>6</v>
      </c>
    </row>
    <row r="8" spans="1:1">
      <c r="A8" s="1" t="s">
        <v>7</v>
      </c>
    </row>
    <row r="9" spans="1:1">
      <c r="A9" s="1" t="s">
        <v>8</v>
      </c>
    </row>
    <row r="10" spans="1:1">
      <c r="A10" s="1" t="s">
        <v>9</v>
      </c>
    </row>
    <row r="11" spans="1:1">
      <c r="A11" s="1" t="s">
        <v>10</v>
      </c>
    </row>
    <row r="12" spans="1:1">
      <c r="A12" s="1" t="s">
        <v>11</v>
      </c>
    </row>
    <row r="13" spans="1:1">
      <c r="A13" s="1" t="s">
        <v>12</v>
      </c>
    </row>
    <row r="14" spans="1:1">
      <c r="A14" s="1" t="s">
        <v>13</v>
      </c>
    </row>
    <row r="15" spans="1:1">
      <c r="A15" s="1" t="s">
        <v>14</v>
      </c>
    </row>
    <row r="16" spans="1:1">
      <c r="A16" s="1" t="s">
        <v>15</v>
      </c>
    </row>
    <row r="17" spans="1:1">
      <c r="A17" s="1" t="s">
        <v>16</v>
      </c>
    </row>
    <row r="18" spans="1:1">
      <c r="A18" s="1" t="s">
        <v>17</v>
      </c>
    </row>
    <row r="19" spans="1:1">
      <c r="A19" s="1" t="s">
        <v>18</v>
      </c>
    </row>
    <row r="20" spans="1:1">
      <c r="A20" s="1" t="s">
        <v>19</v>
      </c>
    </row>
    <row r="21" spans="1:1">
      <c r="A21" s="1" t="s">
        <v>20</v>
      </c>
    </row>
    <row r="22" spans="1:1">
      <c r="A22" s="1" t="s">
        <v>21</v>
      </c>
    </row>
    <row r="23" spans="1:1">
      <c r="A23" s="1" t="s">
        <v>22</v>
      </c>
    </row>
    <row r="24" spans="1:1">
      <c r="A24" s="1" t="s">
        <v>23</v>
      </c>
    </row>
    <row r="25" spans="1:1">
      <c r="A25" s="1" t="s">
        <v>24</v>
      </c>
    </row>
    <row r="26" spans="1:1">
      <c r="A26" s="1" t="s">
        <v>25</v>
      </c>
    </row>
    <row r="27" spans="1:1">
      <c r="A27" s="1" t="s">
        <v>26</v>
      </c>
    </row>
    <row r="28" spans="1:1">
      <c r="A28" s="1" t="s">
        <v>27</v>
      </c>
    </row>
    <row r="29" spans="1:1">
      <c r="A29" s="1" t="s">
        <v>28</v>
      </c>
    </row>
    <row r="30" spans="1:1">
      <c r="A30" s="1" t="s">
        <v>29</v>
      </c>
    </row>
    <row r="31" spans="1:1">
      <c r="A31" s="1" t="s">
        <v>30</v>
      </c>
    </row>
    <row r="32" spans="1:1">
      <c r="A32" s="1" t="s">
        <v>31</v>
      </c>
    </row>
    <row r="33" spans="1:1">
      <c r="A33" s="1" t="s">
        <v>32</v>
      </c>
    </row>
    <row r="34" spans="1:1">
      <c r="A34" s="1" t="s">
        <v>33</v>
      </c>
    </row>
    <row r="35" spans="1:1">
      <c r="A35" s="1" t="s">
        <v>34</v>
      </c>
    </row>
    <row r="36" spans="1:1">
      <c r="A36" s="1" t="s">
        <v>35</v>
      </c>
    </row>
    <row r="37" spans="1:1">
      <c r="A37" s="1" t="s">
        <v>36</v>
      </c>
    </row>
    <row r="38" spans="1:1">
      <c r="A38" s="1" t="s">
        <v>37</v>
      </c>
    </row>
    <row r="39" spans="1:1">
      <c r="A39" s="1" t="s">
        <v>38</v>
      </c>
    </row>
    <row r="40" spans="1:1">
      <c r="A40" s="1" t="s">
        <v>39</v>
      </c>
    </row>
    <row r="41" spans="1:1">
      <c r="A41" s="1" t="s">
        <v>40</v>
      </c>
    </row>
    <row r="42" spans="1:1">
      <c r="A42" s="1" t="s">
        <v>41</v>
      </c>
    </row>
    <row r="43" spans="1:1">
      <c r="A43" s="1" t="s">
        <v>42</v>
      </c>
    </row>
    <row r="44" spans="1:1">
      <c r="A44" s="1" t="s">
        <v>43</v>
      </c>
    </row>
    <row r="45" spans="1:1">
      <c r="A45" s="1" t="s">
        <v>44</v>
      </c>
    </row>
    <row r="46" spans="1:1">
      <c r="A46" s="1" t="s">
        <v>45</v>
      </c>
    </row>
    <row r="47" spans="1:1">
      <c r="A47" s="1" t="s">
        <v>46</v>
      </c>
    </row>
    <row r="48" spans="1:1">
      <c r="A48" s="1" t="s">
        <v>47</v>
      </c>
    </row>
    <row r="49" spans="1:1">
      <c r="A49" s="1" t="s">
        <v>48</v>
      </c>
    </row>
    <row r="50" spans="1:1">
      <c r="A50" s="1" t="s">
        <v>49</v>
      </c>
    </row>
    <row r="51" spans="1:1">
      <c r="A51" s="1" t="s">
        <v>50</v>
      </c>
    </row>
    <row r="52" spans="1:1">
      <c r="A52" s="1" t="s">
        <v>51</v>
      </c>
    </row>
    <row r="53" spans="1:1">
      <c r="A53" s="1" t="s">
        <v>52</v>
      </c>
    </row>
    <row r="54" spans="1:1">
      <c r="A54" s="1" t="s">
        <v>53</v>
      </c>
    </row>
    <row r="55" spans="1:1">
      <c r="A55" s="1" t="s">
        <v>54</v>
      </c>
    </row>
    <row r="56" spans="1:1">
      <c r="A56" s="1" t="s">
        <v>55</v>
      </c>
    </row>
    <row r="57" spans="1:1">
      <c r="A57" s="1" t="s">
        <v>56</v>
      </c>
    </row>
    <row r="58" spans="1:1">
      <c r="A58" s="1" t="s">
        <v>57</v>
      </c>
    </row>
    <row r="59" spans="1:1">
      <c r="A59" s="1" t="s">
        <v>58</v>
      </c>
    </row>
    <row r="60" spans="1:1">
      <c r="A60" s="1" t="s">
        <v>59</v>
      </c>
    </row>
    <row r="61" spans="1:1">
      <c r="A61" s="1" t="s">
        <v>60</v>
      </c>
    </row>
    <row r="62" spans="1:1">
      <c r="A62" s="1" t="s">
        <v>61</v>
      </c>
    </row>
    <row r="63" spans="1:1">
      <c r="A63" s="1" t="s">
        <v>62</v>
      </c>
    </row>
    <row r="64" spans="1:1">
      <c r="A64" s="1" t="s">
        <v>63</v>
      </c>
    </row>
    <row r="65" spans="1:1">
      <c r="A65" s="1" t="s">
        <v>64</v>
      </c>
    </row>
    <row r="66" spans="1:1">
      <c r="A66" s="1" t="s">
        <v>65</v>
      </c>
    </row>
    <row r="67" spans="1:1">
      <c r="A67" s="1" t="s">
        <v>66</v>
      </c>
    </row>
    <row r="68" spans="1:1">
      <c r="A68" s="1" t="s">
        <v>67</v>
      </c>
    </row>
    <row r="69" spans="1:1">
      <c r="A69" s="1" t="s">
        <v>68</v>
      </c>
    </row>
    <row r="70" spans="1:1">
      <c r="A70" s="1" t="s">
        <v>69</v>
      </c>
    </row>
    <row r="71" spans="1:1">
      <c r="A71" s="1" t="s">
        <v>70</v>
      </c>
    </row>
    <row r="72" spans="1:1">
      <c r="A72" s="1" t="s">
        <v>71</v>
      </c>
    </row>
    <row r="73" spans="1:1">
      <c r="A73" s="1" t="s">
        <v>72</v>
      </c>
    </row>
    <row r="74" spans="1:1">
      <c r="A74" s="1" t="s">
        <v>73</v>
      </c>
    </row>
    <row r="75" spans="1:1">
      <c r="A75" s="1" t="s">
        <v>74</v>
      </c>
    </row>
    <row r="76" spans="1:1">
      <c r="A76" s="1" t="s">
        <v>75</v>
      </c>
    </row>
    <row r="77" spans="1:1">
      <c r="A77" s="1" t="s">
        <v>76</v>
      </c>
    </row>
    <row r="78" spans="1:1">
      <c r="A78" s="1" t="s">
        <v>77</v>
      </c>
    </row>
    <row r="79" spans="1:1">
      <c r="A79" s="1" t="s">
        <v>78</v>
      </c>
    </row>
    <row r="80" spans="1:1">
      <c r="A80" s="1" t="s">
        <v>79</v>
      </c>
    </row>
    <row r="81" spans="1:1">
      <c r="A81" s="1" t="s">
        <v>80</v>
      </c>
    </row>
    <row r="82" spans="1:1">
      <c r="A82" s="1" t="s">
        <v>81</v>
      </c>
    </row>
    <row r="83" spans="1:1">
      <c r="A83" s="1" t="s">
        <v>82</v>
      </c>
    </row>
    <row r="84" spans="1:1">
      <c r="A84" s="1" t="s">
        <v>83</v>
      </c>
    </row>
    <row r="85" spans="1:1">
      <c r="A85" s="1" t="s">
        <v>84</v>
      </c>
    </row>
    <row r="86" spans="1:1">
      <c r="A86" s="1" t="s">
        <v>85</v>
      </c>
    </row>
    <row r="87" spans="1:1">
      <c r="A87" s="1" t="s">
        <v>86</v>
      </c>
    </row>
    <row r="88" spans="1:1">
      <c r="A88" s="1" t="s">
        <v>87</v>
      </c>
    </row>
    <row r="89" spans="1:1">
      <c r="A89" s="1" t="s">
        <v>88</v>
      </c>
    </row>
    <row r="90" spans="1:1">
      <c r="A90" s="1" t="s">
        <v>89</v>
      </c>
    </row>
    <row r="91" spans="1:1">
      <c r="A91" s="1" t="s">
        <v>90</v>
      </c>
    </row>
    <row r="92" spans="1:1">
      <c r="A92" s="1" t="s">
        <v>91</v>
      </c>
    </row>
    <row r="93" spans="1:1">
      <c r="A93" s="1" t="s">
        <v>92</v>
      </c>
    </row>
    <row r="94" spans="1:1">
      <c r="A94" s="1" t="s">
        <v>93</v>
      </c>
    </row>
    <row r="95" spans="1:1">
      <c r="A95" s="1" t="s">
        <v>94</v>
      </c>
    </row>
    <row r="96" spans="1:1">
      <c r="A96" s="1" t="s">
        <v>95</v>
      </c>
    </row>
    <row r="97" spans="1:1">
      <c r="A97" s="1" t="s">
        <v>96</v>
      </c>
    </row>
    <row r="98" spans="1:1">
      <c r="A98" s="1" t="s">
        <v>97</v>
      </c>
    </row>
    <row r="99" spans="1:1">
      <c r="A99" s="1" t="s">
        <v>98</v>
      </c>
    </row>
  </sheetData>
  <sheetProtection algorithmName="SHA-512" hashValue="2IK/ZFXnflP0NMlKdGWzT/fym78W9cR2qr2Q9Cho4OuIDX/QiOXHrp9WavyrYlXzIgFrb2gp0siR1P5LiTXw+w==" saltValue="ZMM0NoZVPKvbqwtUZvT4Pw==" spinCount="100000" sheet="1" scenarios="1" formatCells="0" formatColumns="0" formatRows="0"/>
  <hyperlinks>
    <hyperlink ref="A1" location="'Table of Contents'!A1" tooltip="Table of Contents" display="Table of Contents" xr:uid="{6AD80425-8D3E-428B-8FC5-180B10B65A0C}"/>
    <hyperlink ref="A2" location="'BDO Prequal'!A1" tooltip="BDO Prequal" display="BDO Prequal" xr:uid="{A916F09C-DD59-416C-AF8F-DC84F0B782D2}"/>
    <hyperlink ref="A3" location="'Scores'!A1" tooltip="Scores" display="Scores" xr:uid="{DD568C1C-8603-42B8-9E22-17AD37D9892A}"/>
    <hyperlink ref="A4" location="'Wksht Print Separately'!A1" tooltip="Wksht Print Separately" display="Wksht Print Separately" xr:uid="{6DC0A073-2739-46D5-880A-43DD9E2D8E48}"/>
    <hyperlink ref="A5" location="'UOP'!A1" tooltip="UOP" display="UOP" xr:uid="{F3407A96-FD71-4276-878E-C77C2A34DA0F}"/>
    <hyperlink ref="A6" location="'UOP (2)'!A1" tooltip="UOP (2)" display="UOP (2)" xr:uid="{2B5419B8-EC98-4370-A5D4-37D15CDED903}"/>
    <hyperlink ref="A7" location="'Memo Grid'!A1" tooltip="Memo Grid" display="Memo Grid" xr:uid="{F2C2C299-B44B-42CE-A4A1-AC74B5D084C3}"/>
    <hyperlink ref="A8" location="'Memo Grid 504'!A1" tooltip="Memo Grid 504" display="Memo Grid 504" xr:uid="{3E5AC13C-32D5-431F-80C4-171330A29178}"/>
    <hyperlink ref="A9" location="'Coll'!A1" tooltip="Coll" display="Coll" xr:uid="{A4CC0824-471D-4C20-8B6D-26DBA2AF8C13}"/>
    <hyperlink ref="A10" location="'Coll (2)'!A1" tooltip="Coll (2)" display="Coll (2)" xr:uid="{EDF024EC-D3CF-4970-8A0B-3BF25312F4BB}"/>
    <hyperlink ref="A11" location="'Ratios'!A1" tooltip="Ratios" display="Ratios" xr:uid="{E96E65BE-E920-4632-B1D1-4C1453B581BB}"/>
    <hyperlink ref="A12" location="'Hist IS and Proj'!A1" tooltip="Hist IS and Proj" display="Hist IS and Proj" xr:uid="{C06B7292-324E-4370-B939-D7981F487A42}"/>
    <hyperlink ref="A13" location="'Cash Flow'!A1" tooltip="Cash Flow" display="Cash Flow" xr:uid="{8B6AB3B7-BF47-4720-ABF6-B035058BA543}"/>
    <hyperlink ref="A14" location="'Debt Sch'!A1" tooltip="Debt Sch" display="Debt Sch" xr:uid="{D22A0BE4-2573-4CD6-AD73-BBCE505BC67F}"/>
    <hyperlink ref="A15" location="'Break Even'!A1" tooltip="Break Even" display="Break Even" xr:uid="{2210F657-BBA2-4638-B4B6-EDC90C779D4A}"/>
    <hyperlink ref="A16" location="'Global CF'!A1" tooltip="Global CF" display="Global CF" xr:uid="{8D365714-9CF5-406C-B8F6-A9B6E00EF053}"/>
    <hyperlink ref="A17" location="'Hist BS'!A1" tooltip="Hist BS" display="Hist BS" xr:uid="{0D1570E5-A001-4D60-9158-43AF47557CF1}"/>
    <hyperlink ref="A18" location="'Pro-forma'!A1" tooltip="Pro-forma" display="Pro-forma" xr:uid="{10869E64-EF48-4C30-86C5-6AB21C839714}"/>
    <hyperlink ref="A19" location="'WC Analysis'!A1" tooltip="WC Analysis" display="WC Analysis" xr:uid="{7452FC75-BED8-4643-95D0-23AB7AC1E8EF}"/>
    <hyperlink ref="A20" location="'Biz Val Internal'!A1" tooltip="Biz Val Internal" display="Biz Val Internal" xr:uid="{8AB4DE7B-634B-4028-8239-3056CC070181}"/>
    <hyperlink ref="A21" location="'EPC IS'!A1" tooltip="EPC IS" display="EPC IS" xr:uid="{CA2991E3-7DC4-464E-98F0-9AC4DDD987BA}"/>
    <hyperlink ref="A22" location="'EPC BS'!A1" tooltip="EPC BS" display="EPC BS" xr:uid="{193DD5E5-F003-4D6F-A7A2-6AC260A9DA05}"/>
    <hyperlink ref="A23" location="'EPC CF'!A1" tooltip="EPC CF" display="EPC CF" xr:uid="{9DF2B06C-A5A7-4C21-A202-422D76139836}"/>
    <hyperlink ref="A24" location="'Per Need 1'!A1" tooltip="Per Need 1" display="Per Need 1" xr:uid="{BF8D965E-BC2F-414F-989C-B3FABD616AA9}"/>
    <hyperlink ref="A25" location="'PFS 1'!A1" tooltip="PFS 1" display="PFS 1" xr:uid="{DED5F64D-ED65-4137-AA5B-67E14B2144C5}"/>
    <hyperlink ref="A26" location="'Per RE 1'!A1" tooltip="Per RE 1" display="Per RE 1" xr:uid="{2413178F-A5BE-42C5-BFCA-F13F597E7EFD}"/>
    <hyperlink ref="A27" location="'Per Need 2'!A1" tooltip="Per Need 2" display="Per Need 2" xr:uid="{2EDE454B-7BF8-4867-8E26-CFC25588521A}"/>
    <hyperlink ref="A28" location="'PFS 2'!A1" tooltip="PFS 2" display="PFS 2" xr:uid="{CCE45A57-42C6-4DBE-AF79-5E5CC4865DFC}"/>
    <hyperlink ref="A29" location="'Per RE 2'!A1" tooltip="Per RE 2" display="Per RE 2" xr:uid="{46841E3F-8149-49B7-958C-776B04DA6A42}"/>
    <hyperlink ref="A30" location="'Per Need 3'!A1" tooltip="Per Need 3" display="Per Need 3" xr:uid="{71084AC0-4923-4216-BDF6-CDD8529BD8D7}"/>
    <hyperlink ref="A31" location="'PFS 3'!A1" tooltip="PFS 3" display="PFS 3" xr:uid="{CA922663-7BF3-42AC-AFB0-165415FF0760}"/>
    <hyperlink ref="A32" location="'Per RE 3'!A1" tooltip="Per RE 3" display="Per RE 3" xr:uid="{EBE14C57-A428-4374-B4E8-3457B21AE45E}"/>
    <hyperlink ref="A33" location="'Per Need 4'!A1" tooltip="Per Need 4" display="Per Need 4" xr:uid="{FB6D7470-A61D-449B-AD5D-225257135CA9}"/>
    <hyperlink ref="A34" location="'PFS 4'!A1" tooltip="PFS 4" display="PFS 4" xr:uid="{239CCDD9-CA28-438D-A324-2F6E4D439852}"/>
    <hyperlink ref="A35" location="'Per RE 4'!A1" tooltip="Per RE 4" display="Per RE 4" xr:uid="{AE1B6159-3D14-4CDA-A5AA-4C0CFB93474F}"/>
    <hyperlink ref="A36" location="'SBA Elig'!A1" tooltip="SBA Elig" display="SBA Elig" xr:uid="{AD790BF5-6AB8-4943-A38F-EB159F31319B}"/>
    <hyperlink ref="A37" location="'EPC Elig'!A1" tooltip="EPC Elig" display="EPC Elig" xr:uid="{9AF8DB83-305A-4245-8FE9-7E3DEA7F61A2}"/>
    <hyperlink ref="A38" location="'SBA Debt Refi Elig'!A1" tooltip="SBA Debt Refi Elig" display="SBA Debt Refi Elig" xr:uid="{C114F3EF-3101-4B4A-ADDB-724CBB177DDC}"/>
    <hyperlink ref="A39" location="'Bus Acq Elig'!A1" tooltip="Bus Acq Elig" display="Bus Acq Elig" xr:uid="{2D8145F1-D7FC-4893-B365-5AFF90562A9B}"/>
    <hyperlink ref="A40" location="'Aff 1 IS'!A1" tooltip="Aff 1 IS" display="Aff 1 IS" xr:uid="{30D7C296-A735-4C19-9D47-A85A7517AEE8}"/>
    <hyperlink ref="A41" location="'Aff 1 BS'!A1" tooltip="Aff 1 BS" display="Aff 1 BS" xr:uid="{CA1A4BB7-E02E-4CB6-AAE0-A9740801150A}"/>
    <hyperlink ref="A42" location="'Aff 1 CF'!A1" tooltip="Aff 1 CF" display="Aff 1 CF" xr:uid="{416B30E2-DD2D-4D48-9448-2070F8D68510}"/>
    <hyperlink ref="A43" location="'Aff 2 IS'!A1" tooltip="Aff 2 IS" display="Aff 2 IS" xr:uid="{F3AD5C61-D583-4E14-9457-EEBFD101FA49}"/>
    <hyperlink ref="A44" location="'Aff 2 BS'!A1" tooltip="Aff 2 BS" display="Aff 2 BS" xr:uid="{78ED7C3F-C939-48BE-B927-8BF3BB0F92CF}"/>
    <hyperlink ref="A45" location="'Aff 2 CF'!A1" tooltip="Aff 2 CF" display="Aff 2 CF" xr:uid="{6D7C7B37-67AA-41D3-9217-1F6023158821}"/>
    <hyperlink ref="A46" location="'Aff 3 IS'!A1" tooltip="Aff 3 IS" display="Aff 3 IS" xr:uid="{E24AF09B-BBBB-4A78-A5EC-70DAB7B7CF73}"/>
    <hyperlink ref="A47" location="'Aff 3 BS'!A1" tooltip="Aff 3 BS" display="Aff 3 BS" xr:uid="{9ADC520B-AF3E-4473-B559-FAD32F2F7F2A}"/>
    <hyperlink ref="A48" location="'Aff 3 CF'!A1" tooltip="Aff 3 CF" display="Aff 3 CF" xr:uid="{DD81D62B-E416-409C-964A-EF5BFC03B9AA}"/>
    <hyperlink ref="A49" location="'Aff 4 IS'!A1" tooltip="Aff 4 IS" display="Aff 4 IS" xr:uid="{3DA53ADB-A7AA-4DC8-AB3F-7895394399FB}"/>
    <hyperlink ref="A50" location="'Aff 4 BS'!A1" tooltip="Aff 4 BS" display="Aff 4 BS" xr:uid="{A849E65E-1D61-44FE-9CD7-40F633E4B723}"/>
    <hyperlink ref="A51" location="'Aff 4 CF'!A1" tooltip="Aff 4 CF" display="Aff 4 CF" xr:uid="{FBDDEF86-5F68-40C3-B79D-C034E7855274}"/>
    <hyperlink ref="A52" location="'Aff 5 IS'!A1" tooltip="Aff 5 IS" display="Aff 5 IS" xr:uid="{902099AC-802D-410A-90C2-D144F810E1CA}"/>
    <hyperlink ref="A53" location="'Aff 5 BS'!A1" tooltip="Aff 5 BS" display="Aff 5 BS" xr:uid="{514920DE-9747-43A4-8D23-C72241B79AA7}"/>
    <hyperlink ref="A54" location="'Aff 5 CF'!A1" tooltip="Aff 5 CF" display="Aff 5 CF" xr:uid="{611C4B96-124E-4B50-869E-BB274C50DBFE}"/>
    <hyperlink ref="A55" location="'Aff 6 IS'!A1" tooltip="Aff 6 IS" display="Aff 6 IS" xr:uid="{AC48F66D-E597-498E-8A61-41E766D0F2DE}"/>
    <hyperlink ref="A56" location="'Aff 6 BS'!A1" tooltip="Aff 6 BS" display="Aff 6 BS" xr:uid="{A033A570-D5F2-42FD-A863-0AFFA3030673}"/>
    <hyperlink ref="A57" location="'Aff 6 CF'!A1" tooltip="Aff 6 CF" display="Aff 6 CF" xr:uid="{390D3112-98D1-48C3-AD7A-545B128CE2DF}"/>
    <hyperlink ref="A58" location="'Aff 7 IS'!A1" tooltip="Aff 7 IS" display="Aff 7 IS" xr:uid="{04D0A2E4-93A8-48CA-AB2A-8CA38CF3052E}"/>
    <hyperlink ref="A59" location="'Aff 7 BS'!A1" tooltip="Aff 7 BS" display="Aff 7 BS" xr:uid="{FF9160DD-5B71-4973-A2F9-639B37D6CEEE}"/>
    <hyperlink ref="A60" location="'Aff 7 CF'!A1" tooltip="Aff 7 CF" display="Aff 7 CF" xr:uid="{6F5C4707-232F-4C2C-8A35-6BFADF7A12A8}"/>
    <hyperlink ref="A61" location="'Aff 8 IS'!A1" tooltip="Aff 8 IS" display="Aff 8 IS" xr:uid="{399A0464-BD35-4913-B082-023D31F9139B}"/>
    <hyperlink ref="A62" location="'Aff 8 BS'!A1" tooltip="Aff 8 BS" display="Aff 8 BS" xr:uid="{BDD2B12F-4D1A-4201-B8E7-2B3345A96D6A}"/>
    <hyperlink ref="A63" location="'Aff 8 CF'!A1" tooltip="Aff 8 CF" display="Aff 8 CF" xr:uid="{95F9168A-718D-418B-89F3-B7ECC60C87EE}"/>
    <hyperlink ref="A64" location="'Aff 9 IS'!A1" tooltip="Aff 9 IS" display="Aff 9 IS" xr:uid="{5B39E125-6B15-4B8F-84E0-A6493BE5DDA9}"/>
    <hyperlink ref="A65" location="'Aff 9 BS'!A1" tooltip="Aff 9 BS" display="Aff 9 BS" xr:uid="{B51BC1EE-D5C3-4F36-A6E2-F66128F08E6A}"/>
    <hyperlink ref="A66" location="'Aff 9 CF'!A1" tooltip="Aff 9 CF" display="Aff 9 CF" xr:uid="{83865A13-BA58-4BB5-A888-DC06996E27E5}"/>
    <hyperlink ref="A67" location="'Aff 10 IS'!A1" tooltip="Aff 10 IS" display="Aff 10 IS" xr:uid="{8967407C-8604-43C3-A56A-B443C372118C}"/>
    <hyperlink ref="A68" location="'Aff 10 BS'!A1" tooltip="Aff 10 BS" display="Aff 10 BS" xr:uid="{DD926541-9D6A-4B12-AFD8-A1862701BCE4}"/>
    <hyperlink ref="A69" location="'Aff 10 CF'!A1" tooltip="Aff 10 CF" display="Aff 10 CF" xr:uid="{3129571E-F4EA-4E10-8B3B-EBB645E782F5}"/>
    <hyperlink ref="A70" location="'Aff 11 IS'!A1" tooltip="Aff 11 IS" display="Aff 11 IS" xr:uid="{29F9F0ED-FE58-4018-8840-D67916500840}"/>
    <hyperlink ref="A71" location="'Aff 11 BS'!A1" tooltip="Aff 11 BS" display="Aff 11 BS" xr:uid="{BBE484E4-8AA1-4B69-9E08-EEED34ADE3C7}"/>
    <hyperlink ref="A72" location="'Aff 11 CF'!A1" tooltip="Aff 11 CF" display="Aff 11 CF" xr:uid="{4E560EDD-69AD-4D22-ABCD-FA6C209D9838}"/>
    <hyperlink ref="A73" location="'Aff 12 IS'!A1" tooltip="Aff 12 IS" display="Aff 12 IS" xr:uid="{9C2614EB-6C23-4B4F-A20A-F64404640523}"/>
    <hyperlink ref="A74" location="'Aff 12 BS'!A1" tooltip="Aff 12 BS" display="Aff 12 BS" xr:uid="{0EBE00C1-7EBF-4147-B675-F9E69BE6467B}"/>
    <hyperlink ref="A75" location="'Aff 12 CF'!A1" tooltip="Aff 12 CF" display="Aff 12 CF" xr:uid="{98ADF355-7473-4025-8E77-2E4E00F3FA05}"/>
    <hyperlink ref="A76" location="'Aff 13 IS'!A1" tooltip="Aff 13 IS" display="Aff 13 IS" xr:uid="{61141483-8BA1-4F59-A478-E30A7FB0EBC6}"/>
    <hyperlink ref="A77" location="'Aff 13 BS'!A1" tooltip="Aff 13 BS" display="Aff 13 BS" xr:uid="{F7B2EB2A-AB92-4D4B-AC38-335FA0652B55}"/>
    <hyperlink ref="A78" location="'Aff 13 CF'!A1" tooltip="Aff 13 CF" display="Aff 13 CF" xr:uid="{F5B9EC21-DEDF-4F97-9238-6F741EA76C70}"/>
    <hyperlink ref="A79" location="'Aff 14 IS'!A1" tooltip="Aff 14 IS" display="Aff 14 IS" xr:uid="{011239FE-846C-4CE0-9287-719F4A6AE7BC}"/>
    <hyperlink ref="A80" location="'Aff 14 BS'!A1" tooltip="Aff 14 BS" display="Aff 14 BS" xr:uid="{E3CA4F37-255F-46F6-AF0E-9B2205CED45B}"/>
    <hyperlink ref="A81" location="'Aff 14 CF'!A1" tooltip="Aff 14 CF" display="Aff 14 CF" xr:uid="{B8D948B9-5CF2-4DAD-89D5-41AE5FE5726B}"/>
    <hyperlink ref="A82" location="'Aff 15 IS'!A1" tooltip="Aff 15 IS" display="Aff 15 IS" xr:uid="{A0D84317-BCD4-4E29-8F12-5B56EF6B4B85}"/>
    <hyperlink ref="A83" location="'Aff 15 BS'!A1" tooltip="Aff 15 BS" display="Aff 15 BS" xr:uid="{B96027A2-916E-474F-8353-FBA6281D39CC}"/>
    <hyperlink ref="A84" location="'Aff 15 CF'!A1" tooltip="Aff 15 CF" display="Aff 15 CF" xr:uid="{CDFCBA5C-42EA-49D0-A5C3-8F16B5A7179E}"/>
    <hyperlink ref="A85" location="'Aff 16 IS'!A1" tooltip="Aff 16 IS" display="Aff 16 IS" xr:uid="{91884224-C566-4027-B911-252E2E8C7060}"/>
    <hyperlink ref="A86" location="'Aff 16 BS'!A1" tooltip="Aff 16 BS" display="Aff 16 BS" xr:uid="{03C1A83E-2E5D-4BF4-9668-92AA180981D9}"/>
    <hyperlink ref="A87" location="'Aff 16 CF'!A1" tooltip="Aff 16 CF" display="Aff 16 CF" xr:uid="{61E9499A-9926-42A0-AB8F-E52D840DBC33}"/>
    <hyperlink ref="A88" location="'Aff 17 IS'!A1" tooltip="Aff 17 IS" display="Aff 17 IS" xr:uid="{017C49BC-331C-48DE-BA7F-E58238158582}"/>
    <hyperlink ref="A89" location="'Aff 17 BS'!A1" tooltip="Aff 17 BS" display="Aff 17 BS" xr:uid="{79A8BF57-7429-44EB-97B0-6302A6E8A11C}"/>
    <hyperlink ref="A90" location="'Aff 17 CF'!A1" tooltip="Aff 17 CF" display="Aff 17 CF" xr:uid="{E4210D3C-8688-4F81-860D-5389BCEEA9E7}"/>
    <hyperlink ref="A91" location="'Aff 18 IS'!A1" tooltip="Aff 18 IS" display="Aff 18 IS" xr:uid="{4B19FF66-B16E-41ED-84F3-FBE7BDD0099D}"/>
    <hyperlink ref="A92" location="'Aff 18 BS'!A1" tooltip="Aff 18 BS" display="Aff 18 BS" xr:uid="{DFFAFBEA-921C-4EC2-AE4D-F3CBEA0B3054}"/>
    <hyperlink ref="A93" location="'Aff 18 CF'!A1" tooltip="Aff 18 CF" display="Aff 18 CF" xr:uid="{5E32C468-87BB-4353-BE5F-E6BFEF3EC290}"/>
    <hyperlink ref="A94" location="'SBA Personal Resource Test'!A1" tooltip="SBA Personal Resource Test" display="SBA Personal Resource Test" xr:uid="{F505B9B8-0546-4D1D-878C-28DEA97545F2}"/>
    <hyperlink ref="A95" location="'Pmt Calcs'!A1" tooltip="Pmt Calcs" display="Pmt Calcs" xr:uid="{86671F9B-A27A-4878-99DE-1D05808031EF}"/>
    <hyperlink ref="A96" location="'Amort Sch'!A1" tooltip="Amort Sch" display="Amort Sch" xr:uid="{E40BE71C-8CCE-4673-A9BB-855724EDB7CE}"/>
    <hyperlink ref="A97" location="'Amort Sch (2)'!A1" tooltip="Amort Sch (2)" display="Amort Sch (2)" xr:uid="{FD399270-8C49-4F4B-AE8A-CB0859E7A5E9}"/>
    <hyperlink ref="A98" location="'Lists'!A1" tooltip="Lists" display="Lists" xr:uid="{300C8FD2-066F-4399-B60C-42E7B9BC28C8}"/>
    <hyperlink ref="A99" location="'Version'!A1" tooltip="Version" display="Version" xr:uid="{6B09E724-393F-4BC4-B2A9-502226E91152}"/>
  </hyperlink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A1CB0-E094-1541-ACB3-B5E667FFFD24}">
  <sheetPr>
    <pageSetUpPr fitToPage="1"/>
  </sheetPr>
  <dimension ref="B2:O110"/>
  <sheetViews>
    <sheetView zoomScale="80" zoomScaleNormal="80" workbookViewId="0">
      <selection activeCell="A18" sqref="A18:XFD37"/>
    </sheetView>
  </sheetViews>
  <sheetFormatPr baseColWidth="10" defaultRowHeight="15"/>
  <cols>
    <col min="2" max="2" width="27.1640625" customWidth="1"/>
    <col min="3" max="9" width="15.33203125" customWidth="1"/>
    <col min="10" max="10" width="12.33203125" customWidth="1"/>
  </cols>
  <sheetData>
    <row r="2" spans="2:8">
      <c r="B2" t="s">
        <v>1871</v>
      </c>
      <c r="C2">
        <v>200548</v>
      </c>
    </row>
    <row r="3" spans="2:8" ht="16" thickBot="1"/>
    <row r="4" spans="2:8" ht="23" customHeight="1">
      <c r="B4" s="2286" t="s">
        <v>1872</v>
      </c>
      <c r="C4" s="2287"/>
      <c r="D4" s="2287"/>
      <c r="E4" s="2287"/>
      <c r="F4" s="2287"/>
      <c r="G4" s="2287"/>
      <c r="H4" s="2288"/>
    </row>
    <row r="5" spans="2:8" ht="16">
      <c r="B5" s="1824" t="s">
        <v>1875</v>
      </c>
      <c r="C5" s="1803" t="s">
        <v>1879</v>
      </c>
      <c r="D5" s="1804" t="s">
        <v>1880</v>
      </c>
      <c r="E5" s="1803" t="s">
        <v>1881</v>
      </c>
      <c r="F5" s="1803" t="s">
        <v>1882</v>
      </c>
      <c r="G5" s="1804" t="s">
        <v>1883</v>
      </c>
      <c r="H5" s="1805" t="s">
        <v>1891</v>
      </c>
    </row>
    <row r="6" spans="2:8">
      <c r="B6" s="1806" t="s">
        <v>1876</v>
      </c>
      <c r="C6" s="1815" t="s">
        <v>109</v>
      </c>
      <c r="D6" s="1815" t="s">
        <v>1877</v>
      </c>
      <c r="E6" s="1815" t="s">
        <v>1878</v>
      </c>
      <c r="F6" s="1815" t="s">
        <v>1873</v>
      </c>
      <c r="G6" s="1818" t="s">
        <v>107</v>
      </c>
      <c r="H6" s="1819" t="s">
        <v>1874</v>
      </c>
    </row>
    <row r="7" spans="2:8">
      <c r="B7" s="1806" t="s">
        <v>1887</v>
      </c>
      <c r="C7" s="1815" t="s">
        <v>1888</v>
      </c>
      <c r="D7" s="1815" t="s">
        <v>1877</v>
      </c>
      <c r="E7" s="1815" t="s">
        <v>1889</v>
      </c>
      <c r="F7" s="1815" t="s">
        <v>327</v>
      </c>
      <c r="G7" s="1815" t="s">
        <v>327</v>
      </c>
      <c r="H7" s="1819" t="s">
        <v>327</v>
      </c>
    </row>
    <row r="8" spans="2:8">
      <c r="B8" s="1806" t="s">
        <v>529</v>
      </c>
      <c r="C8" s="1820">
        <v>0.75</v>
      </c>
      <c r="D8" s="1820" t="s">
        <v>327</v>
      </c>
      <c r="E8" s="1820" t="s">
        <v>327</v>
      </c>
      <c r="F8" s="1820" t="s">
        <v>327</v>
      </c>
      <c r="G8" s="1820" t="s">
        <v>327</v>
      </c>
      <c r="H8" s="1819" t="s">
        <v>327</v>
      </c>
    </row>
    <row r="9" spans="2:8">
      <c r="B9" s="1806" t="s">
        <v>164</v>
      </c>
      <c r="C9" s="1816">
        <v>750000</v>
      </c>
      <c r="D9" s="1816">
        <v>4000000</v>
      </c>
      <c r="E9" s="1816">
        <v>2100000</v>
      </c>
      <c r="F9" s="1816">
        <v>500000</v>
      </c>
      <c r="G9" s="1816"/>
      <c r="H9" s="1817">
        <v>850000</v>
      </c>
    </row>
    <row r="10" spans="2:8">
      <c r="B10" s="1806" t="s">
        <v>373</v>
      </c>
      <c r="C10" s="1812" t="s">
        <v>1693</v>
      </c>
      <c r="D10" s="1812" t="s">
        <v>1693</v>
      </c>
      <c r="E10" s="1812" t="s">
        <v>1689</v>
      </c>
      <c r="F10" s="1812" t="s">
        <v>1689</v>
      </c>
      <c r="G10" s="1812"/>
      <c r="H10" s="1819" t="s">
        <v>327</v>
      </c>
    </row>
    <row r="11" spans="2:8">
      <c r="B11" s="1806" t="s">
        <v>1885</v>
      </c>
      <c r="C11" s="1823">
        <v>10</v>
      </c>
      <c r="D11" s="1823">
        <v>25</v>
      </c>
      <c r="E11" s="1823">
        <v>25</v>
      </c>
      <c r="F11" s="1823">
        <v>10</v>
      </c>
      <c r="G11" s="1823"/>
      <c r="H11" s="1819" t="s">
        <v>327</v>
      </c>
    </row>
    <row r="12" spans="2:8">
      <c r="B12" s="1806" t="s">
        <v>1886</v>
      </c>
      <c r="C12" s="1823">
        <v>120</v>
      </c>
      <c r="D12" s="1823">
        <v>300</v>
      </c>
      <c r="E12" s="1823">
        <v>300</v>
      </c>
      <c r="F12" s="1823">
        <v>120</v>
      </c>
      <c r="G12" s="1823"/>
      <c r="H12" s="1819" t="s">
        <v>327</v>
      </c>
    </row>
    <row r="13" spans="2:8">
      <c r="B13" s="1806" t="s">
        <v>112</v>
      </c>
      <c r="C13" s="1821">
        <v>6.7500000000000004E-2</v>
      </c>
      <c r="D13" s="1821">
        <v>6.7500000000000004E-2</v>
      </c>
      <c r="E13" s="1821">
        <v>5.9200000000000003E-2</v>
      </c>
      <c r="F13" s="1821">
        <v>0.08</v>
      </c>
      <c r="G13" s="1821"/>
      <c r="H13" s="1819" t="s">
        <v>327</v>
      </c>
    </row>
    <row r="14" spans="2:8">
      <c r="B14" s="1806" t="s">
        <v>113</v>
      </c>
      <c r="C14" s="1821">
        <v>2.2499999999999999E-2</v>
      </c>
      <c r="D14" s="1821">
        <v>1.4999999999999999E-2</v>
      </c>
      <c r="E14" s="1821">
        <v>0</v>
      </c>
      <c r="F14" s="1821">
        <v>0</v>
      </c>
      <c r="G14" s="1821"/>
      <c r="H14" s="1819" t="s">
        <v>327</v>
      </c>
    </row>
    <row r="15" spans="2:8" ht="16" thickBot="1">
      <c r="B15" s="1825" t="s">
        <v>1884</v>
      </c>
      <c r="C15" s="1813">
        <f>C13+C14</f>
        <v>0.09</v>
      </c>
      <c r="D15" s="1813">
        <f t="shared" ref="D15:F15" si="0">D13+D14</f>
        <v>8.2500000000000004E-2</v>
      </c>
      <c r="E15" s="1813">
        <f t="shared" si="0"/>
        <v>5.9200000000000003E-2</v>
      </c>
      <c r="F15" s="1813">
        <f t="shared" si="0"/>
        <v>0.08</v>
      </c>
      <c r="G15" s="1813"/>
      <c r="H15" s="1822" t="s">
        <v>327</v>
      </c>
    </row>
    <row r="17" spans="2:8" ht="16" thickBot="1"/>
    <row r="18" spans="2:8" ht="23" customHeight="1">
      <c r="B18" s="2286" t="s">
        <v>125</v>
      </c>
      <c r="C18" s="2287"/>
      <c r="D18" s="2287"/>
      <c r="E18" s="2287"/>
      <c r="F18" s="2287"/>
      <c r="G18" s="2287"/>
      <c r="H18" s="2288"/>
    </row>
    <row r="19" spans="2:8" ht="16">
      <c r="B19" s="1824" t="s">
        <v>133</v>
      </c>
      <c r="C19" s="1803" t="s">
        <v>1519</v>
      </c>
      <c r="D19" s="1804">
        <v>504</v>
      </c>
      <c r="E19" s="1803" t="s">
        <v>1878</v>
      </c>
      <c r="F19" s="1803" t="s">
        <v>1873</v>
      </c>
      <c r="G19" s="1804" t="s">
        <v>678</v>
      </c>
      <c r="H19" s="1805" t="s">
        <v>104</v>
      </c>
    </row>
    <row r="20" spans="2:8">
      <c r="B20" s="1808" t="s">
        <v>135</v>
      </c>
      <c r="C20" s="1816"/>
      <c r="D20" s="1816">
        <v>3500000</v>
      </c>
      <c r="E20" s="1816">
        <v>2100000</v>
      </c>
      <c r="F20" s="1816"/>
      <c r="G20" s="1816"/>
      <c r="H20" s="1816">
        <f>SUM(C20:G20)</f>
        <v>5600000</v>
      </c>
    </row>
    <row r="21" spans="2:8">
      <c r="B21" s="1808" t="s">
        <v>137</v>
      </c>
      <c r="C21" s="1816"/>
      <c r="D21" s="1816"/>
      <c r="E21" s="1816"/>
      <c r="F21" s="1816"/>
      <c r="G21" s="1816"/>
      <c r="H21" s="1816">
        <f t="shared" ref="H21:H35" si="1">SUM(C21:G21)</f>
        <v>0</v>
      </c>
    </row>
    <row r="22" spans="2:8">
      <c r="B22" s="1808" t="s">
        <v>139</v>
      </c>
      <c r="C22" s="1816"/>
      <c r="D22" s="1816"/>
      <c r="E22" s="1816"/>
      <c r="F22" s="1816"/>
      <c r="G22" s="1816"/>
      <c r="H22" s="1816">
        <f t="shared" si="1"/>
        <v>0</v>
      </c>
    </row>
    <row r="23" spans="2:8">
      <c r="B23" s="1808" t="s">
        <v>143</v>
      </c>
      <c r="C23" s="1816"/>
      <c r="D23" s="1816"/>
      <c r="E23" s="1816"/>
      <c r="F23" s="1816"/>
      <c r="G23" s="1816"/>
      <c r="H23" s="1816">
        <f t="shared" si="1"/>
        <v>0</v>
      </c>
    </row>
    <row r="24" spans="2:8">
      <c r="B24" s="1808" t="s">
        <v>145</v>
      </c>
      <c r="C24" s="1816"/>
      <c r="D24" s="1816">
        <v>500000</v>
      </c>
      <c r="E24" s="1816"/>
      <c r="F24" s="1816">
        <v>500000</v>
      </c>
      <c r="G24" s="1816"/>
      <c r="H24" s="1816">
        <f t="shared" si="1"/>
        <v>1000000</v>
      </c>
    </row>
    <row r="25" spans="2:8">
      <c r="B25" s="1808" t="s">
        <v>147</v>
      </c>
      <c r="C25" s="1816"/>
      <c r="D25" s="1816"/>
      <c r="E25" s="1816"/>
      <c r="F25" s="1816"/>
      <c r="G25" s="1816"/>
      <c r="H25" s="1816">
        <f t="shared" si="1"/>
        <v>0</v>
      </c>
    </row>
    <row r="26" spans="2:8">
      <c r="B26" s="1808" t="s">
        <v>149</v>
      </c>
      <c r="C26" s="1816"/>
      <c r="D26" s="1816"/>
      <c r="E26" s="1816"/>
      <c r="F26" s="1816"/>
      <c r="G26" s="1816"/>
      <c r="H26" s="1816">
        <f t="shared" si="1"/>
        <v>0</v>
      </c>
    </row>
    <row r="27" spans="2:8">
      <c r="B27" s="1808" t="s">
        <v>151</v>
      </c>
      <c r="C27" s="1816">
        <v>50000</v>
      </c>
      <c r="D27" s="1816"/>
      <c r="E27" s="1816"/>
      <c r="F27" s="1816"/>
      <c r="G27" s="1816"/>
      <c r="H27" s="1816">
        <f t="shared" si="1"/>
        <v>50000</v>
      </c>
    </row>
    <row r="28" spans="2:8">
      <c r="B28" s="1808" t="s">
        <v>153</v>
      </c>
      <c r="C28" s="1816">
        <v>300000</v>
      </c>
      <c r="D28" s="1816"/>
      <c r="E28" s="1816"/>
      <c r="F28" s="1816">
        <v>500000</v>
      </c>
      <c r="G28" s="1816">
        <v>350000</v>
      </c>
      <c r="H28" s="1816">
        <f t="shared" si="1"/>
        <v>1150000</v>
      </c>
    </row>
    <row r="29" spans="2:8">
      <c r="B29" s="1808" t="s">
        <v>154</v>
      </c>
      <c r="C29" s="1816"/>
      <c r="D29" s="1816"/>
      <c r="E29" s="1816"/>
      <c r="F29" s="1816"/>
      <c r="G29" s="1816"/>
      <c r="H29" s="1816">
        <f t="shared" si="1"/>
        <v>0</v>
      </c>
    </row>
    <row r="30" spans="2:8">
      <c r="B30" s="1808" t="s">
        <v>159</v>
      </c>
      <c r="C30" s="1816"/>
      <c r="D30" s="1816"/>
      <c r="E30" s="1816"/>
      <c r="F30" s="1816"/>
      <c r="G30" s="1816"/>
      <c r="H30" s="1816">
        <f t="shared" si="1"/>
        <v>0</v>
      </c>
    </row>
    <row r="31" spans="2:8">
      <c r="B31" s="1809" t="s">
        <v>161</v>
      </c>
      <c r="C31" s="1816">
        <v>200000</v>
      </c>
      <c r="D31" s="1816"/>
      <c r="E31" s="1816"/>
      <c r="F31" s="1816"/>
      <c r="G31" s="1816"/>
      <c r="H31" s="1816">
        <f t="shared" si="1"/>
        <v>200000</v>
      </c>
    </row>
    <row r="32" spans="2:8">
      <c r="B32" s="1808" t="s">
        <v>162</v>
      </c>
      <c r="C32" s="1816"/>
      <c r="D32" s="1816"/>
      <c r="E32" s="1816"/>
      <c r="F32" s="1816"/>
      <c r="G32" s="1816"/>
      <c r="H32" s="1816">
        <f t="shared" si="1"/>
        <v>0</v>
      </c>
    </row>
    <row r="33" spans="2:15">
      <c r="B33" s="1808" t="s">
        <v>163</v>
      </c>
      <c r="C33" s="1816"/>
      <c r="D33" s="1816"/>
      <c r="E33" s="1816"/>
      <c r="F33" s="1816"/>
      <c r="G33" s="1816"/>
      <c r="H33" s="1816">
        <f t="shared" si="1"/>
        <v>0</v>
      </c>
    </row>
    <row r="34" spans="2:15">
      <c r="B34" s="1810" t="s">
        <v>102</v>
      </c>
      <c r="C34" s="1816">
        <v>150000</v>
      </c>
      <c r="D34" s="1816"/>
      <c r="E34" s="1816"/>
      <c r="F34" s="1816"/>
      <c r="G34" s="1816">
        <v>50000</v>
      </c>
      <c r="H34" s="1816">
        <f t="shared" si="1"/>
        <v>200000</v>
      </c>
    </row>
    <row r="35" spans="2:15">
      <c r="B35" s="1810" t="s">
        <v>1890</v>
      </c>
      <c r="C35" s="1816"/>
      <c r="D35" s="1816"/>
      <c r="E35" s="1816"/>
      <c r="F35" s="1816"/>
      <c r="G35" s="1816"/>
      <c r="H35" s="1816">
        <f t="shared" si="1"/>
        <v>0</v>
      </c>
    </row>
    <row r="36" spans="2:15">
      <c r="B36" s="1807" t="s">
        <v>104</v>
      </c>
      <c r="C36" s="1816">
        <f>SUM(C20:C35)</f>
        <v>700000</v>
      </c>
      <c r="D36" s="1816">
        <f>SUM(D20:D35)</f>
        <v>4000000</v>
      </c>
      <c r="E36" s="1816">
        <f>SUM(E20:E35)</f>
        <v>2100000</v>
      </c>
      <c r="F36" s="1816">
        <f>SUM(F20:F35)</f>
        <v>1000000</v>
      </c>
      <c r="G36" s="1816">
        <f>SUM(G20:G35)</f>
        <v>400000</v>
      </c>
      <c r="H36" s="1816">
        <f>SUM(C36:G36)</f>
        <v>8200000</v>
      </c>
    </row>
    <row r="37" spans="2:15" ht="16" thickBot="1">
      <c r="B37" s="1811" t="s">
        <v>1897</v>
      </c>
      <c r="C37" s="1813">
        <f>C36/$H$36</f>
        <v>8.5365853658536592E-2</v>
      </c>
      <c r="D37" s="1813">
        <f t="shared" ref="D37:H37" si="2">D36/$H$36</f>
        <v>0.48780487804878048</v>
      </c>
      <c r="E37" s="1813">
        <f t="shared" si="2"/>
        <v>0.25609756097560976</v>
      </c>
      <c r="F37" s="1813">
        <f t="shared" si="2"/>
        <v>0.12195121951219512</v>
      </c>
      <c r="G37" s="1813">
        <f t="shared" si="2"/>
        <v>4.878048780487805E-2</v>
      </c>
      <c r="H37" s="1814">
        <f t="shared" si="2"/>
        <v>1</v>
      </c>
    </row>
    <row r="38" spans="2:15" ht="16" thickBot="1"/>
    <row r="39" spans="2:15" ht="23" customHeight="1">
      <c r="B39" s="2289" t="s">
        <v>1896</v>
      </c>
      <c r="C39" s="2290"/>
      <c r="D39" s="2290"/>
      <c r="E39" s="2290"/>
      <c r="F39" s="2290"/>
      <c r="G39" s="2291"/>
      <c r="H39" s="2284" t="s">
        <v>1898</v>
      </c>
      <c r="I39" s="2284"/>
      <c r="J39" s="1834"/>
    </row>
    <row r="40" spans="2:15" ht="23" customHeight="1" thickBot="1">
      <c r="B40" s="2292" t="s">
        <v>1895</v>
      </c>
      <c r="C40" s="2293"/>
      <c r="D40" s="2293"/>
      <c r="E40" s="2293"/>
      <c r="F40" s="2293"/>
      <c r="G40" s="2294"/>
      <c r="H40" s="2285" t="s">
        <v>1895</v>
      </c>
      <c r="I40" s="2285"/>
      <c r="J40" s="1864"/>
    </row>
    <row r="41" spans="2:15" ht="23" customHeight="1">
      <c r="B41" s="670"/>
      <c r="C41" s="1795"/>
      <c r="D41" s="1795"/>
      <c r="E41" s="1795"/>
      <c r="F41" s="1795"/>
      <c r="G41" s="1795"/>
      <c r="H41" s="1868"/>
      <c r="I41" s="1869"/>
      <c r="J41" s="1870"/>
      <c r="O41" s="1947"/>
    </row>
    <row r="42" spans="2:15" ht="16">
      <c r="B42" s="670"/>
      <c r="C42" s="1801" t="s">
        <v>182</v>
      </c>
      <c r="D42" s="1797">
        <v>44926</v>
      </c>
      <c r="E42" s="1797">
        <v>45291</v>
      </c>
      <c r="F42" s="1797">
        <v>45657</v>
      </c>
      <c r="G42" s="1865">
        <v>45975</v>
      </c>
      <c r="H42" s="1835" t="s">
        <v>1892</v>
      </c>
      <c r="I42" s="1836" t="s">
        <v>1892</v>
      </c>
      <c r="J42" s="987"/>
    </row>
    <row r="43" spans="2:15" ht="16">
      <c r="B43" s="670"/>
      <c r="C43" s="1801" t="s">
        <v>183</v>
      </c>
      <c r="D43" s="1798">
        <v>12</v>
      </c>
      <c r="E43" s="1798">
        <v>12</v>
      </c>
      <c r="F43" s="1798">
        <v>12</v>
      </c>
      <c r="G43" s="1866">
        <v>11</v>
      </c>
      <c r="H43" s="1837" t="s">
        <v>1893</v>
      </c>
      <c r="I43" s="1838" t="s">
        <v>1893</v>
      </c>
      <c r="J43" s="987"/>
    </row>
    <row r="44" spans="2:15" ht="16">
      <c r="B44" s="670"/>
      <c r="C44" s="1801" t="s">
        <v>185</v>
      </c>
      <c r="D44" s="1855" t="s">
        <v>186</v>
      </c>
      <c r="E44" s="1855" t="s">
        <v>186</v>
      </c>
      <c r="F44" s="1855" t="s">
        <v>186</v>
      </c>
      <c r="G44" s="1867" t="s">
        <v>187</v>
      </c>
      <c r="H44" s="1871" t="s">
        <v>1894</v>
      </c>
      <c r="I44" s="1858" t="s">
        <v>1894</v>
      </c>
      <c r="J44" s="987"/>
    </row>
    <row r="45" spans="2:15" ht="16">
      <c r="B45" s="670"/>
      <c r="C45" s="1801" t="s">
        <v>188</v>
      </c>
      <c r="D45" s="1855" t="s">
        <v>924</v>
      </c>
      <c r="E45" s="1855" t="s">
        <v>924</v>
      </c>
      <c r="F45" s="1855" t="s">
        <v>924</v>
      </c>
      <c r="G45" s="1867" t="s">
        <v>924</v>
      </c>
      <c r="H45" s="1872">
        <v>1</v>
      </c>
      <c r="I45" s="1859">
        <v>2</v>
      </c>
      <c r="J45" s="987"/>
    </row>
    <row r="46" spans="2:15" ht="16">
      <c r="B46" s="670"/>
      <c r="C46" s="1802"/>
      <c r="D46" s="1826"/>
      <c r="E46" s="1826"/>
      <c r="F46" s="1826"/>
      <c r="G46" s="1826"/>
      <c r="H46" s="1839"/>
      <c r="I46" s="1840"/>
      <c r="J46" s="987"/>
    </row>
    <row r="47" spans="2:15">
      <c r="B47" s="1827"/>
      <c r="C47" s="1828" t="s">
        <v>194</v>
      </c>
      <c r="D47" s="2218">
        <v>3177438</v>
      </c>
      <c r="E47" s="2218">
        <v>3528260</v>
      </c>
      <c r="F47" s="2218">
        <v>3758825</v>
      </c>
      <c r="G47" s="2219">
        <v>3222879</v>
      </c>
      <c r="H47" s="1873">
        <v>0</v>
      </c>
      <c r="I47" s="1860">
        <v>0</v>
      </c>
      <c r="J47" s="987"/>
    </row>
    <row r="48" spans="2:15">
      <c r="B48" s="1796"/>
      <c r="C48" s="1828" t="s">
        <v>195</v>
      </c>
      <c r="D48" s="2218">
        <v>1545099</v>
      </c>
      <c r="E48" s="2218">
        <v>1911206</v>
      </c>
      <c r="F48" s="2218">
        <v>2174000</v>
      </c>
      <c r="G48" s="2219">
        <v>1327655</v>
      </c>
      <c r="H48" s="1873">
        <v>0</v>
      </c>
      <c r="I48" s="1860">
        <v>0</v>
      </c>
      <c r="J48" s="987"/>
    </row>
    <row r="49" spans="2:10">
      <c r="B49" s="1796"/>
      <c r="C49" s="1828" t="s">
        <v>196</v>
      </c>
      <c r="D49" s="2218">
        <v>1632339</v>
      </c>
      <c r="E49" s="2218">
        <v>1617054</v>
      </c>
      <c r="F49" s="2218">
        <v>1584825</v>
      </c>
      <c r="G49" s="2219">
        <v>1895224</v>
      </c>
      <c r="H49" s="1873">
        <v>0</v>
      </c>
      <c r="I49" s="1860">
        <v>0</v>
      </c>
      <c r="J49" s="987"/>
    </row>
    <row r="50" spans="2:10">
      <c r="B50" s="1796"/>
      <c r="C50" s="1828"/>
      <c r="D50" s="2220"/>
      <c r="E50" s="2220"/>
      <c r="F50" s="2220"/>
      <c r="G50" s="2220"/>
      <c r="H50" s="1842"/>
      <c r="I50" s="1843"/>
      <c r="J50" s="987"/>
    </row>
    <row r="51" spans="2:10">
      <c r="B51" s="1796"/>
      <c r="C51" s="1828" t="s">
        <v>219</v>
      </c>
      <c r="D51" s="2218">
        <v>1328718</v>
      </c>
      <c r="E51" s="2218">
        <v>1438371</v>
      </c>
      <c r="F51" s="2218">
        <v>1454558</v>
      </c>
      <c r="G51" s="2219">
        <v>1520985</v>
      </c>
      <c r="H51" s="1873">
        <v>0</v>
      </c>
      <c r="I51" s="1860">
        <v>0</v>
      </c>
      <c r="J51" s="987"/>
    </row>
    <row r="52" spans="2:10">
      <c r="B52" s="1796"/>
      <c r="C52" s="1828"/>
      <c r="D52" s="2221"/>
      <c r="E52" s="2221"/>
      <c r="F52" s="2221"/>
      <c r="G52" s="2221"/>
      <c r="H52" s="1842"/>
      <c r="I52" s="1843"/>
      <c r="J52" s="987"/>
    </row>
    <row r="53" spans="2:10">
      <c r="B53" s="1796"/>
      <c r="C53" s="1828" t="s">
        <v>220</v>
      </c>
      <c r="D53" s="2218">
        <v>303621</v>
      </c>
      <c r="E53" s="2218">
        <v>178683</v>
      </c>
      <c r="F53" s="2218">
        <v>130267</v>
      </c>
      <c r="G53" s="2219">
        <v>374239</v>
      </c>
      <c r="H53" s="1873">
        <v>0</v>
      </c>
      <c r="I53" s="1860">
        <v>0</v>
      </c>
      <c r="J53" s="987"/>
    </row>
    <row r="54" spans="2:10">
      <c r="B54" s="1796"/>
      <c r="C54" s="1828"/>
      <c r="D54" s="2221"/>
      <c r="E54" s="2221"/>
      <c r="F54" s="2221"/>
      <c r="G54" s="2221"/>
      <c r="H54" s="1844"/>
      <c r="I54" s="1845"/>
      <c r="J54" s="987"/>
    </row>
    <row r="55" spans="2:10">
      <c r="B55" s="1796"/>
      <c r="C55" s="1828" t="s">
        <v>223</v>
      </c>
      <c r="D55" s="2218">
        <v>0</v>
      </c>
      <c r="E55" s="2218">
        <v>0</v>
      </c>
      <c r="F55" s="2218">
        <v>0</v>
      </c>
      <c r="G55" s="2219">
        <v>0</v>
      </c>
      <c r="H55" s="1873">
        <v>0</v>
      </c>
      <c r="I55" s="1860">
        <v>0</v>
      </c>
      <c r="J55" s="987"/>
    </row>
    <row r="56" spans="2:10">
      <c r="B56" s="1796"/>
      <c r="C56" s="1828"/>
      <c r="D56" s="2221"/>
      <c r="E56" s="2221"/>
      <c r="F56" s="2221"/>
      <c r="G56" s="2221"/>
      <c r="H56" s="1842"/>
      <c r="I56" s="1843"/>
      <c r="J56" s="987"/>
    </row>
    <row r="57" spans="2:10">
      <c r="B57" s="1796"/>
      <c r="C57" s="1828" t="s">
        <v>224</v>
      </c>
      <c r="D57" s="2218">
        <v>303621</v>
      </c>
      <c r="E57" s="2218">
        <v>178683</v>
      </c>
      <c r="F57" s="2218">
        <v>130267</v>
      </c>
      <c r="G57" s="2219">
        <v>374239</v>
      </c>
      <c r="H57" s="1873">
        <v>0</v>
      </c>
      <c r="I57" s="1860">
        <v>0</v>
      </c>
      <c r="J57" s="987"/>
    </row>
    <row r="58" spans="2:10">
      <c r="B58" s="1796"/>
      <c r="C58" s="1828" t="s">
        <v>225</v>
      </c>
      <c r="D58" s="2218">
        <v>0</v>
      </c>
      <c r="E58" s="2218">
        <v>0</v>
      </c>
      <c r="F58" s="2218">
        <v>0</v>
      </c>
      <c r="G58" s="2219">
        <v>0</v>
      </c>
      <c r="H58" s="1873">
        <v>0</v>
      </c>
      <c r="I58" s="1860">
        <v>0</v>
      </c>
      <c r="J58" s="987"/>
    </row>
    <row r="59" spans="2:10">
      <c r="B59" s="1796"/>
      <c r="C59" s="1799"/>
      <c r="D59" s="1832"/>
      <c r="E59" s="1832"/>
      <c r="F59" s="1832"/>
      <c r="G59" s="1832"/>
      <c r="H59" s="1846"/>
      <c r="I59" s="1841"/>
      <c r="J59" s="987"/>
    </row>
    <row r="60" spans="2:10">
      <c r="B60" s="1796"/>
      <c r="C60" s="1828" t="s">
        <v>226</v>
      </c>
      <c r="D60" s="2218">
        <v>303621</v>
      </c>
      <c r="E60" s="2218">
        <v>178683</v>
      </c>
      <c r="F60" s="2218">
        <v>130267</v>
      </c>
      <c r="G60" s="2219">
        <v>374239</v>
      </c>
      <c r="H60" s="1873">
        <v>0</v>
      </c>
      <c r="I60" s="1860">
        <v>0</v>
      </c>
      <c r="J60" s="987"/>
    </row>
    <row r="61" spans="2:10">
      <c r="B61" s="1796"/>
      <c r="C61" s="1801"/>
      <c r="D61" s="1832"/>
      <c r="E61" s="1832"/>
      <c r="F61" s="1832"/>
      <c r="G61" s="1832"/>
      <c r="H61" s="1846"/>
      <c r="I61" s="1841"/>
      <c r="J61" s="987"/>
    </row>
    <row r="62" spans="2:10">
      <c r="B62" s="1796"/>
      <c r="C62" s="2215" t="s">
        <v>227</v>
      </c>
      <c r="D62" s="1833"/>
      <c r="E62" s="1833"/>
      <c r="F62" s="1833"/>
      <c r="G62" s="1833"/>
      <c r="H62" s="1847"/>
      <c r="I62" s="1848"/>
      <c r="J62" s="987"/>
    </row>
    <row r="63" spans="2:10">
      <c r="B63" s="1796"/>
      <c r="C63" s="1829" t="s">
        <v>1902</v>
      </c>
      <c r="D63" s="2222">
        <v>282875</v>
      </c>
      <c r="E63" s="2222">
        <v>283325</v>
      </c>
      <c r="F63" s="2222">
        <v>293015</v>
      </c>
      <c r="G63" s="2222">
        <v>3445</v>
      </c>
      <c r="H63" s="1849"/>
      <c r="I63" s="1850"/>
      <c r="J63" s="987"/>
    </row>
    <row r="64" spans="2:10">
      <c r="B64" s="1796"/>
      <c r="C64" s="1856" t="s">
        <v>228</v>
      </c>
      <c r="D64" s="2222">
        <v>130948</v>
      </c>
      <c r="E64" s="2222">
        <v>150433</v>
      </c>
      <c r="F64" s="2222">
        <v>155528</v>
      </c>
      <c r="G64" s="2223">
        <v>320000</v>
      </c>
      <c r="H64" s="1849">
        <v>0</v>
      </c>
      <c r="I64" s="1850">
        <v>0</v>
      </c>
      <c r="J64" s="987"/>
    </row>
    <row r="65" spans="2:10">
      <c r="B65" s="1796"/>
      <c r="C65" s="1856" t="s">
        <v>228</v>
      </c>
      <c r="D65" s="2222"/>
      <c r="E65" s="2222"/>
      <c r="F65" s="2222"/>
      <c r="G65" s="2223">
        <v>8750</v>
      </c>
      <c r="H65" s="1849">
        <v>0</v>
      </c>
      <c r="I65" s="1850">
        <v>0</v>
      </c>
      <c r="J65" s="987"/>
    </row>
    <row r="66" spans="2:10">
      <c r="B66" s="1796"/>
      <c r="C66" s="1857" t="s">
        <v>229</v>
      </c>
      <c r="D66" s="2224">
        <v>0</v>
      </c>
      <c r="E66" s="2224">
        <v>0</v>
      </c>
      <c r="F66" s="2224">
        <v>0</v>
      </c>
      <c r="G66" s="2225">
        <v>0</v>
      </c>
      <c r="H66" s="1851">
        <v>0</v>
      </c>
      <c r="I66" s="1852">
        <v>0</v>
      </c>
      <c r="J66" s="987"/>
    </row>
    <row r="67" spans="2:10">
      <c r="B67" s="1796"/>
      <c r="C67" s="1830"/>
      <c r="D67" s="2226"/>
      <c r="E67" s="2226"/>
      <c r="F67" s="2226"/>
      <c r="G67" s="2226"/>
      <c r="H67" s="1853"/>
      <c r="I67" s="1854"/>
      <c r="J67" s="987"/>
    </row>
    <row r="68" spans="2:10">
      <c r="B68" s="1796"/>
      <c r="C68" s="2235" t="s">
        <v>2042</v>
      </c>
      <c r="D68" s="2226"/>
      <c r="E68" s="2226"/>
      <c r="F68" s="2226"/>
      <c r="G68" s="2226"/>
      <c r="H68" s="1853"/>
      <c r="I68" s="1854"/>
      <c r="J68" s="987"/>
    </row>
    <row r="69" spans="2:10">
      <c r="B69" s="1796"/>
      <c r="C69" s="1830" t="s">
        <v>230</v>
      </c>
      <c r="D69" s="2227">
        <v>717444</v>
      </c>
      <c r="E69" s="2227">
        <v>612441</v>
      </c>
      <c r="F69" s="2227">
        <v>578810</v>
      </c>
      <c r="G69" s="2228">
        <v>706434</v>
      </c>
      <c r="H69" s="1874">
        <v>0</v>
      </c>
      <c r="I69" s="1861">
        <v>0</v>
      </c>
      <c r="J69" s="987"/>
    </row>
    <row r="70" spans="2:10">
      <c r="B70" s="1796"/>
      <c r="C70" s="2215"/>
      <c r="D70" s="1833"/>
      <c r="E70" s="1833"/>
      <c r="F70" s="1833"/>
      <c r="G70" s="1833"/>
      <c r="H70" s="1847"/>
      <c r="I70" s="1848"/>
      <c r="J70" s="987"/>
    </row>
    <row r="71" spans="2:10">
      <c r="B71" s="1796"/>
      <c r="C71" s="1801" t="s">
        <v>2041</v>
      </c>
      <c r="D71" s="2229">
        <v>0</v>
      </c>
      <c r="E71" s="2229">
        <v>0</v>
      </c>
      <c r="F71" s="2229">
        <v>0</v>
      </c>
      <c r="G71" s="2230">
        <v>0</v>
      </c>
      <c r="H71" s="1875">
        <v>0</v>
      </c>
      <c r="I71" s="1862">
        <v>0</v>
      </c>
      <c r="J71" s="987"/>
    </row>
    <row r="72" spans="2:10">
      <c r="B72" s="1796"/>
      <c r="C72" s="1801"/>
      <c r="D72" s="2231"/>
      <c r="E72" s="2231"/>
      <c r="F72" s="2231"/>
      <c r="G72" s="2231"/>
      <c r="H72" s="1875"/>
      <c r="I72" s="1862"/>
      <c r="J72" s="987"/>
    </row>
    <row r="73" spans="2:10">
      <c r="B73" s="1796"/>
      <c r="C73" s="2215" t="s">
        <v>2038</v>
      </c>
      <c r="D73" s="2231"/>
      <c r="E73" s="2231"/>
      <c r="F73" s="2231"/>
      <c r="G73" s="2231"/>
      <c r="H73" s="1875"/>
      <c r="I73" s="1862"/>
      <c r="J73" s="987"/>
    </row>
    <row r="74" spans="2:10">
      <c r="B74" s="1796"/>
      <c r="C74" s="1801" t="s">
        <v>1899</v>
      </c>
      <c r="D74" s="2229">
        <v>0</v>
      </c>
      <c r="E74" s="2229">
        <v>0</v>
      </c>
      <c r="F74" s="2229">
        <v>0</v>
      </c>
      <c r="G74" s="2230">
        <v>0</v>
      </c>
      <c r="H74" s="1875">
        <v>0</v>
      </c>
      <c r="I74" s="1862">
        <v>0</v>
      </c>
      <c r="J74" s="987"/>
    </row>
    <row r="75" spans="2:10">
      <c r="B75" s="1796"/>
      <c r="C75" s="1801" t="s">
        <v>1900</v>
      </c>
      <c r="D75" s="2229">
        <v>0</v>
      </c>
      <c r="E75" s="2229">
        <v>0</v>
      </c>
      <c r="F75" s="2229">
        <v>0</v>
      </c>
      <c r="G75" s="2230">
        <v>0</v>
      </c>
      <c r="H75" s="1875">
        <v>0</v>
      </c>
      <c r="I75" s="1862">
        <v>0</v>
      </c>
      <c r="J75" s="987"/>
    </row>
    <row r="76" spans="2:10">
      <c r="B76" s="1796"/>
      <c r="C76" s="1801" t="s">
        <v>1901</v>
      </c>
      <c r="D76" s="2229">
        <v>0</v>
      </c>
      <c r="E76" s="2229">
        <v>0</v>
      </c>
      <c r="F76" s="2229">
        <v>0</v>
      </c>
      <c r="G76" s="2230">
        <v>0</v>
      </c>
      <c r="H76" s="1875">
        <v>0</v>
      </c>
      <c r="I76" s="1862">
        <v>0</v>
      </c>
      <c r="J76" s="987"/>
    </row>
    <row r="77" spans="2:10">
      <c r="B77" s="1796"/>
      <c r="C77" s="1831" t="s">
        <v>1873</v>
      </c>
      <c r="D77" s="2229">
        <v>0</v>
      </c>
      <c r="E77" s="2229">
        <v>0</v>
      </c>
      <c r="F77" s="2229">
        <v>0</v>
      </c>
      <c r="G77" s="2230">
        <v>0</v>
      </c>
      <c r="H77" s="1875">
        <v>0</v>
      </c>
      <c r="I77" s="1862">
        <v>0</v>
      </c>
      <c r="J77" s="987"/>
    </row>
    <row r="78" spans="2:10">
      <c r="B78" s="1796"/>
      <c r="C78" s="1831" t="s">
        <v>107</v>
      </c>
      <c r="D78" s="2229">
        <v>0</v>
      </c>
      <c r="E78" s="2229">
        <v>0</v>
      </c>
      <c r="F78" s="2229">
        <v>0</v>
      </c>
      <c r="G78" s="2230">
        <v>0</v>
      </c>
      <c r="H78" s="1875">
        <v>0</v>
      </c>
      <c r="I78" s="1862">
        <v>0</v>
      </c>
      <c r="J78" s="987"/>
    </row>
    <row r="79" spans="2:10">
      <c r="B79" s="1796"/>
      <c r="C79" s="1831" t="s">
        <v>237</v>
      </c>
      <c r="D79" s="2229">
        <v>0</v>
      </c>
      <c r="E79" s="2229">
        <v>0</v>
      </c>
      <c r="F79" s="2229">
        <v>0</v>
      </c>
      <c r="G79" s="2230">
        <v>0</v>
      </c>
      <c r="H79" s="1875">
        <v>0</v>
      </c>
      <c r="I79" s="1862">
        <v>0</v>
      </c>
      <c r="J79" s="987"/>
    </row>
    <row r="80" spans="2:10">
      <c r="B80" s="1796"/>
      <c r="C80" s="1800"/>
      <c r="D80" s="1800"/>
      <c r="E80" s="1800"/>
      <c r="F80" s="1800"/>
      <c r="G80" s="1800"/>
      <c r="H80" s="1839"/>
      <c r="I80" s="1840"/>
      <c r="J80" s="987"/>
    </row>
    <row r="81" spans="2:11">
      <c r="B81" s="1796"/>
      <c r="C81" s="1828" t="s">
        <v>238</v>
      </c>
      <c r="D81" s="2234">
        <v>0</v>
      </c>
      <c r="E81" s="2234">
        <v>0</v>
      </c>
      <c r="F81" s="2234">
        <v>0</v>
      </c>
      <c r="G81" s="2234">
        <v>0</v>
      </c>
      <c r="H81" s="2232">
        <v>0</v>
      </c>
      <c r="I81" s="1863">
        <v>0</v>
      </c>
      <c r="J81" s="987"/>
    </row>
    <row r="82" spans="2:11">
      <c r="B82" s="1800"/>
      <c r="C82" s="1828"/>
      <c r="D82" s="2216"/>
      <c r="E82" s="2216"/>
      <c r="F82" s="2216"/>
      <c r="G82" s="2216"/>
      <c r="H82" s="2217"/>
      <c r="I82" s="2217"/>
      <c r="J82" s="987"/>
    </row>
    <row r="83" spans="2:11">
      <c r="B83" s="1876"/>
      <c r="C83" s="1935"/>
      <c r="D83" s="1937"/>
      <c r="E83" s="1937"/>
      <c r="F83" s="1937"/>
      <c r="G83" s="1938"/>
    </row>
    <row r="84" spans="2:11">
      <c r="B84" s="1876"/>
      <c r="C84" s="1935" t="s">
        <v>243</v>
      </c>
      <c r="D84" s="1943"/>
      <c r="E84" s="1943"/>
      <c r="F84" s="1943"/>
      <c r="G84" s="1944"/>
    </row>
    <row r="85" spans="2:11">
      <c r="B85" s="1876"/>
      <c r="C85" s="1935" t="s">
        <v>244</v>
      </c>
      <c r="D85" s="1943"/>
      <c r="E85" s="1943"/>
      <c r="F85" s="1943"/>
      <c r="G85" s="1944"/>
      <c r="J85" s="2233"/>
    </row>
    <row r="86" spans="2:11">
      <c r="B86" s="1876"/>
      <c r="C86" s="1935"/>
      <c r="D86" s="1945"/>
      <c r="E86" s="1945"/>
      <c r="F86" s="1945"/>
      <c r="G86" s="1946"/>
    </row>
    <row r="87" spans="2:11">
      <c r="B87" s="1876"/>
      <c r="C87" s="1935" t="s">
        <v>2039</v>
      </c>
      <c r="D87" s="1943"/>
      <c r="E87" s="1943"/>
      <c r="F87" s="1943"/>
      <c r="G87" s="1944"/>
    </row>
    <row r="88" spans="2:11">
      <c r="B88" s="1876"/>
      <c r="C88" s="1935" t="s">
        <v>2040</v>
      </c>
      <c r="D88" s="1943"/>
      <c r="E88" s="1943"/>
      <c r="F88" s="1943"/>
      <c r="G88" s="1944"/>
    </row>
    <row r="89" spans="2:11">
      <c r="B89" s="1876"/>
      <c r="C89" s="1935"/>
      <c r="D89" s="1878"/>
      <c r="E89" s="1878"/>
      <c r="F89" s="1878"/>
      <c r="G89" s="1936"/>
    </row>
    <row r="90" spans="2:11">
      <c r="B90" s="2295"/>
      <c r="C90" s="2296"/>
      <c r="D90" s="1939"/>
      <c r="E90" s="1939"/>
      <c r="F90" s="1939"/>
      <c r="G90" s="1877"/>
    </row>
    <row r="91" spans="2:11">
      <c r="B91" s="1876"/>
      <c r="C91" s="1940" t="s">
        <v>261</v>
      </c>
      <c r="D91" s="1794"/>
      <c r="E91" s="1794"/>
      <c r="F91" s="1794"/>
      <c r="G91" s="1941"/>
    </row>
    <row r="92" spans="2:11">
      <c r="B92" s="1876"/>
      <c r="C92" s="1935"/>
      <c r="D92" s="1937"/>
      <c r="E92" s="1937"/>
      <c r="F92" s="1937"/>
      <c r="G92" s="1938"/>
    </row>
    <row r="93" spans="2:11" ht="16" thickBot="1">
      <c r="B93" s="2279"/>
      <c r="C93" s="2280"/>
      <c r="D93" s="2280"/>
      <c r="E93" s="1879"/>
      <c r="F93" s="1879"/>
      <c r="G93" s="1942"/>
    </row>
    <row r="94" spans="2:11" ht="16" thickBot="1">
      <c r="B94" s="1880"/>
      <c r="C94" s="1880"/>
      <c r="D94" s="1880"/>
      <c r="E94" s="1880"/>
      <c r="F94" s="1880"/>
      <c r="G94" s="1880"/>
      <c r="H94" s="1880"/>
      <c r="I94" s="1880"/>
      <c r="J94" s="1880"/>
      <c r="K94" s="1880"/>
    </row>
    <row r="95" spans="2:11" ht="16">
      <c r="B95" s="2281" t="s">
        <v>262</v>
      </c>
      <c r="C95" s="2282"/>
      <c r="D95" s="2282"/>
      <c r="E95" s="2282"/>
      <c r="F95" s="2282"/>
      <c r="G95" s="2282"/>
      <c r="H95" s="2282"/>
      <c r="I95" s="2282"/>
      <c r="J95" s="2282"/>
      <c r="K95" s="2283"/>
    </row>
    <row r="96" spans="2:11">
      <c r="B96" s="1881" t="s">
        <v>263</v>
      </c>
      <c r="C96" s="1882" t="s">
        <v>264</v>
      </c>
      <c r="D96" s="1882" t="s">
        <v>265</v>
      </c>
      <c r="E96" s="1882" t="s">
        <v>266</v>
      </c>
      <c r="F96" s="1883" t="s">
        <v>267</v>
      </c>
      <c r="G96" s="1882" t="s">
        <v>268</v>
      </c>
      <c r="H96" s="1882" t="s">
        <v>269</v>
      </c>
      <c r="I96" s="1882" t="s">
        <v>270</v>
      </c>
      <c r="J96" s="1882" t="s">
        <v>271</v>
      </c>
      <c r="K96" s="1884" t="s">
        <v>272</v>
      </c>
    </row>
    <row r="97" spans="2:11">
      <c r="B97" s="1885"/>
      <c r="C97" s="1886">
        <v>0</v>
      </c>
      <c r="D97" s="1886">
        <v>0</v>
      </c>
      <c r="E97" s="1887"/>
      <c r="F97" s="1888"/>
      <c r="G97" s="1889">
        <f>IFERROR(Table223[[#This Row],[Current Balance]]/#REF!,0)</f>
        <v>0</v>
      </c>
      <c r="H97" s="1890">
        <f>IFERROR(IF(Table223[[#This Row],[Refinance?]]="Yes",PMT($C$36/12,$C$39,-Table223[[#This Row],[Current Balance]]),0),0)</f>
        <v>0</v>
      </c>
      <c r="I97" s="1891">
        <f>IFERROR((Table223[[#This Row],[Mthly Pmt]]-Table223[[#This Row],[Refi Pmt]])/Table223[[#This Row],[Mthly Pmt]],0)</f>
        <v>0</v>
      </c>
      <c r="J97" s="1892">
        <f>IF(Table223[[#This Row],[Refinance?]]="Yes",0,Table223[[#This Row],[Mthly Pmt]])</f>
        <v>0</v>
      </c>
      <c r="K97" s="1893"/>
    </row>
    <row r="98" spans="2:11">
      <c r="B98" s="1894"/>
      <c r="C98" s="1895">
        <v>0</v>
      </c>
      <c r="D98" s="1895">
        <v>0</v>
      </c>
      <c r="E98" s="1896"/>
      <c r="F98" s="1897"/>
      <c r="G98" s="1898">
        <f>IFERROR(Table223[[#This Row],[Current Balance]]/#REF!,0)</f>
        <v>0</v>
      </c>
      <c r="H98" s="1899">
        <f>IFERROR(IF(Table223[[#This Row],[Refinance?]]="Yes",PMT($C$36/12,$C$39,-Table223[[#This Row],[Current Balance]]),0),0)</f>
        <v>0</v>
      </c>
      <c r="I98" s="1900">
        <f>IFERROR((Table223[[#This Row],[Mthly Pmt]]-Table223[[#This Row],[Refi Pmt]])/Table223[[#This Row],[Mthly Pmt]],0)</f>
        <v>0</v>
      </c>
      <c r="J98" s="1901">
        <f>IF(Table223[[#This Row],[Refinance?]]="Yes",0,Table223[[#This Row],[Mthly Pmt]])</f>
        <v>0</v>
      </c>
      <c r="K98" s="1902"/>
    </row>
    <row r="99" spans="2:11">
      <c r="B99" s="1885"/>
      <c r="C99" s="1886">
        <v>0</v>
      </c>
      <c r="D99" s="1886">
        <v>0</v>
      </c>
      <c r="E99" s="1903"/>
      <c r="F99" s="1888"/>
      <c r="G99" s="1889">
        <f>IFERROR(Table223[[#This Row],[Current Balance]]/#REF!,0)</f>
        <v>0</v>
      </c>
      <c r="H99" s="1890">
        <f>IFERROR(IF(Table223[[#This Row],[Refinance?]]="Yes",PMT($C$36/12,$C$39,-Table223[[#This Row],[Current Balance]]),0),0)</f>
        <v>0</v>
      </c>
      <c r="I99" s="1904">
        <f>IFERROR((Table223[[#This Row],[Mthly Pmt]]-Table223[[#This Row],[Refi Pmt]])/Table223[[#This Row],[Mthly Pmt]],0)</f>
        <v>0</v>
      </c>
      <c r="J99" s="1905">
        <f>IF(Table223[[#This Row],[Refinance?]]="Yes",0,Table223[[#This Row],[Mthly Pmt]])</f>
        <v>0</v>
      </c>
      <c r="K99" s="1902"/>
    </row>
    <row r="100" spans="2:11">
      <c r="B100" s="1894"/>
      <c r="C100" s="1895">
        <v>0</v>
      </c>
      <c r="D100" s="1895">
        <v>0</v>
      </c>
      <c r="E100" s="1896"/>
      <c r="F100" s="1897"/>
      <c r="G100" s="1898">
        <f>IFERROR(Table223[[#This Row],[Current Balance]]/#REF!,0)</f>
        <v>0</v>
      </c>
      <c r="H100" s="1899">
        <f>IFERROR(IF(Table223[[#This Row],[Refinance?]]="Yes",PMT($C$36/12,$C$39,-Table223[[#This Row],[Current Balance]]),0),0)</f>
        <v>0</v>
      </c>
      <c r="I100" s="1900">
        <f>IFERROR((Table223[[#This Row],[Mthly Pmt]]-Table223[[#This Row],[Refi Pmt]])/Table223[[#This Row],[Mthly Pmt]],0)</f>
        <v>0</v>
      </c>
      <c r="J100" s="1901">
        <f>IF(Table223[[#This Row],[Refinance?]]="Yes",0,Table223[[#This Row],[Mthly Pmt]])</f>
        <v>0</v>
      </c>
      <c r="K100" s="1902"/>
    </row>
    <row r="101" spans="2:11">
      <c r="B101" s="1885"/>
      <c r="C101" s="1886">
        <v>0</v>
      </c>
      <c r="D101" s="1886">
        <v>0</v>
      </c>
      <c r="E101" s="1903"/>
      <c r="F101" s="1888"/>
      <c r="G101" s="1889">
        <f>IFERROR(Table223[[#This Row],[Current Balance]]/#REF!,0)</f>
        <v>0</v>
      </c>
      <c r="H101" s="1890">
        <f>IFERROR(IF(Table223[[#This Row],[Refinance?]]="Yes",PMT($C$36/12,$C$39,-Table223[[#This Row],[Current Balance]]),0),0)</f>
        <v>0</v>
      </c>
      <c r="I101" s="1904">
        <f>IFERROR((Table223[[#This Row],[Mthly Pmt]]-Table223[[#This Row],[Refi Pmt]])/Table223[[#This Row],[Mthly Pmt]],0)</f>
        <v>0</v>
      </c>
      <c r="J101" s="1905">
        <f>IF(Table223[[#This Row],[Refinance?]]="Yes",0,Table223[[#This Row],[Mthly Pmt]])</f>
        <v>0</v>
      </c>
      <c r="K101" s="1902"/>
    </row>
    <row r="102" spans="2:11">
      <c r="B102" s="1894"/>
      <c r="C102" s="1895">
        <v>0</v>
      </c>
      <c r="D102" s="1895">
        <v>0</v>
      </c>
      <c r="E102" s="1896"/>
      <c r="F102" s="1897"/>
      <c r="G102" s="1898">
        <f>IFERROR(Table223[[#This Row],[Current Balance]]/#REF!,0)</f>
        <v>0</v>
      </c>
      <c r="H102" s="1899">
        <f>IFERROR(IF(Table223[[#This Row],[Refinance?]]="Yes",PMT($C$36/12,$C$39,-Table223[[#This Row],[Current Balance]]),0),0)</f>
        <v>0</v>
      </c>
      <c r="I102" s="1900">
        <f>IFERROR((Table223[[#This Row],[Mthly Pmt]]-Table223[[#This Row],[Refi Pmt]])/Table223[[#This Row],[Mthly Pmt]],0)</f>
        <v>0</v>
      </c>
      <c r="J102" s="1901">
        <f>IF(Table223[[#This Row],[Refinance?]]="Yes",0,Table223[[#This Row],[Mthly Pmt]])</f>
        <v>0</v>
      </c>
      <c r="K102" s="1902"/>
    </row>
    <row r="103" spans="2:11">
      <c r="B103" s="1885"/>
      <c r="C103" s="1886">
        <v>0</v>
      </c>
      <c r="D103" s="1886">
        <v>0</v>
      </c>
      <c r="E103" s="1903"/>
      <c r="F103" s="1888"/>
      <c r="G103" s="1889">
        <f>IFERROR(Table223[[#This Row],[Current Balance]]/#REF!,0)</f>
        <v>0</v>
      </c>
      <c r="H103" s="1890">
        <f>IFERROR(IF(Table223[[#This Row],[Refinance?]]="Yes",PMT($C$36/12,$C$39,-Table223[[#This Row],[Current Balance]]),0),0)</f>
        <v>0</v>
      </c>
      <c r="I103" s="1904">
        <f>IFERROR((Table223[[#This Row],[Mthly Pmt]]-Table223[[#This Row],[Refi Pmt]])/Table223[[#This Row],[Mthly Pmt]],0)</f>
        <v>0</v>
      </c>
      <c r="J103" s="1905">
        <f>IF(Table223[[#This Row],[Refinance?]]="Yes",0,Table223[[#This Row],[Mthly Pmt]])</f>
        <v>0</v>
      </c>
      <c r="K103" s="1902"/>
    </row>
    <row r="104" spans="2:11">
      <c r="B104" s="1894"/>
      <c r="C104" s="1895">
        <v>0</v>
      </c>
      <c r="D104" s="1895">
        <v>0</v>
      </c>
      <c r="E104" s="1896"/>
      <c r="F104" s="1897"/>
      <c r="G104" s="1898">
        <f>IFERROR(Table223[[#This Row],[Current Balance]]/#REF!,0)</f>
        <v>0</v>
      </c>
      <c r="H104" s="1899">
        <f>IFERROR(IF(Table223[[#This Row],[Refinance?]]="Yes",PMT($C$36/12,$C$39,-Table223[[#This Row],[Current Balance]]),0),0)</f>
        <v>0</v>
      </c>
      <c r="I104" s="1900">
        <f>IFERROR((Table223[[#This Row],[Mthly Pmt]]-Table223[[#This Row],[Refi Pmt]])/Table223[[#This Row],[Mthly Pmt]],0)</f>
        <v>0</v>
      </c>
      <c r="J104" s="1901">
        <f>IF(Table223[[#This Row],[Refinance?]]="Yes",0,Table223[[#This Row],[Mthly Pmt]])</f>
        <v>0</v>
      </c>
      <c r="K104" s="1902"/>
    </row>
    <row r="105" spans="2:11">
      <c r="B105" s="1885"/>
      <c r="C105" s="1886">
        <v>0</v>
      </c>
      <c r="D105" s="1886">
        <v>0</v>
      </c>
      <c r="E105" s="1903"/>
      <c r="F105" s="1888"/>
      <c r="G105" s="1889">
        <f>IFERROR(Table223[[#This Row],[Current Balance]]/#REF!,0)</f>
        <v>0</v>
      </c>
      <c r="H105" s="1890">
        <f>IFERROR(IF(Table223[[#This Row],[Refinance?]]="Yes",PMT($C$36/12,$C$39,-Table223[[#This Row],[Current Balance]]),0),0)</f>
        <v>0</v>
      </c>
      <c r="I105" s="1904">
        <f>IFERROR((Table223[[#This Row],[Mthly Pmt]]-Table223[[#This Row],[Refi Pmt]])/Table223[[#This Row],[Mthly Pmt]],0)</f>
        <v>0</v>
      </c>
      <c r="J105" s="1905">
        <f>IF(Table223[[#This Row],[Refinance?]]="Yes",0,Table223[[#This Row],[Mthly Pmt]])</f>
        <v>0</v>
      </c>
      <c r="K105" s="1902"/>
    </row>
    <row r="106" spans="2:11">
      <c r="B106" s="1906"/>
      <c r="C106" s="1907">
        <v>0</v>
      </c>
      <c r="D106" s="1907">
        <v>0</v>
      </c>
      <c r="E106" s="1908"/>
      <c r="F106" s="1909"/>
      <c r="G106" s="1910">
        <f>IFERROR(Table223[[#This Row],[Current Balance]]/#REF!,0)</f>
        <v>0</v>
      </c>
      <c r="H106" s="1899">
        <f>IFERROR(IF(Table223[[#This Row],[Refinance?]]="Yes",PMT($C$36/12,$C$39,-Table223[[#This Row],[Current Balance]]),0),0)</f>
        <v>0</v>
      </c>
      <c r="I106" s="1911">
        <f>IFERROR((Table223[[#This Row],[Mthly Pmt]]-Table223[[#This Row],[Refi Pmt]])/Table223[[#This Row],[Mthly Pmt]],0)</f>
        <v>0</v>
      </c>
      <c r="J106" s="1912">
        <f>IF(Table223[[#This Row],[Refinance?]]="Yes",0,Table223[[#This Row],[Mthly Pmt]])</f>
        <v>0</v>
      </c>
      <c r="K106" s="1913"/>
    </row>
    <row r="107" spans="2:11">
      <c r="B107" s="1914" t="s">
        <v>104</v>
      </c>
      <c r="C107" s="1915">
        <f>SUBTOTAL(109,Table223[Current Balance])</f>
        <v>0</v>
      </c>
      <c r="D107" s="1915">
        <f>SUBTOTAL(109,Table223[Mthly Pmt])</f>
        <v>0</v>
      </c>
      <c r="E107" s="1916"/>
      <c r="F107" s="1917"/>
      <c r="G107" s="1918"/>
      <c r="H107" s="1919">
        <f>SUBTOTAL(109,Table223[Refi Pmt])</f>
        <v>0</v>
      </c>
      <c r="I107" s="1917"/>
      <c r="J107" s="1917">
        <f>SUBTOTAL(109,Table223[CF Debt Svc])</f>
        <v>0</v>
      </c>
      <c r="K107" s="1920"/>
    </row>
    <row r="108" spans="2:11">
      <c r="B108" s="1921"/>
      <c r="C108" s="1922"/>
      <c r="D108" s="1922"/>
      <c r="E108" s="1922"/>
      <c r="F108" s="1922"/>
      <c r="G108" s="1922"/>
      <c r="H108" s="1922"/>
      <c r="I108" s="1922"/>
      <c r="J108" s="1922"/>
      <c r="K108" s="1923"/>
    </row>
    <row r="109" spans="2:11">
      <c r="B109" s="1924" t="s">
        <v>273</v>
      </c>
      <c r="C109" s="1925">
        <f>SUMIF(Table223[Refinance?],"Yes",Table223[Mthly Pmt])</f>
        <v>0</v>
      </c>
      <c r="D109" s="1926" t="s">
        <v>274</v>
      </c>
      <c r="E109" s="1925">
        <f>Table223[[#Totals],[Refi Pmt]]</f>
        <v>0</v>
      </c>
      <c r="F109" s="1926" t="s">
        <v>275</v>
      </c>
      <c r="G109" s="1927">
        <f>IFERROR((C109-E109)/C109,0)</f>
        <v>0</v>
      </c>
      <c r="H109" s="1928"/>
      <c r="I109" s="1929"/>
      <c r="J109" s="1930"/>
      <c r="K109" s="1931"/>
    </row>
    <row r="110" spans="2:11" ht="16" thickBot="1">
      <c r="B110" s="1932"/>
      <c r="C110" s="1933"/>
      <c r="D110" s="1933"/>
      <c r="E110" s="1933"/>
      <c r="F110" s="1933"/>
      <c r="G110" s="1933"/>
      <c r="H110" s="1933"/>
      <c r="I110" s="1933"/>
      <c r="J110" s="1933"/>
      <c r="K110" s="1934"/>
    </row>
  </sheetData>
  <mergeCells count="9">
    <mergeCell ref="B93:D93"/>
    <mergeCell ref="B95:K95"/>
    <mergeCell ref="H39:I39"/>
    <mergeCell ref="H40:I40"/>
    <mergeCell ref="B4:H4"/>
    <mergeCell ref="B18:H18"/>
    <mergeCell ref="B39:G39"/>
    <mergeCell ref="B40:G40"/>
    <mergeCell ref="B90:C90"/>
  </mergeCells>
  <phoneticPr fontId="75" type="noConversion"/>
  <conditionalFormatting sqref="G109">
    <cfRule type="cellIs" dxfId="65" priority="1" operator="greaterThanOrEqual">
      <formula>0.1</formula>
    </cfRule>
    <cfRule type="cellIs" dxfId="64" priority="2" operator="lessThan">
      <formula>0.1</formula>
    </cfRule>
  </conditionalFormatting>
  <pageMargins left="0.7" right="0.7" top="0.75" bottom="0.75" header="0.3" footer="0.3"/>
  <pageSetup scale="82" orientation="portrait" horizontalDpi="0" verticalDpi="0"/>
  <ignoredErrors>
    <ignoredError sqref="H20:H36 C36:G36" unlockedFormula="1"/>
  </ignoredErrors>
  <tableParts count="1">
    <tablePart r:id="rId1"/>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6EABB98-CAFA-9640-AD4B-5123A2A5357E}">
          <x14:formula1>
            <xm:f>Lists!$E$16:$E$20</xm:f>
          </x14:formula1>
          <xm:sqref>D45:G45</xm:sqref>
        </x14:dataValidation>
        <x14:dataValidation type="list" allowBlank="1" showInputMessage="1" showErrorMessage="1" xr:uid="{0806BF4B-4419-694C-8E69-6E9140404A96}">
          <x14:formula1>
            <xm:f>Lists!$D$16:$D$24</xm:f>
          </x14:formula1>
          <xm:sqref>D44:G44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08008-EBED-C94A-B897-C8F1DFB52835}">
  <sheetPr codeName="Sheet11"/>
  <dimension ref="B1:BM686"/>
  <sheetViews>
    <sheetView showGridLines="0" topLeftCell="B21" zoomScale="90" zoomScaleNormal="90" workbookViewId="0">
      <selection activeCell="E47" sqref="E47"/>
    </sheetView>
  </sheetViews>
  <sheetFormatPr baseColWidth="10" defaultColWidth="8.83203125" defaultRowHeight="15" outlineLevelRow="2" outlineLevelCol="1"/>
  <cols>
    <col min="1" max="1" width="2.6640625" customWidth="1"/>
    <col min="2" max="2" width="43.6640625" customWidth="1"/>
    <col min="3" max="3" width="19.6640625" customWidth="1"/>
    <col min="4" max="4" width="17.5" customWidth="1"/>
    <col min="5" max="5" width="17.6640625" bestFit="1" customWidth="1"/>
    <col min="6" max="6" width="17.1640625" customWidth="1"/>
    <col min="7" max="7" width="19.5" bestFit="1" customWidth="1"/>
    <col min="8" max="10" width="15.6640625" customWidth="1"/>
    <col min="11" max="11" width="16.5" customWidth="1"/>
    <col min="12" max="12" width="2.6640625" customWidth="1"/>
    <col min="13" max="13" width="27.5" customWidth="1" outlineLevel="1"/>
    <col min="14" max="16" width="15.6640625" customWidth="1" outlineLevel="1"/>
    <col min="17" max="20" width="9.1640625" customWidth="1" outlineLevel="1"/>
    <col min="21" max="21" width="4" bestFit="1" customWidth="1"/>
    <col min="22" max="53" width="9.1640625" customWidth="1"/>
    <col min="55" max="55" width="22.83203125" hidden="1" customWidth="1" outlineLevel="1"/>
    <col min="56" max="56" width="12.6640625" hidden="1" customWidth="1" outlineLevel="1"/>
    <col min="57" max="57" width="12.5" hidden="1" customWidth="1" outlineLevel="1"/>
    <col min="58" max="58" width="14.83203125" hidden="1" customWidth="1" outlineLevel="1"/>
    <col min="59" max="59" width="22.83203125" hidden="1" customWidth="1" outlineLevel="1"/>
    <col min="60" max="60" width="11.5" hidden="1" customWidth="1" outlineLevel="1"/>
    <col min="61" max="61" width="10.5" hidden="1" customWidth="1" outlineLevel="1"/>
    <col min="62" max="62" width="22.83203125" hidden="1" customWidth="1" outlineLevel="1"/>
    <col min="63" max="63" width="23.33203125" hidden="1" customWidth="1" outlineLevel="1"/>
    <col min="64" max="64" width="14.83203125" hidden="1" customWidth="1" outlineLevel="1"/>
    <col min="65" max="65" width="9.1640625" customWidth="1" collapsed="1"/>
  </cols>
  <sheetData>
    <row r="1" spans="2:11" ht="16" thickBot="1"/>
    <row r="2" spans="2:11" ht="15" customHeight="1">
      <c r="B2" s="2302" t="s">
        <v>1903</v>
      </c>
      <c r="C2" s="1948"/>
      <c r="D2" s="1948"/>
      <c r="E2" s="1948"/>
      <c r="F2" s="1948"/>
      <c r="G2" s="1948"/>
      <c r="H2" s="1948"/>
      <c r="I2" s="1948"/>
      <c r="J2" s="1948"/>
      <c r="K2" s="1949"/>
    </row>
    <row r="3" spans="2:11" ht="15" customHeight="1">
      <c r="B3" s="2303"/>
      <c r="C3" s="1950"/>
      <c r="D3" s="1950"/>
      <c r="E3" s="1950"/>
      <c r="F3" s="1950"/>
      <c r="G3" s="1950"/>
      <c r="H3" s="1950"/>
      <c r="I3" s="1950"/>
      <c r="J3" s="1950"/>
      <c r="K3" s="1951"/>
    </row>
    <row r="4" spans="2:11" ht="15" customHeight="1">
      <c r="B4" s="2303"/>
      <c r="C4" s="1950"/>
      <c r="D4" s="1950"/>
      <c r="E4" s="1950"/>
      <c r="F4" s="1950"/>
      <c r="G4" s="1950"/>
      <c r="H4" s="1950"/>
      <c r="I4" s="1950"/>
      <c r="J4" s="1950"/>
      <c r="K4" s="1951"/>
    </row>
    <row r="5" spans="2:11" ht="15.75" customHeight="1" thickBot="1">
      <c r="B5" s="1952" t="str">
        <f>_xlfn.CONCAT("Version ",[1]Version!A83)</f>
        <v>Version 25-03(44)</v>
      </c>
      <c r="C5" s="1953"/>
      <c r="D5" s="1953"/>
      <c r="E5" s="1953"/>
      <c r="F5" s="1953"/>
      <c r="G5" s="1953"/>
      <c r="H5" s="1953"/>
      <c r="I5" s="1953"/>
      <c r="J5" s="1953"/>
      <c r="K5" s="1954"/>
    </row>
    <row r="6" spans="2:11" ht="16" thickBot="1">
      <c r="B6" s="1955"/>
      <c r="C6" s="1956"/>
      <c r="D6" s="1956"/>
      <c r="E6" s="1956"/>
      <c r="F6" s="1956"/>
      <c r="G6" s="1956"/>
      <c r="H6" s="1956"/>
      <c r="I6" s="1956"/>
      <c r="J6" s="1956"/>
      <c r="K6" s="1957"/>
    </row>
    <row r="7" spans="2:11" ht="17" thickBot="1">
      <c r="B7" s="2304" t="s">
        <v>1904</v>
      </c>
      <c r="C7" s="2305"/>
      <c r="D7" s="2305"/>
      <c r="E7" s="2305"/>
      <c r="F7" s="2305"/>
      <c r="G7" s="2305"/>
      <c r="H7" s="2305"/>
      <c r="I7" s="2305"/>
      <c r="J7" s="2305"/>
      <c r="K7" s="2306"/>
    </row>
    <row r="8" spans="2:11" ht="22" thickBot="1">
      <c r="B8" s="2307" t="s">
        <v>1905</v>
      </c>
      <c r="C8" s="2308"/>
      <c r="D8" s="2308"/>
      <c r="E8" s="2309"/>
      <c r="F8" s="1958"/>
      <c r="G8" s="1795"/>
      <c r="H8" s="122"/>
      <c r="I8" s="1795"/>
      <c r="J8" s="1795"/>
      <c r="K8" s="1959"/>
    </row>
    <row r="9" spans="2:11" ht="16">
      <c r="B9" s="670"/>
      <c r="C9" s="1795"/>
      <c r="D9" s="1795"/>
      <c r="E9" s="1795"/>
      <c r="F9" s="1795"/>
      <c r="G9" s="1795"/>
      <c r="H9" s="1795"/>
      <c r="I9" s="1795"/>
      <c r="J9" s="1795"/>
      <c r="K9" s="1959"/>
    </row>
    <row r="10" spans="2:11">
      <c r="B10" s="1960"/>
      <c r="C10" s="1961"/>
      <c r="D10" s="1961"/>
      <c r="E10" s="1961"/>
      <c r="F10" s="1961"/>
      <c r="G10" s="1961"/>
      <c r="H10" s="1961"/>
      <c r="I10" s="1961"/>
      <c r="J10" s="1961"/>
      <c r="K10" s="195"/>
    </row>
    <row r="11" spans="2:11">
      <c r="B11" s="488" t="s">
        <v>1906</v>
      </c>
      <c r="C11" s="358"/>
      <c r="D11" s="2310" t="s">
        <v>1907</v>
      </c>
      <c r="E11" s="2310"/>
      <c r="F11" s="473" t="s">
        <v>1908</v>
      </c>
      <c r="G11" s="473" t="s">
        <v>1909</v>
      </c>
      <c r="H11" s="122"/>
      <c r="I11" s="122"/>
      <c r="J11" s="122"/>
      <c r="K11" s="195"/>
    </row>
    <row r="12" spans="2:11">
      <c r="B12" s="2311" t="s">
        <v>1910</v>
      </c>
      <c r="C12" s="2312"/>
      <c r="D12" s="2301" t="s">
        <v>1490</v>
      </c>
      <c r="E12" s="2301"/>
      <c r="F12" s="1962">
        <v>27</v>
      </c>
      <c r="G12" s="502" t="s">
        <v>180</v>
      </c>
      <c r="H12" s="122"/>
      <c r="I12" s="490" t="s">
        <v>1911</v>
      </c>
      <c r="J12" s="2313" t="s">
        <v>1552</v>
      </c>
      <c r="K12" s="2314"/>
    </row>
    <row r="13" spans="2:11">
      <c r="B13" s="2299"/>
      <c r="C13" s="2300"/>
      <c r="D13" s="2301"/>
      <c r="E13" s="2301"/>
      <c r="F13" s="1962"/>
      <c r="G13" s="502"/>
      <c r="H13" s="122"/>
      <c r="I13" s="169"/>
      <c r="J13" s="122"/>
      <c r="K13" s="195"/>
    </row>
    <row r="14" spans="2:11">
      <c r="B14" s="2311"/>
      <c r="C14" s="2312"/>
      <c r="D14" s="2301"/>
      <c r="E14" s="2301"/>
      <c r="F14" s="1962"/>
      <c r="G14" s="502"/>
      <c r="H14" s="122"/>
      <c r="I14" s="490" t="s">
        <v>1912</v>
      </c>
      <c r="J14" s="2297"/>
      <c r="K14" s="2298"/>
    </row>
    <row r="15" spans="2:11">
      <c r="B15" s="2299"/>
      <c r="C15" s="2300"/>
      <c r="D15" s="2301"/>
      <c r="E15" s="2301"/>
      <c r="F15" s="1962"/>
      <c r="G15" s="502"/>
      <c r="H15" s="122"/>
      <c r="I15" s="490" t="s">
        <v>1913</v>
      </c>
      <c r="J15" s="1963"/>
      <c r="K15" s="195"/>
    </row>
    <row r="16" spans="2:11">
      <c r="B16" s="2311"/>
      <c r="C16" s="2312"/>
      <c r="D16" s="2301"/>
      <c r="E16" s="2301"/>
      <c r="F16" s="1962"/>
      <c r="G16" s="502"/>
      <c r="H16" s="122"/>
      <c r="I16" s="122"/>
      <c r="J16" s="122"/>
      <c r="K16" s="195"/>
    </row>
    <row r="17" spans="2:21">
      <c r="B17" s="1964" t="s">
        <v>1914</v>
      </c>
      <c r="C17" s="122"/>
      <c r="D17" s="487"/>
      <c r="E17" s="487"/>
      <c r="F17" s="1965"/>
      <c r="G17" s="487"/>
      <c r="H17" s="122"/>
      <c r="I17" s="122"/>
      <c r="J17" s="122"/>
      <c r="K17" s="195"/>
    </row>
    <row r="18" spans="2:21" ht="32">
      <c r="B18" s="488" t="s">
        <v>1915</v>
      </c>
      <c r="C18" s="1966" t="s">
        <v>1916</v>
      </c>
      <c r="D18" s="1966" t="s">
        <v>100</v>
      </c>
      <c r="E18" s="1788" t="s">
        <v>101</v>
      </c>
      <c r="F18" s="1967" t="s">
        <v>1917</v>
      </c>
      <c r="G18" s="1966" t="s">
        <v>1918</v>
      </c>
      <c r="H18" s="1966" t="s">
        <v>1919</v>
      </c>
      <c r="I18" s="1966" t="s">
        <v>1920</v>
      </c>
      <c r="J18" s="1966" t="s">
        <v>1921</v>
      </c>
      <c r="K18" s="195"/>
    </row>
    <row r="19" spans="2:21">
      <c r="B19" s="489" t="s">
        <v>1922</v>
      </c>
      <c r="C19" s="1962"/>
      <c r="D19" s="1963"/>
      <c r="E19" s="1962">
        <v>761</v>
      </c>
      <c r="F19" s="502"/>
      <c r="G19" s="502"/>
      <c r="H19" s="502"/>
      <c r="I19" s="502"/>
      <c r="J19" s="502"/>
      <c r="K19" s="195"/>
    </row>
    <row r="20" spans="2:21">
      <c r="B20" s="489"/>
      <c r="C20" s="1962"/>
      <c r="D20" s="1963"/>
      <c r="E20" s="1962"/>
      <c r="F20" s="502"/>
      <c r="G20" s="502"/>
      <c r="H20" s="502"/>
      <c r="I20" s="502"/>
      <c r="J20" s="502"/>
      <c r="K20" s="195"/>
    </row>
    <row r="21" spans="2:21">
      <c r="B21" s="489"/>
      <c r="C21" s="1962"/>
      <c r="D21" s="1963"/>
      <c r="E21" s="1962"/>
      <c r="F21" s="502"/>
      <c r="G21" s="502"/>
      <c r="H21" s="502"/>
      <c r="I21" s="502"/>
      <c r="J21" s="502"/>
      <c r="K21" s="195"/>
    </row>
    <row r="22" spans="2:21">
      <c r="B22" s="489"/>
      <c r="C22" s="1962"/>
      <c r="D22" s="1963"/>
      <c r="E22" s="1962"/>
      <c r="F22" s="502"/>
      <c r="G22" s="502"/>
      <c r="H22" s="502"/>
      <c r="I22" s="502"/>
      <c r="J22" s="502"/>
      <c r="K22" s="195"/>
    </row>
    <row r="23" spans="2:21">
      <c r="B23" s="489"/>
      <c r="C23" s="1962"/>
      <c r="D23" s="1963"/>
      <c r="E23" s="1962"/>
      <c r="F23" s="502"/>
      <c r="G23" s="502"/>
      <c r="H23" s="502"/>
      <c r="I23" s="502"/>
      <c r="J23" s="502"/>
      <c r="K23" s="195"/>
    </row>
    <row r="24" spans="2:21">
      <c r="B24" s="489"/>
      <c r="C24" s="1962"/>
      <c r="D24" s="1963"/>
      <c r="E24" s="1962"/>
      <c r="F24" s="502"/>
      <c r="G24" s="502"/>
      <c r="H24" s="502"/>
      <c r="I24" s="502"/>
      <c r="J24" s="502"/>
      <c r="K24" s="195"/>
    </row>
    <row r="25" spans="2:21">
      <c r="B25" s="121"/>
      <c r="C25" s="122"/>
      <c r="D25" s="122"/>
      <c r="E25" s="122"/>
      <c r="F25" s="122"/>
      <c r="G25" s="122"/>
      <c r="H25" s="122"/>
      <c r="I25" s="122"/>
      <c r="J25" s="122"/>
      <c r="K25" s="195"/>
    </row>
    <row r="26" spans="2:21">
      <c r="B26" s="488" t="s">
        <v>1923</v>
      </c>
      <c r="C26" s="2297" t="s">
        <v>1924</v>
      </c>
      <c r="D26" s="2297"/>
      <c r="E26" s="2297"/>
      <c r="F26" s="2297" t="s">
        <v>1925</v>
      </c>
      <c r="G26" s="2297"/>
      <c r="H26" s="2297"/>
      <c r="I26" s="2297"/>
      <c r="J26" s="487"/>
      <c r="K26" s="195"/>
    </row>
    <row r="27" spans="2:21" ht="16" thickBot="1">
      <c r="B27" s="1968"/>
      <c r="C27" s="2315" t="s">
        <v>1926</v>
      </c>
      <c r="D27" s="2315"/>
      <c r="E27" s="2315"/>
      <c r="F27" s="2316" t="s">
        <v>1927</v>
      </c>
      <c r="G27" s="2316"/>
      <c r="H27" s="2316"/>
      <c r="I27" s="2316"/>
      <c r="J27" s="1969"/>
      <c r="K27" s="491"/>
    </row>
    <row r="28" spans="2:21" ht="16" thickBot="1">
      <c r="F28" s="2321"/>
      <c r="G28" s="2321"/>
      <c r="H28" s="1970"/>
      <c r="I28" s="1970"/>
    </row>
    <row r="29" spans="2:21" ht="16.5" customHeight="1" thickBot="1">
      <c r="B29" s="2304" t="s">
        <v>1928</v>
      </c>
      <c r="C29" s="2305"/>
      <c r="D29" s="2305"/>
      <c r="E29" s="2305"/>
      <c r="F29" s="2305"/>
      <c r="G29" s="2305"/>
      <c r="H29" s="2305"/>
      <c r="I29" s="2305"/>
      <c r="J29" s="2305"/>
      <c r="K29" s="2306"/>
      <c r="M29" s="1971" t="s">
        <v>102</v>
      </c>
      <c r="N29" s="1972" t="s">
        <v>103</v>
      </c>
      <c r="O29" s="1972" t="s">
        <v>1929</v>
      </c>
      <c r="P29" s="1973" t="s">
        <v>104</v>
      </c>
      <c r="Q29" s="2322"/>
      <c r="R29" s="2322"/>
      <c r="S29" s="2322"/>
      <c r="T29" s="2323"/>
      <c r="U29" s="2358" t="s">
        <v>1930</v>
      </c>
    </row>
    <row r="30" spans="2:21">
      <c r="B30" s="1960"/>
      <c r="C30" s="1961"/>
      <c r="D30" s="1961"/>
      <c r="E30" s="1961"/>
      <c r="F30" s="1961"/>
      <c r="G30" s="122"/>
      <c r="H30" s="1961"/>
      <c r="I30" s="1961"/>
      <c r="J30" s="1961"/>
      <c r="K30" s="195"/>
      <c r="M30" s="1974" t="s">
        <v>1931</v>
      </c>
      <c r="N30" s="1975">
        <v>2500</v>
      </c>
      <c r="O30" s="1976">
        <v>1</v>
      </c>
      <c r="P30" s="1977">
        <f>N30*O30</f>
        <v>2500</v>
      </c>
      <c r="Q30" s="2324" t="s">
        <v>1932</v>
      </c>
      <c r="R30" s="2324"/>
      <c r="S30" s="2324"/>
      <c r="T30" s="2325"/>
      <c r="U30" s="2359"/>
    </row>
    <row r="31" spans="2:21" ht="16">
      <c r="B31" s="1978"/>
      <c r="C31" s="210" t="s">
        <v>105</v>
      </c>
      <c r="D31" s="211" t="s">
        <v>106</v>
      </c>
      <c r="E31" s="210" t="s">
        <v>1933</v>
      </c>
      <c r="F31" s="211" t="s">
        <v>107</v>
      </c>
      <c r="G31" s="1961"/>
      <c r="H31" s="122"/>
      <c r="I31" s="122"/>
      <c r="J31" s="122"/>
      <c r="K31" s="195"/>
      <c r="M31" s="1974" t="s">
        <v>1934</v>
      </c>
      <c r="N31" s="1975">
        <v>0</v>
      </c>
      <c r="O31" s="1976"/>
      <c r="P31" s="1977">
        <f t="shared" ref="P31:P44" si="0">N31*O31</f>
        <v>0</v>
      </c>
      <c r="Q31" s="2319" t="s">
        <v>1935</v>
      </c>
      <c r="R31" s="2319"/>
      <c r="S31" s="2319"/>
      <c r="T31" s="2320"/>
      <c r="U31" s="2359"/>
    </row>
    <row r="32" spans="2:21">
      <c r="B32" s="1793" t="s">
        <v>108</v>
      </c>
      <c r="C32" s="499" t="s">
        <v>109</v>
      </c>
      <c r="D32" s="1979"/>
      <c r="E32" s="1979"/>
      <c r="F32" s="1980"/>
      <c r="G32" s="122"/>
      <c r="H32" s="122"/>
      <c r="I32" s="490" t="s">
        <v>110</v>
      </c>
      <c r="J32" s="2326">
        <v>0.75</v>
      </c>
      <c r="K32" s="2327"/>
      <c r="M32" s="1974" t="s">
        <v>111</v>
      </c>
      <c r="N32" s="1975">
        <v>0</v>
      </c>
      <c r="O32" s="1976"/>
      <c r="P32" s="1977">
        <f t="shared" si="0"/>
        <v>0</v>
      </c>
      <c r="Q32" s="2319" t="s">
        <v>1936</v>
      </c>
      <c r="R32" s="2319"/>
      <c r="S32" s="2319"/>
      <c r="T32" s="2320"/>
      <c r="U32" s="2359"/>
    </row>
    <row r="33" spans="2:64">
      <c r="B33" s="1793" t="s">
        <v>1937</v>
      </c>
      <c r="C33" s="1981">
        <f>C65</f>
        <v>1609444</v>
      </c>
      <c r="D33" s="1981">
        <f>D65</f>
        <v>207000</v>
      </c>
      <c r="E33" s="1981">
        <f>E65</f>
        <v>262500</v>
      </c>
      <c r="F33" s="1981">
        <f>F65</f>
        <v>0</v>
      </c>
      <c r="G33" s="122"/>
      <c r="H33" s="122"/>
      <c r="I33" s="490" t="s">
        <v>1938</v>
      </c>
      <c r="J33" s="2317">
        <f>SUM(P34,P35,P36,P40)</f>
        <v>0</v>
      </c>
      <c r="K33" s="2318"/>
      <c r="M33" s="1974" t="s">
        <v>1939</v>
      </c>
      <c r="N33" s="1975">
        <v>0</v>
      </c>
      <c r="O33" s="1976"/>
      <c r="P33" s="1977">
        <f t="shared" si="0"/>
        <v>0</v>
      </c>
      <c r="Q33" s="2319" t="s">
        <v>1940</v>
      </c>
      <c r="R33" s="2319"/>
      <c r="S33" s="2319"/>
      <c r="T33" s="2320"/>
      <c r="U33" s="2359"/>
    </row>
    <row r="34" spans="2:64">
      <c r="B34" s="1793" t="s">
        <v>112</v>
      </c>
      <c r="C34" s="1791">
        <v>7.0000000000000007E-2</v>
      </c>
      <c r="D34" s="1982"/>
      <c r="E34" s="1963">
        <v>0.06</v>
      </c>
      <c r="F34" s="1963"/>
      <c r="G34" s="1983"/>
      <c r="H34" s="122"/>
      <c r="I34" s="490" t="s">
        <v>1941</v>
      </c>
      <c r="J34" s="2317">
        <f>SUM(P37,P38)</f>
        <v>200</v>
      </c>
      <c r="K34" s="2318"/>
      <c r="M34" s="1974" t="s">
        <v>1942</v>
      </c>
      <c r="N34" s="1975">
        <v>0</v>
      </c>
      <c r="O34" s="1976"/>
      <c r="P34" s="1977">
        <f t="shared" si="0"/>
        <v>0</v>
      </c>
      <c r="Q34" s="2319" t="s">
        <v>1943</v>
      </c>
      <c r="R34" s="2319"/>
      <c r="S34" s="2319"/>
      <c r="T34" s="2320"/>
      <c r="U34" s="2359"/>
    </row>
    <row r="35" spans="2:64">
      <c r="B35" s="1793" t="s">
        <v>113</v>
      </c>
      <c r="C35" s="1791">
        <v>2.5000000000000001E-2</v>
      </c>
      <c r="D35" s="1982"/>
      <c r="E35" s="1963">
        <v>0</v>
      </c>
      <c r="F35" s="1963"/>
      <c r="G35" s="1984"/>
      <c r="H35" s="122"/>
      <c r="I35" s="490" t="s">
        <v>114</v>
      </c>
      <c r="J35" s="2317">
        <f>SUM(P30)</f>
        <v>2500</v>
      </c>
      <c r="K35" s="2318"/>
      <c r="M35" s="1974" t="s">
        <v>1944</v>
      </c>
      <c r="N35" s="1975">
        <v>0</v>
      </c>
      <c r="O35" s="1976"/>
      <c r="P35" s="1977">
        <f t="shared" si="0"/>
        <v>0</v>
      </c>
      <c r="Q35" s="2319" t="s">
        <v>1945</v>
      </c>
      <c r="R35" s="2319"/>
      <c r="S35" s="2319"/>
      <c r="T35" s="2320"/>
      <c r="U35" s="2359"/>
    </row>
    <row r="36" spans="2:64">
      <c r="B36" s="1793" t="s">
        <v>115</v>
      </c>
      <c r="C36" s="1792">
        <f>C34+C35</f>
        <v>9.5000000000000001E-2</v>
      </c>
      <c r="D36" s="1982"/>
      <c r="E36" s="1792">
        <f>E34+E35</f>
        <v>0.06</v>
      </c>
      <c r="F36" s="1792">
        <f>F34+F35</f>
        <v>0</v>
      </c>
      <c r="G36" s="122"/>
      <c r="H36" s="122"/>
      <c r="I36" s="490" t="s">
        <v>116</v>
      </c>
      <c r="J36" s="2317">
        <f>SUM(P33)</f>
        <v>0</v>
      </c>
      <c r="K36" s="2318"/>
      <c r="M36" s="1974" t="s">
        <v>1946</v>
      </c>
      <c r="N36" s="1975">
        <v>0</v>
      </c>
      <c r="O36" s="1976"/>
      <c r="P36" s="1977">
        <f t="shared" si="0"/>
        <v>0</v>
      </c>
      <c r="Q36" s="2319" t="s">
        <v>1947</v>
      </c>
      <c r="R36" s="2319"/>
      <c r="S36" s="2319"/>
      <c r="T36" s="2320"/>
      <c r="U36" s="2359"/>
    </row>
    <row r="37" spans="2:64">
      <c r="B37" s="1793" t="s">
        <v>117</v>
      </c>
      <c r="C37" s="1985" t="s">
        <v>118</v>
      </c>
      <c r="D37" s="1986"/>
      <c r="E37" s="1987"/>
      <c r="F37" s="1979"/>
      <c r="G37" s="122"/>
      <c r="H37" s="122"/>
      <c r="I37" s="490" t="s">
        <v>119</v>
      </c>
      <c r="J37" s="2317">
        <f>SUM(P39)</f>
        <v>2500</v>
      </c>
      <c r="K37" s="2318"/>
      <c r="M37" s="1974" t="s">
        <v>1948</v>
      </c>
      <c r="N37" s="1975">
        <v>200</v>
      </c>
      <c r="O37" s="1976">
        <v>1</v>
      </c>
      <c r="P37" s="1977">
        <f t="shared" si="0"/>
        <v>200</v>
      </c>
      <c r="Q37" s="2331">
        <v>200</v>
      </c>
      <c r="R37" s="2331"/>
      <c r="S37" s="2331"/>
      <c r="T37" s="2332"/>
      <c r="U37" s="2359"/>
    </row>
    <row r="38" spans="2:64">
      <c r="B38" s="1793" t="s">
        <v>120</v>
      </c>
      <c r="C38" s="1988">
        <v>10</v>
      </c>
      <c r="D38" s="1989"/>
      <c r="E38" s="1988">
        <v>10</v>
      </c>
      <c r="F38" s="1988"/>
      <c r="G38" s="122"/>
      <c r="H38" s="122"/>
      <c r="I38" s="490" t="s">
        <v>1949</v>
      </c>
      <c r="J38" s="2317">
        <f>SUM(P31,P32)</f>
        <v>0</v>
      </c>
      <c r="K38" s="2318"/>
      <c r="M38" s="1974" t="s">
        <v>1950</v>
      </c>
      <c r="N38" s="1975">
        <v>0</v>
      </c>
      <c r="O38" s="1976"/>
      <c r="P38" s="1977">
        <f t="shared" si="0"/>
        <v>0</v>
      </c>
      <c r="Q38" s="2319" t="s">
        <v>1951</v>
      </c>
      <c r="R38" s="2319"/>
      <c r="S38" s="2319"/>
      <c r="T38" s="2320"/>
      <c r="U38" s="2359"/>
    </row>
    <row r="39" spans="2:64">
      <c r="B39" s="1793" t="s">
        <v>121</v>
      </c>
      <c r="C39" s="1988">
        <v>120</v>
      </c>
      <c r="D39" s="1989"/>
      <c r="E39" s="1988">
        <v>120</v>
      </c>
      <c r="F39" s="1988"/>
      <c r="G39" s="122"/>
      <c r="H39" s="122"/>
      <c r="I39" s="490" t="s">
        <v>1952</v>
      </c>
      <c r="J39" s="2333">
        <f>BE56</f>
        <v>42766</v>
      </c>
      <c r="K39" s="2334"/>
      <c r="M39" s="1974" t="s">
        <v>119</v>
      </c>
      <c r="N39" s="1975">
        <v>2500</v>
      </c>
      <c r="O39" s="1976">
        <v>1</v>
      </c>
      <c r="P39" s="1977">
        <f t="shared" si="0"/>
        <v>2500</v>
      </c>
      <c r="Q39" s="2319" t="s">
        <v>1953</v>
      </c>
      <c r="R39" s="2319"/>
      <c r="S39" s="2319"/>
      <c r="T39" s="2320"/>
      <c r="U39" s="2359"/>
    </row>
    <row r="40" spans="2:64">
      <c r="B40" s="1990" t="s">
        <v>122</v>
      </c>
      <c r="C40" s="1991">
        <f ca="1">IFERROR(INDEX($BL$82:$BL$84,MATCH($C$37,$BC$82:$BC$84,0)),0)</f>
        <v>20832.693335533182</v>
      </c>
      <c r="D40" s="1992"/>
      <c r="E40" s="1993">
        <f>IFERROR(PMT(E36/12,E39,-E33),0)</f>
        <v>2914.2881759682978</v>
      </c>
      <c r="F40" s="1993">
        <f>IFERROR(PMT(F36/12,F39,-F33),0)</f>
        <v>0</v>
      </c>
      <c r="G40" s="122"/>
      <c r="H40" s="122"/>
      <c r="I40" s="490" t="s">
        <v>1954</v>
      </c>
      <c r="J40" s="2328">
        <f>P46-SUM(J33:K38)</f>
        <v>5978</v>
      </c>
      <c r="K40" s="2329"/>
      <c r="M40" s="1974" t="s">
        <v>1955</v>
      </c>
      <c r="N40" s="1975">
        <v>0</v>
      </c>
      <c r="O40" s="1976"/>
      <c r="P40" s="1977">
        <f t="shared" si="0"/>
        <v>0</v>
      </c>
      <c r="Q40" s="2319" t="s">
        <v>1956</v>
      </c>
      <c r="R40" s="2319"/>
      <c r="S40" s="2319"/>
      <c r="T40" s="2320"/>
      <c r="U40" s="2359"/>
    </row>
    <row r="41" spans="2:64">
      <c r="B41" s="1793" t="s">
        <v>1957</v>
      </c>
      <c r="C41" s="1994">
        <v>0</v>
      </c>
      <c r="D41" s="1790"/>
      <c r="E41" s="1995"/>
      <c r="F41" s="1996"/>
      <c r="G41" s="122"/>
      <c r="H41" s="122"/>
      <c r="I41" s="490" t="s">
        <v>1958</v>
      </c>
      <c r="J41" s="2317">
        <f>SUM(J33:K40)</f>
        <v>53944</v>
      </c>
      <c r="K41" s="2318"/>
      <c r="M41" s="1974" t="s">
        <v>1959</v>
      </c>
      <c r="N41" s="1975">
        <v>5000</v>
      </c>
      <c r="O41" s="1976">
        <v>1</v>
      </c>
      <c r="P41" s="1977">
        <f t="shared" si="0"/>
        <v>5000</v>
      </c>
      <c r="Q41" s="2319" t="s">
        <v>1960</v>
      </c>
      <c r="R41" s="2319"/>
      <c r="S41" s="2319"/>
      <c r="T41" s="2320"/>
      <c r="U41" s="2359"/>
    </row>
    <row r="42" spans="2:64">
      <c r="B42" s="1793" t="s">
        <v>1961</v>
      </c>
      <c r="C42" s="502" t="s">
        <v>123</v>
      </c>
      <c r="D42" s="1790" t="s">
        <v>1962</v>
      </c>
      <c r="E42" s="1997"/>
      <c r="F42" s="1998" t="s">
        <v>1963</v>
      </c>
      <c r="G42" s="1963"/>
      <c r="H42" s="122"/>
      <c r="I42" s="490"/>
      <c r="J42" s="1999"/>
      <c r="K42" s="2000"/>
      <c r="M42" s="1974" t="s">
        <v>124</v>
      </c>
      <c r="N42" s="1975">
        <v>0</v>
      </c>
      <c r="O42" s="1976">
        <v>1</v>
      </c>
      <c r="P42" s="1977">
        <f t="shared" si="0"/>
        <v>0</v>
      </c>
      <c r="Q42" s="2319" t="s">
        <v>1964</v>
      </c>
      <c r="R42" s="2319"/>
      <c r="S42" s="2319"/>
      <c r="T42" s="2320"/>
      <c r="U42" s="2359"/>
    </row>
    <row r="43" spans="2:64" ht="16" thickBot="1">
      <c r="B43" s="123"/>
      <c r="C43" s="124"/>
      <c r="D43" s="124"/>
      <c r="E43" s="124"/>
      <c r="F43" s="124"/>
      <c r="G43" s="124"/>
      <c r="H43" s="124"/>
      <c r="I43" s="2330"/>
      <c r="J43" s="2330"/>
      <c r="K43" s="491"/>
      <c r="M43" s="1974" t="s">
        <v>1965</v>
      </c>
      <c r="N43" s="1975">
        <v>0</v>
      </c>
      <c r="O43" s="1976">
        <v>1</v>
      </c>
      <c r="P43" s="1977">
        <f t="shared" si="0"/>
        <v>0</v>
      </c>
      <c r="Q43" s="2319" t="s">
        <v>1966</v>
      </c>
      <c r="R43" s="2319"/>
      <c r="S43" s="2319"/>
      <c r="T43" s="2320"/>
      <c r="U43" s="2359"/>
    </row>
    <row r="44" spans="2:64" ht="16" thickBot="1">
      <c r="I44" s="2001"/>
      <c r="J44" s="2001"/>
      <c r="M44" s="1974" t="s">
        <v>1967</v>
      </c>
      <c r="N44" s="1975">
        <v>0</v>
      </c>
      <c r="O44" s="1976">
        <v>1</v>
      </c>
      <c r="P44" s="1977">
        <f t="shared" si="0"/>
        <v>0</v>
      </c>
      <c r="Q44" s="2346" t="str">
        <f>_xlfn.CONCAT("&lt;--- To round to next $100, input $",(ROUNDUP(+P46,-2)-P46))</f>
        <v>&lt;--- To round to next $100, input $22</v>
      </c>
      <c r="R44" s="2346"/>
      <c r="S44" s="2346"/>
      <c r="T44" s="2347"/>
      <c r="U44" s="2359"/>
    </row>
    <row r="45" spans="2:64" ht="17" thickBot="1">
      <c r="B45" s="2304" t="s">
        <v>125</v>
      </c>
      <c r="C45" s="2305"/>
      <c r="D45" s="2305"/>
      <c r="E45" s="2305"/>
      <c r="F45" s="2305"/>
      <c r="G45" s="2305"/>
      <c r="H45" s="2305"/>
      <c r="I45" s="2305"/>
      <c r="J45" s="2305"/>
      <c r="K45" s="2306"/>
      <c r="M45" s="2002" t="s">
        <v>1968</v>
      </c>
      <c r="N45" s="2003"/>
      <c r="O45" s="2004"/>
      <c r="P45" s="2005">
        <f>+P58</f>
        <v>978</v>
      </c>
      <c r="Q45" s="2348"/>
      <c r="R45" s="2348"/>
      <c r="S45" s="2348"/>
      <c r="T45" s="2349"/>
      <c r="U45" s="2359"/>
      <c r="BC45" s="2350" t="str">
        <f>IF((C32="SBA 7a"),"SBA 7a","Not 7a, Guaranty Calculation not applicable")</f>
        <v>SBA 7a</v>
      </c>
      <c r="BD45" s="2351"/>
      <c r="BE45" s="2351"/>
      <c r="BF45" s="2351"/>
      <c r="BG45" s="2351"/>
      <c r="BH45" s="2351"/>
      <c r="BI45" s="2351"/>
      <c r="BJ45" s="2351"/>
      <c r="BK45" s="2351"/>
      <c r="BL45" s="2352"/>
    </row>
    <row r="46" spans="2:64" ht="17" thickTop="1" thickBot="1">
      <c r="B46" s="121"/>
      <c r="C46" s="122"/>
      <c r="D46" s="122"/>
      <c r="E46" s="122"/>
      <c r="F46" s="204"/>
      <c r="G46" s="122"/>
      <c r="H46" s="122"/>
      <c r="I46" s="122"/>
      <c r="J46" s="122"/>
      <c r="K46" s="195"/>
      <c r="M46" s="2007" t="s">
        <v>1969</v>
      </c>
      <c r="N46" s="2008"/>
      <c r="O46" s="2008"/>
      <c r="P46" s="2009">
        <f>SUM(P30:P45)</f>
        <v>11178</v>
      </c>
      <c r="Q46" s="2006"/>
      <c r="R46" s="2006"/>
      <c r="S46" s="2006"/>
      <c r="T46" s="2010"/>
      <c r="U46" s="2359"/>
      <c r="BC46" s="2011"/>
      <c r="BD46" s="2012"/>
      <c r="BE46" s="2012"/>
      <c r="BF46" s="2353" t="s">
        <v>126</v>
      </c>
      <c r="BG46" s="2354"/>
      <c r="BH46" s="2013">
        <f>J32</f>
        <v>0.75</v>
      </c>
      <c r="BI46" s="2014"/>
      <c r="BJ46" s="2014"/>
      <c r="BK46" s="2014"/>
      <c r="BL46" s="2015"/>
    </row>
    <row r="47" spans="2:64" ht="17" thickBot="1">
      <c r="B47" s="2016"/>
      <c r="C47" s="210" t="s">
        <v>105</v>
      </c>
      <c r="D47" s="211" t="s">
        <v>106</v>
      </c>
      <c r="E47" s="210" t="s">
        <v>127</v>
      </c>
      <c r="F47" s="210" t="s">
        <v>128</v>
      </c>
      <c r="G47" s="2017" t="s">
        <v>104</v>
      </c>
      <c r="H47" s="211" t="s">
        <v>129</v>
      </c>
      <c r="I47" s="211" t="s">
        <v>130</v>
      </c>
      <c r="J47" s="212" t="s">
        <v>131</v>
      </c>
      <c r="K47" s="195"/>
      <c r="T47" s="2010"/>
      <c r="U47" s="2359"/>
      <c r="BC47" s="2355" t="s">
        <v>132</v>
      </c>
      <c r="BD47" s="2356"/>
      <c r="BE47" s="2356"/>
      <c r="BF47" s="2356"/>
      <c r="BG47" s="2356"/>
      <c r="BH47" s="2356"/>
      <c r="BI47" s="2356"/>
      <c r="BJ47" s="2356"/>
      <c r="BK47" s="2356"/>
      <c r="BL47" s="2357"/>
    </row>
    <row r="48" spans="2:64">
      <c r="B48" s="368" t="s">
        <v>133</v>
      </c>
      <c r="C48" s="230"/>
      <c r="D48" s="230"/>
      <c r="E48" s="230"/>
      <c r="F48" s="230"/>
      <c r="G48" s="230"/>
      <c r="H48" s="371"/>
      <c r="I48" s="371"/>
      <c r="J48" s="372"/>
      <c r="K48" s="195"/>
      <c r="M48" s="1971" t="s">
        <v>1970</v>
      </c>
      <c r="N48" s="2018" t="s">
        <v>103</v>
      </c>
      <c r="O48" s="1972" t="s">
        <v>1929</v>
      </c>
      <c r="P48" s="1973" t="s">
        <v>104</v>
      </c>
      <c r="R48" s="2019"/>
      <c r="S48" s="2019"/>
      <c r="T48" s="2010"/>
      <c r="U48" s="2359"/>
      <c r="BC48" s="2335" t="s">
        <v>134</v>
      </c>
      <c r="BD48" s="2336"/>
      <c r="BE48" s="2336"/>
      <c r="BF48" s="2336"/>
      <c r="BG48" s="2020">
        <f>E42</f>
        <v>0</v>
      </c>
      <c r="BH48" s="2021"/>
      <c r="BI48" s="2022"/>
      <c r="BJ48" s="2023"/>
      <c r="BK48" s="2023"/>
      <c r="BL48" s="2024"/>
    </row>
    <row r="49" spans="2:64">
      <c r="B49" s="196" t="s">
        <v>135</v>
      </c>
      <c r="C49" s="503">
        <f>G49-SUM(D49:F49)</f>
        <v>0</v>
      </c>
      <c r="D49" s="45"/>
      <c r="E49" s="45"/>
      <c r="F49" s="45"/>
      <c r="G49" s="45"/>
      <c r="H49" s="340">
        <v>25</v>
      </c>
      <c r="I49" s="504">
        <f t="shared" ref="I49:I64" si="1">IF($C$65=0,0,C49/$C$65)</f>
        <v>0</v>
      </c>
      <c r="J49" s="505">
        <f>H49*I49</f>
        <v>0</v>
      </c>
      <c r="K49" s="195"/>
      <c r="M49" s="1974" t="s">
        <v>1971</v>
      </c>
      <c r="N49" s="1975">
        <v>35</v>
      </c>
      <c r="O49" s="1975">
        <v>2</v>
      </c>
      <c r="P49" s="1977">
        <f t="shared" ref="P49:P57" si="2">N49*O49</f>
        <v>70</v>
      </c>
      <c r="R49" s="2025"/>
      <c r="S49" s="2025"/>
      <c r="T49" s="2010"/>
      <c r="U49" s="2359"/>
      <c r="BC49" s="2335" t="s">
        <v>136</v>
      </c>
      <c r="BD49" s="2336"/>
      <c r="BE49" s="2336"/>
      <c r="BF49" s="2336"/>
      <c r="BG49" s="2026">
        <f>G42</f>
        <v>0</v>
      </c>
      <c r="BH49" s="2027"/>
      <c r="BI49" s="2028"/>
      <c r="BJ49" s="2029"/>
      <c r="BK49" s="2023"/>
      <c r="BL49" s="2024"/>
    </row>
    <row r="50" spans="2:64">
      <c r="B50" s="196" t="s">
        <v>137</v>
      </c>
      <c r="C50" s="503">
        <f t="shared" ref="C50:C58" si="3">G50-SUM(D50:F50)</f>
        <v>0</v>
      </c>
      <c r="D50" s="45"/>
      <c r="E50" s="45"/>
      <c r="F50" s="45"/>
      <c r="G50" s="45"/>
      <c r="H50" s="340">
        <v>25</v>
      </c>
      <c r="I50" s="504">
        <f t="shared" si="1"/>
        <v>0</v>
      </c>
      <c r="J50" s="505">
        <f>H50*I50</f>
        <v>0</v>
      </c>
      <c r="K50" s="195"/>
      <c r="M50" s="1974" t="s">
        <v>1972</v>
      </c>
      <c r="N50" s="1975">
        <v>25</v>
      </c>
      <c r="O50" s="1975">
        <v>1</v>
      </c>
      <c r="P50" s="1977">
        <f t="shared" si="2"/>
        <v>25</v>
      </c>
      <c r="R50" s="2025"/>
      <c r="S50" s="2025"/>
      <c r="T50" s="2010"/>
      <c r="U50" s="2359"/>
      <c r="BC50" s="2337" t="s">
        <v>138</v>
      </c>
      <c r="BD50" s="2338"/>
      <c r="BE50" s="2339"/>
      <c r="BF50" s="2339"/>
      <c r="BG50" s="2339"/>
      <c r="BH50" s="2339"/>
      <c r="BI50" s="2339"/>
      <c r="BJ50" s="2339"/>
      <c r="BK50" s="2339"/>
      <c r="BL50" s="2340"/>
    </row>
    <row r="51" spans="2:64">
      <c r="B51" s="196" t="s">
        <v>139</v>
      </c>
      <c r="C51" s="503">
        <f t="shared" si="3"/>
        <v>0</v>
      </c>
      <c r="D51" s="45"/>
      <c r="E51" s="45"/>
      <c r="F51" s="45"/>
      <c r="G51" s="45"/>
      <c r="H51" s="340">
        <v>10</v>
      </c>
      <c r="I51" s="504">
        <f t="shared" si="1"/>
        <v>0</v>
      </c>
      <c r="J51" s="505">
        <f>H51*I51</f>
        <v>0</v>
      </c>
      <c r="K51" s="195"/>
      <c r="M51" s="1974" t="s">
        <v>1973</v>
      </c>
      <c r="N51" s="1975">
        <v>65</v>
      </c>
      <c r="O51" s="1975">
        <v>3</v>
      </c>
      <c r="P51" s="1977">
        <f t="shared" si="2"/>
        <v>195</v>
      </c>
      <c r="R51" s="2025"/>
      <c r="S51" s="2025"/>
      <c r="T51" s="2010"/>
      <c r="U51" s="2359"/>
      <c r="BC51" s="2341" t="s">
        <v>140</v>
      </c>
      <c r="BD51" s="2342"/>
      <c r="BE51" s="2343"/>
      <c r="BF51" s="2344"/>
      <c r="BG51" s="2342" t="s">
        <v>141</v>
      </c>
      <c r="BH51" s="2343"/>
      <c r="BI51" s="2344"/>
      <c r="BJ51" s="2342" t="s">
        <v>142</v>
      </c>
      <c r="BK51" s="2343"/>
      <c r="BL51" s="2345"/>
    </row>
    <row r="52" spans="2:64">
      <c r="B52" s="196" t="s">
        <v>143</v>
      </c>
      <c r="C52" s="503">
        <f t="shared" si="3"/>
        <v>0</v>
      </c>
      <c r="D52" s="45"/>
      <c r="E52" s="45"/>
      <c r="F52" s="45"/>
      <c r="G52" s="45"/>
      <c r="H52" s="340">
        <v>10</v>
      </c>
      <c r="I52" s="504">
        <f t="shared" si="1"/>
        <v>0</v>
      </c>
      <c r="J52" s="505">
        <f>H52*I52</f>
        <v>0</v>
      </c>
      <c r="K52" s="195"/>
      <c r="M52" s="1974" t="s">
        <v>1974</v>
      </c>
      <c r="N52" s="1975">
        <v>300</v>
      </c>
      <c r="O52" s="1975">
        <v>2</v>
      </c>
      <c r="P52" s="1977">
        <f t="shared" si="2"/>
        <v>600</v>
      </c>
      <c r="R52" s="2025"/>
      <c r="S52" s="2025"/>
      <c r="T52" s="2010"/>
      <c r="U52" s="2359"/>
      <c r="BC52" s="360" t="s">
        <v>144</v>
      </c>
      <c r="BD52" s="359"/>
      <c r="BE52" s="2030"/>
      <c r="BF52" s="2031">
        <f>IF(BC45="SBA 7a",C65,0)</f>
        <v>1609444</v>
      </c>
      <c r="BG52" s="361" t="s">
        <v>144</v>
      </c>
      <c r="BH52" s="359"/>
      <c r="BI52" s="2032">
        <f>BG48</f>
        <v>0</v>
      </c>
      <c r="BJ52" s="361" t="s">
        <v>144</v>
      </c>
      <c r="BK52" s="359"/>
      <c r="BL52" s="2033">
        <f>BI52+BF52</f>
        <v>1609444</v>
      </c>
    </row>
    <row r="53" spans="2:64">
      <c r="B53" s="196" t="s">
        <v>145</v>
      </c>
      <c r="C53" s="503">
        <f>G53-SUM(D53:F53)</f>
        <v>0</v>
      </c>
      <c r="D53" s="45"/>
      <c r="E53" s="45"/>
      <c r="F53" s="45"/>
      <c r="G53" s="45"/>
      <c r="H53" s="340">
        <v>10</v>
      </c>
      <c r="I53" s="504">
        <f t="shared" si="1"/>
        <v>0</v>
      </c>
      <c r="J53" s="505">
        <f t="shared" ref="J53:J64" si="4">H53*I53</f>
        <v>0</v>
      </c>
      <c r="K53" s="195"/>
      <c r="M53" s="1974" t="s">
        <v>1975</v>
      </c>
      <c r="N53" s="1975">
        <v>20</v>
      </c>
      <c r="O53" s="1975">
        <v>1</v>
      </c>
      <c r="P53" s="1977">
        <f t="shared" si="2"/>
        <v>20</v>
      </c>
      <c r="R53" s="2025"/>
      <c r="S53" s="2025"/>
      <c r="T53" s="2010"/>
      <c r="U53" s="2359"/>
      <c r="BC53" s="360" t="s">
        <v>146</v>
      </c>
      <c r="BD53" s="359"/>
      <c r="BE53" s="2034"/>
      <c r="BF53" s="2035">
        <f>BF52*BH46</f>
        <v>1207083</v>
      </c>
      <c r="BG53" s="361" t="s">
        <v>146</v>
      </c>
      <c r="BH53" s="359"/>
      <c r="BI53" s="2032">
        <f>BI52*BG49</f>
        <v>0</v>
      </c>
      <c r="BJ53" s="361" t="s">
        <v>146</v>
      </c>
      <c r="BK53" s="359"/>
      <c r="BL53" s="2033">
        <f>BF53+BI53</f>
        <v>1207083</v>
      </c>
    </row>
    <row r="54" spans="2:64">
      <c r="B54" s="196" t="s">
        <v>147</v>
      </c>
      <c r="C54" s="503">
        <f t="shared" si="3"/>
        <v>0</v>
      </c>
      <c r="D54" s="45"/>
      <c r="E54" s="45"/>
      <c r="F54" s="45"/>
      <c r="G54" s="45"/>
      <c r="H54" s="340">
        <v>10</v>
      </c>
      <c r="I54" s="504">
        <f t="shared" si="1"/>
        <v>0</v>
      </c>
      <c r="J54" s="505">
        <f>H54*I54</f>
        <v>0</v>
      </c>
      <c r="K54" s="195"/>
      <c r="M54" s="1974" t="s">
        <v>1976</v>
      </c>
      <c r="N54" s="1975">
        <v>18</v>
      </c>
      <c r="O54" s="1975">
        <v>1</v>
      </c>
      <c r="P54" s="1977">
        <f t="shared" si="2"/>
        <v>18</v>
      </c>
      <c r="R54" s="2025"/>
      <c r="S54" s="2025"/>
      <c r="T54" s="2010"/>
      <c r="U54" s="2359"/>
      <c r="BC54" s="360" t="s">
        <v>148</v>
      </c>
      <c r="BD54" s="359"/>
      <c r="BE54" s="2034"/>
      <c r="BF54" s="2035">
        <f>SUM(BF59:BF63)</f>
        <v>42765.612500000003</v>
      </c>
      <c r="BG54" s="361" t="s">
        <v>148</v>
      </c>
      <c r="BH54" s="359"/>
      <c r="BI54" s="2032">
        <f>SUM(BG59:BH63)</f>
        <v>0</v>
      </c>
      <c r="BJ54" s="361" t="s">
        <v>148</v>
      </c>
      <c r="BK54" s="359"/>
      <c r="BL54" s="2033">
        <f>SUM(BK59:BK63)</f>
        <v>7765.6124999999993</v>
      </c>
    </row>
    <row r="55" spans="2:64">
      <c r="B55" s="196" t="s">
        <v>149</v>
      </c>
      <c r="C55" s="503">
        <f t="shared" si="3"/>
        <v>275000</v>
      </c>
      <c r="D55" s="45"/>
      <c r="E55" s="45"/>
      <c r="F55" s="45"/>
      <c r="G55" s="45">
        <v>275000</v>
      </c>
      <c r="H55" s="340">
        <v>10</v>
      </c>
      <c r="I55" s="504">
        <f t="shared" si="1"/>
        <v>0.17086646071562603</v>
      </c>
      <c r="J55" s="505">
        <f t="shared" si="4"/>
        <v>1.7086646071562603</v>
      </c>
      <c r="K55" s="195"/>
      <c r="M55" s="1974" t="s">
        <v>1977</v>
      </c>
      <c r="N55" s="1975">
        <v>100</v>
      </c>
      <c r="O55" s="1975"/>
      <c r="P55" s="1977">
        <f t="shared" si="2"/>
        <v>0</v>
      </c>
      <c r="Q55" s="2319" t="s">
        <v>1978</v>
      </c>
      <c r="R55" s="2319"/>
      <c r="S55" s="2319"/>
      <c r="T55" s="2320"/>
      <c r="U55" s="2359"/>
      <c r="BC55" s="362" t="s">
        <v>150</v>
      </c>
      <c r="BD55" s="363"/>
      <c r="BE55" s="2036"/>
      <c r="BF55" s="2037">
        <f>IF(BG48&gt;0,BL54-BI54-BF54,0)</f>
        <v>0</v>
      </c>
      <c r="BG55" s="364"/>
      <c r="BH55" s="363"/>
      <c r="BI55" s="2038"/>
      <c r="BJ55" s="364"/>
      <c r="BK55" s="363"/>
      <c r="BL55" s="2039"/>
    </row>
    <row r="56" spans="2:64" ht="16" thickBot="1">
      <c r="B56" s="196" t="s">
        <v>151</v>
      </c>
      <c r="C56" s="503">
        <f t="shared" si="3"/>
        <v>0</v>
      </c>
      <c r="D56" s="45"/>
      <c r="E56" s="45"/>
      <c r="F56" s="45"/>
      <c r="G56" s="45"/>
      <c r="H56" s="340">
        <v>10</v>
      </c>
      <c r="I56" s="504">
        <f t="shared" si="1"/>
        <v>0</v>
      </c>
      <c r="J56" s="505">
        <f t="shared" si="4"/>
        <v>0</v>
      </c>
      <c r="K56" s="195"/>
      <c r="M56" s="1974" t="s">
        <v>1979</v>
      </c>
      <c r="N56" s="1975">
        <v>50</v>
      </c>
      <c r="O56" s="1975">
        <v>1</v>
      </c>
      <c r="P56" s="1977">
        <f t="shared" si="2"/>
        <v>50</v>
      </c>
      <c r="Q56" s="2319" t="s">
        <v>1980</v>
      </c>
      <c r="R56" s="2319"/>
      <c r="S56" s="2319"/>
      <c r="T56" s="2320"/>
      <c r="U56" s="2359"/>
      <c r="BC56" s="365" t="s">
        <v>152</v>
      </c>
      <c r="BD56" s="366"/>
      <c r="BE56" s="2363">
        <f>ROUNDUP(BF54+BF55,-0.1)</f>
        <v>42766</v>
      </c>
      <c r="BF56" s="2364"/>
      <c r="BG56" s="367" t="s">
        <v>152</v>
      </c>
      <c r="BH56" s="366"/>
      <c r="BI56" s="2040">
        <f>ROUNDUP(BI54+BI55,-0.1)</f>
        <v>0</v>
      </c>
      <c r="BJ56" s="367" t="s">
        <v>152</v>
      </c>
      <c r="BK56" s="366"/>
      <c r="BL56" s="2041">
        <f>ROUNDUP(BL54+BL55,-0.1)</f>
        <v>7766</v>
      </c>
    </row>
    <row r="57" spans="2:64" ht="17" thickBot="1">
      <c r="B57" s="196" t="s">
        <v>153</v>
      </c>
      <c r="C57" s="503">
        <f t="shared" si="3"/>
        <v>1280500</v>
      </c>
      <c r="D57" s="45">
        <v>207000</v>
      </c>
      <c r="E57" s="45">
        <v>262500</v>
      </c>
      <c r="F57" s="45"/>
      <c r="G57" s="45">
        <v>1750000</v>
      </c>
      <c r="H57" s="340">
        <v>10</v>
      </c>
      <c r="I57" s="504">
        <f t="shared" si="1"/>
        <v>0.79561637435039678</v>
      </c>
      <c r="J57" s="505">
        <f t="shared" si="4"/>
        <v>7.9561637435039678</v>
      </c>
      <c r="K57" s="195"/>
      <c r="M57" s="2002" t="s">
        <v>1981</v>
      </c>
      <c r="N57" s="1975">
        <v>0</v>
      </c>
      <c r="O57" s="1975"/>
      <c r="P57" s="1977">
        <f t="shared" si="2"/>
        <v>0</v>
      </c>
      <c r="Q57" s="2365" t="str">
        <f>_xlfn.CONCAT("&lt;--- To round to next $100, input $",ROUNDUP(+N58,-2)-N45)</f>
        <v>&lt;--- To round to next $100, input $0</v>
      </c>
      <c r="R57" s="2365"/>
      <c r="S57" s="2365"/>
      <c r="T57" s="2366"/>
      <c r="U57" s="2359"/>
      <c r="BC57" s="2367"/>
      <c r="BD57" s="2368"/>
      <c r="BE57" s="2368"/>
      <c r="BF57" s="2368"/>
      <c r="BG57" s="2368"/>
      <c r="BH57" s="2368"/>
      <c r="BI57" s="2368"/>
      <c r="BJ57" s="2368"/>
      <c r="BK57" s="2368"/>
      <c r="BL57" s="2369"/>
    </row>
    <row r="58" spans="2:64" ht="17" thickTop="1" thickBot="1">
      <c r="B58" s="196" t="s">
        <v>154</v>
      </c>
      <c r="C58" s="503">
        <f t="shared" si="3"/>
        <v>0</v>
      </c>
      <c r="D58" s="45"/>
      <c r="E58" s="45"/>
      <c r="F58" s="45"/>
      <c r="G58" s="45"/>
      <c r="H58" s="340">
        <v>10</v>
      </c>
      <c r="I58" s="504">
        <f t="shared" si="1"/>
        <v>0</v>
      </c>
      <c r="J58" s="505">
        <f t="shared" si="4"/>
        <v>0</v>
      </c>
      <c r="K58" s="195"/>
      <c r="M58" s="2007" t="s">
        <v>1982</v>
      </c>
      <c r="N58" s="2042"/>
      <c r="O58" s="2008"/>
      <c r="P58" s="2043">
        <f>SUM(P49:P57)</f>
        <v>978</v>
      </c>
      <c r="Q58" s="2370"/>
      <c r="R58" s="2370"/>
      <c r="S58" s="2370"/>
      <c r="T58" s="2371"/>
      <c r="U58" s="2359"/>
      <c r="BC58" s="221" t="s">
        <v>155</v>
      </c>
      <c r="BD58" s="119" t="s">
        <v>156</v>
      </c>
      <c r="BE58" s="119"/>
      <c r="BF58" s="119"/>
      <c r="BG58" s="2372" t="s">
        <v>157</v>
      </c>
      <c r="BH58" s="2372"/>
      <c r="BI58" s="119"/>
      <c r="BJ58" s="119" t="s">
        <v>158</v>
      </c>
      <c r="BK58" s="119" t="s">
        <v>156</v>
      </c>
      <c r="BL58" s="120"/>
    </row>
    <row r="59" spans="2:64" ht="16" thickBot="1">
      <c r="B59" s="1789" t="s">
        <v>159</v>
      </c>
      <c r="C59" s="503">
        <f t="shared" ref="C59:C63" si="5">G59-SUM(D59:F59)</f>
        <v>0</v>
      </c>
      <c r="D59" s="45"/>
      <c r="E59" s="45"/>
      <c r="F59" s="45"/>
      <c r="G59" s="45"/>
      <c r="H59" s="340">
        <v>25</v>
      </c>
      <c r="I59" s="504">
        <f t="shared" si="1"/>
        <v>0</v>
      </c>
      <c r="J59" s="505">
        <f t="shared" si="4"/>
        <v>0</v>
      </c>
      <c r="K59" s="195"/>
      <c r="AZ59" s="2044"/>
      <c r="BA59" s="2045"/>
      <c r="BB59" s="2046"/>
      <c r="BC59" s="607" t="s">
        <v>160</v>
      </c>
      <c r="BD59" s="608">
        <v>150000</v>
      </c>
      <c r="BE59" s="871">
        <v>0.02</v>
      </c>
      <c r="BF59" s="609">
        <f>IF(BF52&lt;=$BD$59,BF53*$BE$59,0)</f>
        <v>0</v>
      </c>
      <c r="BG59" s="2360">
        <f>IF(BI52&lt;=$BD$59,BI53*$BE$59,0)</f>
        <v>0</v>
      </c>
      <c r="BH59" s="2360"/>
      <c r="BI59" s="122"/>
      <c r="BJ59" s="1361"/>
      <c r="BK59" s="1361">
        <f>IF(BL52&lt;=$BD$59,BL53*$BE$59,0)</f>
        <v>0</v>
      </c>
      <c r="BL59" s="2047"/>
    </row>
    <row r="60" spans="2:64" ht="16" thickBot="1">
      <c r="B60" s="2048" t="s">
        <v>161</v>
      </c>
      <c r="C60" s="370">
        <v>0</v>
      </c>
      <c r="D60" s="520">
        <f>G60-C60</f>
        <v>0</v>
      </c>
      <c r="E60" s="45"/>
      <c r="F60" s="45"/>
      <c r="G60" s="521">
        <f>(ROUND(((C49+F49)*C36/12*C41)+((C65-C49+F65-F49)*C36*0.6/12*C41),0))</f>
        <v>0</v>
      </c>
      <c r="H60" s="27">
        <v>25</v>
      </c>
      <c r="I60" s="504">
        <f t="shared" si="1"/>
        <v>0</v>
      </c>
      <c r="J60" s="505">
        <f t="shared" si="4"/>
        <v>0</v>
      </c>
      <c r="K60" s="2049" t="s">
        <v>1983</v>
      </c>
      <c r="AZ60" s="2044"/>
      <c r="BA60" s="2045"/>
      <c r="BB60" s="2046"/>
      <c r="BC60" s="1359">
        <v>150001</v>
      </c>
      <c r="BD60" s="1344">
        <v>700000</v>
      </c>
      <c r="BE60" s="871">
        <v>0.03</v>
      </c>
      <c r="BF60" s="609">
        <f>IF($BF$52&gt;=($BD$60+1),0,IF($BF$52&gt;=$BC$60,$BF$53*$BE$60,0))</f>
        <v>0</v>
      </c>
      <c r="BG60" s="2360">
        <f>IF($BI$52&gt;=($BD$60+1),0,IF($BI$52&gt;=$BC$60,$BI$53*$BE$60,0))</f>
        <v>0</v>
      </c>
      <c r="BH60" s="2360">
        <f t="shared" ref="BH60" si="6">IF($BF$52&gt;=($BD$60+1),0,IF($BF$52&gt;=$BC$60,$BF$53*$BE$60,0))</f>
        <v>0</v>
      </c>
      <c r="BI60" s="122"/>
      <c r="BJ60" s="1361"/>
      <c r="BK60" s="609">
        <f>IF($BL$52&gt;=($BD$60+1),0,IF($BL$52&gt;=$BC$60,$BL$53*$BE$60,0))</f>
        <v>0</v>
      </c>
      <c r="BL60" s="2047"/>
    </row>
    <row r="61" spans="2:64">
      <c r="B61" s="196" t="s">
        <v>162</v>
      </c>
      <c r="C61" s="521">
        <f>G61-D61-E61-F61</f>
        <v>0</v>
      </c>
      <c r="D61" s="45"/>
      <c r="E61" s="45"/>
      <c r="F61" s="45"/>
      <c r="G61" s="522">
        <f>ROUND(G59*K61,0)</f>
        <v>0</v>
      </c>
      <c r="H61" s="340">
        <v>25</v>
      </c>
      <c r="I61" s="504">
        <f t="shared" si="1"/>
        <v>0</v>
      </c>
      <c r="J61" s="505">
        <f t="shared" si="4"/>
        <v>0</v>
      </c>
      <c r="K61" s="2050">
        <v>0.1</v>
      </c>
      <c r="BC61" s="1766"/>
      <c r="BD61" s="1767"/>
      <c r="BE61" s="1768">
        <v>0</v>
      </c>
      <c r="BF61" s="1769">
        <f>IF(BF52&gt;=($BD$60+1),0,IF(BF52&gt;=$BC$60,IF(BF53&gt;1000000,((BF53-1000000)*$BE$61),0),0))</f>
        <v>0</v>
      </c>
      <c r="BG61" s="2361">
        <f>IF(BI52&gt;=($BD$60+1),0,IF(BI52&gt;=$BC$60,IF(BI53&gt;1000000,((BI53-1000000)*$BE$61),0),0))</f>
        <v>0</v>
      </c>
      <c r="BH61" s="2361"/>
      <c r="BI61" s="1771"/>
      <c r="BJ61" s="1772"/>
      <c r="BK61" s="1772">
        <f>IF(BL52&gt;=($BD$60+1),0,IF(BL52&gt;=$BC$60,IF(BL53&gt;1000000,((BL53-1000000)*$BE$61),0),0))</f>
        <v>0</v>
      </c>
      <c r="BL61" s="2051"/>
    </row>
    <row r="62" spans="2:64">
      <c r="B62" s="1789" t="s">
        <v>163</v>
      </c>
      <c r="C62" s="503">
        <f t="shared" si="5"/>
        <v>0</v>
      </c>
      <c r="D62" s="45"/>
      <c r="E62" s="45"/>
      <c r="F62" s="45"/>
      <c r="G62" s="45"/>
      <c r="H62" s="340">
        <v>25</v>
      </c>
      <c r="I62" s="504">
        <f t="shared" si="1"/>
        <v>0</v>
      </c>
      <c r="J62" s="505">
        <f t="shared" si="4"/>
        <v>0</v>
      </c>
      <c r="K62" s="195"/>
      <c r="BC62" s="1359">
        <v>700001</v>
      </c>
      <c r="BD62" s="1344">
        <v>5000000</v>
      </c>
      <c r="BE62" s="871">
        <v>3.5000000000000003E-2</v>
      </c>
      <c r="BF62" s="609">
        <f>IF(BF52&gt;=($BC$62),1000000*$BE$62,0)</f>
        <v>35000</v>
      </c>
      <c r="BG62" s="2360">
        <f>MIN(35000,IF(BI52&gt;=($BD$62+1),1000000*$BE$62,0))</f>
        <v>0</v>
      </c>
      <c r="BH62" s="2360"/>
      <c r="BI62" s="122"/>
      <c r="BJ62" s="1361"/>
      <c r="BK62" s="1361">
        <f>MIN(35000,IF(BL52&gt;=($BD$62+1),1000000*$BE$62,0))</f>
        <v>0</v>
      </c>
      <c r="BL62" s="2047"/>
    </row>
    <row r="63" spans="2:64" ht="16" thickBot="1">
      <c r="B63" s="213" t="s">
        <v>102</v>
      </c>
      <c r="C63" s="503">
        <f t="shared" si="5"/>
        <v>11178</v>
      </c>
      <c r="D63" s="45"/>
      <c r="E63" s="45"/>
      <c r="F63" s="45"/>
      <c r="G63" s="45">
        <v>11178</v>
      </c>
      <c r="H63" s="27">
        <v>10</v>
      </c>
      <c r="I63" s="504">
        <f t="shared" si="1"/>
        <v>6.9452556286518823E-3</v>
      </c>
      <c r="J63" s="2052">
        <f t="shared" si="4"/>
        <v>6.9452556286518821E-2</v>
      </c>
      <c r="K63" s="195"/>
      <c r="BC63" s="1360"/>
      <c r="BD63" s="1345"/>
      <c r="BE63" s="872">
        <v>3.7499999999999999E-2</v>
      </c>
      <c r="BF63" s="611">
        <f>IF(BF52&gt;=($BC$62),(BF53-1000000)*$BE$63,0)</f>
        <v>7765.6124999999993</v>
      </c>
      <c r="BG63" s="2362">
        <f>IF(((BI53-$BC$62)*$BE$63)&lt;=0,0,((BI53-1000000)*$BE$63))</f>
        <v>0</v>
      </c>
      <c r="BH63" s="2362"/>
      <c r="BI63" s="124"/>
      <c r="BJ63" s="1362"/>
      <c r="BK63" s="1362">
        <f>IF(((BL53-$BC$62)*$BE$63)&lt;=0,0,((BL53-1000000)*$BE$63))</f>
        <v>7765.6124999999993</v>
      </c>
      <c r="BL63" s="2053"/>
    </row>
    <row r="64" spans="2:64" ht="16" thickBot="1">
      <c r="B64" s="213" t="s">
        <v>1984</v>
      </c>
      <c r="C64" s="485">
        <v>42766</v>
      </c>
      <c r="D64" s="503">
        <f>G64-C64</f>
        <v>0</v>
      </c>
      <c r="E64" s="1979"/>
      <c r="F64" s="1979"/>
      <c r="G64" s="503">
        <f>BE56</f>
        <v>42766</v>
      </c>
      <c r="H64" s="27">
        <v>10</v>
      </c>
      <c r="I64" s="504">
        <f t="shared" si="1"/>
        <v>2.6571909305325318E-2</v>
      </c>
      <c r="J64" s="2054">
        <f t="shared" si="4"/>
        <v>0.2657190930532532</v>
      </c>
      <c r="K64" s="195"/>
    </row>
    <row r="65" spans="2:65" ht="16" thickBot="1">
      <c r="B65" s="121"/>
      <c r="C65" s="2055">
        <f>SUM(C49:C64)</f>
        <v>1609444</v>
      </c>
      <c r="D65" s="2055">
        <f>SUM(D49:D64)</f>
        <v>207000</v>
      </c>
      <c r="E65" s="2055">
        <f>SUM(E49:E64)</f>
        <v>262500</v>
      </c>
      <c r="F65" s="2055">
        <f>SUM(F49:F64)</f>
        <v>0</v>
      </c>
      <c r="G65" s="2055">
        <f>SUM(G49:G64)</f>
        <v>2078944</v>
      </c>
      <c r="H65" s="185"/>
      <c r="I65" s="2056" t="s">
        <v>1985</v>
      </c>
      <c r="J65" s="2057">
        <f>SUM(J49:J64)</f>
        <v>10</v>
      </c>
      <c r="K65" s="195"/>
    </row>
    <row r="66" spans="2:65">
      <c r="B66" s="121"/>
      <c r="C66" s="504">
        <f>IFERROR(C65/$G$65,0)</f>
        <v>0.77416419105084122</v>
      </c>
      <c r="D66" s="504">
        <f>IFERROR(D65/$G$65,0)</f>
        <v>9.9569781581418257E-2</v>
      </c>
      <c r="E66" s="504">
        <f>IFERROR(E65/$G$65,0)</f>
        <v>0.12626602736774054</v>
      </c>
      <c r="F66" s="504">
        <f>IFERROR(F65/$G$65,0)</f>
        <v>0</v>
      </c>
      <c r="G66" s="504">
        <f>IFERROR(G65/$G$65,0)</f>
        <v>1</v>
      </c>
      <c r="H66" s="122"/>
      <c r="I66" s="122"/>
      <c r="J66" s="122"/>
      <c r="K66" s="195"/>
    </row>
    <row r="67" spans="2:65" ht="16" thickBot="1">
      <c r="B67" s="123"/>
      <c r="C67" s="124"/>
      <c r="D67" s="124"/>
      <c r="E67" s="124"/>
      <c r="F67" s="124"/>
      <c r="G67" s="124"/>
      <c r="H67" s="124"/>
      <c r="I67" s="124"/>
      <c r="J67" s="124"/>
      <c r="K67" s="491"/>
    </row>
    <row r="68" spans="2:65" ht="16" thickBot="1">
      <c r="B68" s="2058"/>
      <c r="C68" s="2058"/>
      <c r="D68" s="2058"/>
      <c r="E68" s="2058"/>
      <c r="F68" s="2058"/>
      <c r="G68" s="2058"/>
      <c r="H68" s="2058"/>
      <c r="I68" s="2058"/>
      <c r="J68" s="2058"/>
      <c r="K68" s="2058"/>
    </row>
    <row r="69" spans="2:65" ht="17" thickBot="1">
      <c r="B69" s="2304" t="s">
        <v>1986</v>
      </c>
      <c r="C69" s="2305"/>
      <c r="D69" s="2305"/>
      <c r="E69" s="2305"/>
      <c r="F69" s="2305"/>
      <c r="G69" s="2305"/>
      <c r="H69" s="2305"/>
      <c r="I69" s="2305"/>
      <c r="J69" s="2305"/>
      <c r="K69" s="2306"/>
    </row>
    <row r="70" spans="2:65" ht="16" hidden="1" outlineLevel="1" thickBot="1">
      <c r="B70" s="467"/>
      <c r="C70" s="119"/>
      <c r="D70" s="119"/>
      <c r="E70" s="119"/>
      <c r="F70" s="119"/>
      <c r="G70" s="119"/>
      <c r="H70" s="119"/>
      <c r="I70" s="119"/>
      <c r="J70" s="119"/>
      <c r="K70" s="120"/>
    </row>
    <row r="71" spans="2:65" ht="16" hidden="1" outlineLevel="1" thickBot="1">
      <c r="B71" s="121"/>
      <c r="C71" s="487" t="s">
        <v>164</v>
      </c>
      <c r="D71" s="487" t="s">
        <v>165</v>
      </c>
      <c r="E71" s="122"/>
      <c r="F71" s="122"/>
      <c r="G71" s="487" t="s">
        <v>164</v>
      </c>
      <c r="H71" s="487" t="s">
        <v>165</v>
      </c>
      <c r="I71" s="122"/>
      <c r="J71" s="122"/>
      <c r="K71" s="195"/>
    </row>
    <row r="72" spans="2:65" ht="16" hidden="1" outlineLevel="1" thickBot="1">
      <c r="B72" s="168" t="s">
        <v>1987</v>
      </c>
      <c r="C72" s="2059"/>
      <c r="D72" s="2060"/>
      <c r="E72" s="122"/>
      <c r="F72" s="169" t="s">
        <v>1988</v>
      </c>
      <c r="G72" s="2059"/>
      <c r="H72" s="2060"/>
      <c r="I72" s="122"/>
      <c r="J72" s="122"/>
      <c r="K72" s="195"/>
    </row>
    <row r="73" spans="2:65" ht="16" hidden="1" outlineLevel="1" thickBot="1">
      <c r="B73" s="168" t="s">
        <v>1989</v>
      </c>
      <c r="C73" s="2061">
        <f>C622</f>
        <v>0</v>
      </c>
      <c r="D73" s="2060"/>
      <c r="E73" s="122"/>
      <c r="F73" s="169" t="s">
        <v>1990</v>
      </c>
      <c r="G73" s="2059"/>
      <c r="H73" s="2060"/>
      <c r="I73" s="122"/>
      <c r="J73" s="122"/>
      <c r="K73" s="195"/>
    </row>
    <row r="74" spans="2:65" ht="16" hidden="1" outlineLevel="1" thickBot="1">
      <c r="B74" s="168" t="s">
        <v>1991</v>
      </c>
      <c r="C74" s="2061">
        <f>E622</f>
        <v>0</v>
      </c>
      <c r="D74" s="2060"/>
      <c r="E74" s="122"/>
      <c r="F74" s="169" t="s">
        <v>1992</v>
      </c>
      <c r="G74" s="2059"/>
      <c r="H74" s="2060"/>
      <c r="I74" s="122"/>
      <c r="J74" s="122"/>
      <c r="K74" s="195"/>
    </row>
    <row r="75" spans="2:65" ht="16" hidden="1" outlineLevel="1" thickBot="1">
      <c r="B75" s="168" t="s">
        <v>1993</v>
      </c>
      <c r="C75" s="2061">
        <f>G622</f>
        <v>0</v>
      </c>
      <c r="D75" s="2060"/>
      <c r="E75" s="122"/>
      <c r="F75" s="169" t="s">
        <v>1994</v>
      </c>
      <c r="G75" s="2059"/>
      <c r="H75" s="2060"/>
      <c r="I75" s="122"/>
      <c r="J75" s="122"/>
      <c r="K75" s="195"/>
    </row>
    <row r="76" spans="2:65" ht="16" hidden="1" outlineLevel="1" thickBot="1">
      <c r="B76" s="168" t="s">
        <v>1995</v>
      </c>
      <c r="C76" s="2061">
        <f>I622</f>
        <v>0</v>
      </c>
      <c r="D76" s="2060"/>
      <c r="E76" s="122"/>
      <c r="F76" s="169" t="s">
        <v>1996</v>
      </c>
      <c r="G76" s="2059"/>
      <c r="H76" s="2060"/>
      <c r="I76" s="122"/>
      <c r="J76" s="122"/>
      <c r="K76" s="195"/>
    </row>
    <row r="77" spans="2:65" ht="16" hidden="1" outlineLevel="1" thickBot="1">
      <c r="B77" s="121"/>
      <c r="C77" s="122"/>
      <c r="D77" s="122"/>
      <c r="E77" s="122"/>
      <c r="F77" s="122"/>
      <c r="G77" s="122"/>
      <c r="H77" s="122"/>
      <c r="I77" s="122"/>
      <c r="J77" s="122"/>
      <c r="K77" s="195"/>
    </row>
    <row r="78" spans="2:65" ht="16" hidden="1" outlineLevel="1" thickBot="1">
      <c r="B78" s="121"/>
      <c r="C78" s="169" t="s">
        <v>1997</v>
      </c>
      <c r="D78" s="2062">
        <f>SUM(C72:C76,G72:G76)</f>
        <v>0</v>
      </c>
      <c r="E78" s="169" t="s">
        <v>1998</v>
      </c>
      <c r="F78" s="2062">
        <f>D65</f>
        <v>207000</v>
      </c>
      <c r="G78" s="169" t="s">
        <v>1999</v>
      </c>
      <c r="H78" s="2062">
        <f>D78-F78</f>
        <v>-207000</v>
      </c>
      <c r="I78" s="122"/>
      <c r="J78" s="122"/>
      <c r="K78" s="195"/>
    </row>
    <row r="79" spans="2:65" ht="16" hidden="1" outlineLevel="1" thickBot="1">
      <c r="B79" s="121"/>
      <c r="C79" s="122"/>
      <c r="D79" s="169"/>
      <c r="E79" s="2063"/>
      <c r="F79" s="122"/>
      <c r="G79" s="122"/>
      <c r="H79" s="122"/>
      <c r="I79" s="122"/>
      <c r="J79" s="122"/>
      <c r="K79" s="195"/>
    </row>
    <row r="80" spans="2:65" ht="16" collapsed="1" thickBot="1">
      <c r="B80" s="2381" t="s">
        <v>2000</v>
      </c>
      <c r="C80" s="2382"/>
      <c r="D80" s="124"/>
      <c r="E80" s="124"/>
      <c r="F80" s="124"/>
      <c r="G80" s="124"/>
      <c r="H80" s="124"/>
      <c r="I80" s="124"/>
      <c r="J80" s="124"/>
      <c r="K80" s="491"/>
      <c r="BC80" s="2064" t="s">
        <v>166</v>
      </c>
      <c r="BD80" s="2065"/>
      <c r="BE80" s="2066" t="s">
        <v>167</v>
      </c>
      <c r="BF80" s="2067"/>
      <c r="BG80" s="2065"/>
      <c r="BH80" s="2065"/>
      <c r="BI80" s="2065"/>
      <c r="BJ80" s="2065"/>
      <c r="BK80" s="2065"/>
      <c r="BL80" s="2065"/>
      <c r="BM80" s="2068"/>
    </row>
    <row r="81" spans="2:65" ht="16" thickBot="1">
      <c r="B81" s="523"/>
      <c r="C81" s="523"/>
      <c r="D81" s="523"/>
      <c r="E81" s="523"/>
      <c r="F81" s="523"/>
      <c r="G81" s="523"/>
      <c r="H81" s="523"/>
      <c r="I81" s="523"/>
      <c r="J81" s="523"/>
      <c r="K81" s="523"/>
      <c r="BC81" s="2011" t="s">
        <v>168</v>
      </c>
      <c r="BD81" s="2012" t="s">
        <v>144</v>
      </c>
      <c r="BE81" s="2012" t="s">
        <v>169</v>
      </c>
      <c r="BF81" s="2012" t="s">
        <v>170</v>
      </c>
      <c r="BG81" s="2012" t="s">
        <v>171</v>
      </c>
      <c r="BH81" s="2012" t="s">
        <v>172</v>
      </c>
      <c r="BI81" s="2012" t="s">
        <v>173</v>
      </c>
      <c r="BJ81" s="2012" t="s">
        <v>174</v>
      </c>
      <c r="BK81" s="2012" t="s">
        <v>175</v>
      </c>
      <c r="BL81" s="2012" t="s">
        <v>176</v>
      </c>
      <c r="BM81" s="2069"/>
    </row>
    <row r="82" spans="2:65" ht="17" thickBot="1">
      <c r="B82" s="2304" t="s">
        <v>177</v>
      </c>
      <c r="C82" s="2305"/>
      <c r="D82" s="2305"/>
      <c r="E82" s="2305"/>
      <c r="F82" s="2305"/>
      <c r="G82" s="2305"/>
      <c r="H82" s="2305"/>
      <c r="I82" s="2305"/>
      <c r="J82" s="2305"/>
      <c r="K82" s="2306"/>
      <c r="BC82" s="2011" t="s">
        <v>178</v>
      </c>
      <c r="BD82" s="2070">
        <f>IF($BF$80&gt;0,$BF$80,IF($C$65&gt;0,$C$65,$C$33))</f>
        <v>1609444</v>
      </c>
      <c r="BE82" s="2071">
        <f>$C$36</f>
        <v>9.5000000000000001E-2</v>
      </c>
      <c r="BF82" s="2072">
        <f>$C$38*12</f>
        <v>120</v>
      </c>
      <c r="BG82" s="2073">
        <f>$C$39</f>
        <v>120</v>
      </c>
      <c r="BH82" s="2074">
        <f ca="1">TODAY()+45</f>
        <v>46132</v>
      </c>
      <c r="BI82" s="2074">
        <f ca="1">DATE(YEAR(BH82)+(BG82/12),MONTH(BH82),DAY(BH82))</f>
        <v>49785</v>
      </c>
      <c r="BJ82" s="2072">
        <f ca="1">BI82-BH82</f>
        <v>3653</v>
      </c>
      <c r="BK82" s="2075">
        <f>IFERROR((BE82/360*30*12),0)</f>
        <v>9.5000000000000001E-2</v>
      </c>
      <c r="BL82" s="2076">
        <f>IFERROR((PMT(BK82/12,BG82,-BD82)),"Incomplete Data")</f>
        <v>20825.812263084721</v>
      </c>
      <c r="BM82" s="2069"/>
    </row>
    <row r="83" spans="2:65" ht="17" thickBot="1">
      <c r="B83" s="2383" t="s">
        <v>1910</v>
      </c>
      <c r="C83" s="2384"/>
      <c r="D83" s="2385"/>
      <c r="E83" s="2385"/>
      <c r="F83" s="2385"/>
      <c r="G83" s="2385"/>
      <c r="H83" s="2385"/>
      <c r="I83" s="2385"/>
      <c r="J83" s="2385"/>
      <c r="K83" s="2386"/>
      <c r="BC83" s="2011" t="s">
        <v>118</v>
      </c>
      <c r="BD83" s="2070">
        <f>IF($BF$80&gt;0,$BF$80,IF($C$65&gt;0,$C$65,$C$33))</f>
        <v>1609444</v>
      </c>
      <c r="BE83" s="2071">
        <f>$C$36</f>
        <v>9.5000000000000001E-2</v>
      </c>
      <c r="BF83" s="2072">
        <f>$C$38*12</f>
        <v>120</v>
      </c>
      <c r="BG83" s="2073">
        <f>$C$39</f>
        <v>120</v>
      </c>
      <c r="BH83" s="2074">
        <f ca="1">TODAY()+45</f>
        <v>46132</v>
      </c>
      <c r="BI83" s="2074">
        <f ca="1">DATE(YEAR(BH83)+(BG83/12),MONTH(BH83),DAY(BH83))</f>
        <v>49785</v>
      </c>
      <c r="BJ83" s="2072">
        <f ca="1">BI83-BH83</f>
        <v>3653</v>
      </c>
      <c r="BK83" s="2075">
        <f ca="1">IFERROR((BE83/(365*(BG83/12))*BJ83),0)</f>
        <v>9.5078082191780822E-2</v>
      </c>
      <c r="BL83" s="2076">
        <f t="shared" ref="BL83:BL84" ca="1" si="7">IFERROR((PMT(BK83/12,BG83,-BD83)),"Incomplete Data")</f>
        <v>20832.693335533182</v>
      </c>
      <c r="BM83" s="2069"/>
    </row>
    <row r="84" spans="2:65" ht="17" thickBot="1">
      <c r="B84" s="2077" t="s">
        <v>2001</v>
      </c>
      <c r="C84" s="2078" t="s">
        <v>180</v>
      </c>
      <c r="D84" s="237"/>
      <c r="E84" s="237"/>
      <c r="F84" s="237"/>
      <c r="G84" s="237"/>
      <c r="H84" s="237"/>
      <c r="I84" s="237"/>
      <c r="J84" s="237"/>
      <c r="K84" s="263"/>
      <c r="BC84" s="2011" t="s">
        <v>181</v>
      </c>
      <c r="BD84" s="2070">
        <f>IF($BF$80&gt;0,$BF$80,IF($C$65&gt;0,$C$65,$C$33))</f>
        <v>1609444</v>
      </c>
      <c r="BE84" s="2071">
        <f>$C$36</f>
        <v>9.5000000000000001E-2</v>
      </c>
      <c r="BF84" s="2072">
        <f>$C$38*12</f>
        <v>120</v>
      </c>
      <c r="BG84" s="2073">
        <f>$C$39</f>
        <v>120</v>
      </c>
      <c r="BH84" s="2074">
        <f ca="1">TODAY()+45</f>
        <v>46132</v>
      </c>
      <c r="BI84" s="2074">
        <f ca="1">DATE(YEAR(BH84)+(BG84/12),MONTH(BH84),DAY(BH84))</f>
        <v>49785</v>
      </c>
      <c r="BJ84" s="2072">
        <f ca="1">BI84-BH84</f>
        <v>3653</v>
      </c>
      <c r="BK84" s="2075">
        <f ca="1">IFERROR((BE84/(360*(BG84/12))*BJ84),0)</f>
        <v>9.6398611111111115E-2</v>
      </c>
      <c r="BL84" s="2076">
        <f t="shared" ca="1" si="7"/>
        <v>20949.252757680959</v>
      </c>
      <c r="BM84" s="2069"/>
    </row>
    <row r="85" spans="2:65" ht="16">
      <c r="B85" s="312" t="s">
        <v>182</v>
      </c>
      <c r="C85" s="270"/>
      <c r="D85" s="135">
        <v>44926</v>
      </c>
      <c r="E85" s="239"/>
      <c r="F85" s="135">
        <f>EOMONTH(D85,F86)</f>
        <v>45291</v>
      </c>
      <c r="G85" s="239"/>
      <c r="H85" s="135">
        <f>EOMONTH(F85,H86)</f>
        <v>45657</v>
      </c>
      <c r="I85" s="239"/>
      <c r="J85" s="135">
        <v>45975</v>
      </c>
      <c r="K85" s="235"/>
      <c r="BC85" s="2079"/>
      <c r="BD85" s="2070"/>
      <c r="BE85" s="2071"/>
      <c r="BF85" s="2072"/>
      <c r="BG85" s="2072"/>
      <c r="BH85" s="2072"/>
      <c r="BI85" s="2074"/>
      <c r="BJ85" s="2072"/>
      <c r="BK85" s="2075"/>
      <c r="BL85" s="2076"/>
      <c r="BM85" s="2069"/>
    </row>
    <row r="86" spans="2:65" ht="16">
      <c r="B86" s="312" t="s">
        <v>183</v>
      </c>
      <c r="C86" s="270"/>
      <c r="D86" s="136">
        <v>12</v>
      </c>
      <c r="E86" s="316"/>
      <c r="F86" s="136">
        <v>12</v>
      </c>
      <c r="G86" s="316"/>
      <c r="H86" s="136">
        <v>12</v>
      </c>
      <c r="I86" s="316"/>
      <c r="J86" s="136">
        <v>11</v>
      </c>
      <c r="K86" s="322"/>
      <c r="BC86" s="2079" t="s">
        <v>184</v>
      </c>
      <c r="BD86" s="2070"/>
      <c r="BE86" s="2071"/>
      <c r="BF86" s="2072"/>
      <c r="BG86" s="2072"/>
      <c r="BH86" s="2072"/>
      <c r="BI86" s="2074"/>
      <c r="BJ86" s="2072"/>
      <c r="BK86" s="2075"/>
      <c r="BL86" s="2076"/>
      <c r="BM86" s="2069"/>
    </row>
    <row r="87" spans="2:65" ht="16">
      <c r="B87" s="312" t="s">
        <v>185</v>
      </c>
      <c r="C87" s="270"/>
      <c r="D87" s="137" t="s">
        <v>186</v>
      </c>
      <c r="E87" s="317"/>
      <c r="F87" s="137" t="s">
        <v>186</v>
      </c>
      <c r="G87" s="317"/>
      <c r="H87" s="137" t="s">
        <v>186</v>
      </c>
      <c r="I87" s="317"/>
      <c r="J87" s="137" t="s">
        <v>187</v>
      </c>
      <c r="K87" s="322"/>
      <c r="BC87" s="2011" t="s">
        <v>168</v>
      </c>
      <c r="BD87" s="2012" t="s">
        <v>144</v>
      </c>
      <c r="BE87" s="2012" t="s">
        <v>169</v>
      </c>
      <c r="BF87" s="2012" t="s">
        <v>170</v>
      </c>
      <c r="BG87" s="2012" t="s">
        <v>171</v>
      </c>
      <c r="BH87" s="2012" t="s">
        <v>172</v>
      </c>
      <c r="BI87" s="2012" t="s">
        <v>173</v>
      </c>
      <c r="BJ87" s="2012" t="s">
        <v>174</v>
      </c>
      <c r="BK87" s="2012" t="s">
        <v>175</v>
      </c>
      <c r="BL87" s="2012" t="s">
        <v>176</v>
      </c>
      <c r="BM87" s="2069"/>
    </row>
    <row r="88" spans="2:65" ht="16">
      <c r="B88" s="312" t="s">
        <v>188</v>
      </c>
      <c r="C88" s="270"/>
      <c r="D88" s="137"/>
      <c r="E88" s="317"/>
      <c r="F88" s="137"/>
      <c r="G88" s="317"/>
      <c r="H88" s="137"/>
      <c r="I88" s="317"/>
      <c r="J88" s="137"/>
      <c r="K88" s="322"/>
      <c r="BC88" s="2011" t="s">
        <v>178</v>
      </c>
      <c r="BD88" s="2070">
        <f>IF($BF$80&gt;0,$BF$80,IF($C$65&gt;0,$C$65,$C$33))</f>
        <v>1609444</v>
      </c>
      <c r="BE88" s="2071">
        <f>$C$36+1%</f>
        <v>0.105</v>
      </c>
      <c r="BF88" s="2072">
        <f t="shared" ref="BF88:BF90" si="8">$C$38*12</f>
        <v>120</v>
      </c>
      <c r="BG88" s="2073">
        <f>$C$39</f>
        <v>120</v>
      </c>
      <c r="BH88" s="2074">
        <f t="shared" ref="BH88:BH90" ca="1" si="9">TODAY()+45</f>
        <v>46132</v>
      </c>
      <c r="BI88" s="2074">
        <f ca="1">DATE(YEAR(BH88)+(BG88/12),MONTH(BH88),DAY(BH88))</f>
        <v>49785</v>
      </c>
      <c r="BJ88" s="2072">
        <f ca="1">BI88-BH88</f>
        <v>3653</v>
      </c>
      <c r="BK88" s="2075">
        <f>IFERROR((BE88/360*30*12),0)</f>
        <v>0.10499999999999998</v>
      </c>
      <c r="BL88" s="2076">
        <f>IFERROR((PMT(BK88/12,BG88,-BD88)),"Incomplete Data")</f>
        <v>21717.032095042341</v>
      </c>
      <c r="BM88" s="2069"/>
    </row>
    <row r="89" spans="2:65" ht="16">
      <c r="B89" s="236" t="s">
        <v>189</v>
      </c>
      <c r="C89" s="234"/>
      <c r="D89" s="314"/>
      <c r="E89" s="315"/>
      <c r="F89" s="314"/>
      <c r="G89" s="315"/>
      <c r="H89" s="314"/>
      <c r="I89" s="315"/>
      <c r="J89" s="314"/>
      <c r="K89" s="323"/>
      <c r="BC89" s="2011" t="s">
        <v>118</v>
      </c>
      <c r="BD89" s="2070">
        <f>IF($BF$80&gt;0,$BF$80,IF($C$65&gt;0,$C$65,$C$33))</f>
        <v>1609444</v>
      </c>
      <c r="BE89" s="2071">
        <f>$C$36+1%</f>
        <v>0.105</v>
      </c>
      <c r="BF89" s="2072">
        <f t="shared" si="8"/>
        <v>120</v>
      </c>
      <c r="BG89" s="2073">
        <f>$C$39</f>
        <v>120</v>
      </c>
      <c r="BH89" s="2074">
        <f t="shared" ca="1" si="9"/>
        <v>46132</v>
      </c>
      <c r="BI89" s="2074">
        <f ca="1">DATE(YEAR(BH89)+(BG89/12),MONTH(BH89),DAY(BH89))</f>
        <v>49785</v>
      </c>
      <c r="BJ89" s="2072">
        <f ca="1">BI89-BH89</f>
        <v>3653</v>
      </c>
      <c r="BK89" s="2075">
        <f ca="1">IFERROR((BE89/(365*(BG89/12))*BJ89),0)</f>
        <v>0.10508630136986301</v>
      </c>
      <c r="BL89" s="2076">
        <f t="shared" ref="BL89:BL90" ca="1" si="10">IFERROR((PMT(BK89/12,BG89,-BD89)),"Incomplete Data")</f>
        <v>21724.810222324228</v>
      </c>
      <c r="BM89" s="2069"/>
    </row>
    <row r="90" spans="2:65" ht="16">
      <c r="B90" s="269" t="s">
        <v>190</v>
      </c>
      <c r="C90" s="1052" t="s">
        <v>2002</v>
      </c>
      <c r="D90" s="4">
        <v>3177438</v>
      </c>
      <c r="E90" s="318">
        <f>IF(D$99=0,0,D90/D$99)</f>
        <v>1</v>
      </c>
      <c r="F90" s="4">
        <v>3528260</v>
      </c>
      <c r="G90" s="318">
        <f>IF(F$99=0,0,F90/F$99)</f>
        <v>1</v>
      </c>
      <c r="H90" s="4">
        <v>3758825</v>
      </c>
      <c r="I90" s="318">
        <f>IF(H$99=0,0,H90/H$99)</f>
        <v>1</v>
      </c>
      <c r="J90" s="4">
        <v>3222879</v>
      </c>
      <c r="K90" s="2080">
        <f>IF(J$99=0,0,J90/J$99)</f>
        <v>1</v>
      </c>
      <c r="BC90" s="2011" t="s">
        <v>181</v>
      </c>
      <c r="BD90" s="2070">
        <f>IF($BF$80&gt;0,$BF$80,IF($C$65&gt;0,$C$65,$C$33))</f>
        <v>1609444</v>
      </c>
      <c r="BE90" s="2071">
        <f>$C$36+1%</f>
        <v>0.105</v>
      </c>
      <c r="BF90" s="2072">
        <f t="shared" si="8"/>
        <v>120</v>
      </c>
      <c r="BG90" s="2073">
        <f>$C$39</f>
        <v>120</v>
      </c>
      <c r="BH90" s="2074">
        <f t="shared" ca="1" si="9"/>
        <v>46132</v>
      </c>
      <c r="BI90" s="2074">
        <f ca="1">DATE(YEAR(BH90)+(BG90/12),MONTH(BH90),DAY(BH90))</f>
        <v>49785</v>
      </c>
      <c r="BJ90" s="2072">
        <f ca="1">BI90-BH90</f>
        <v>3653</v>
      </c>
      <c r="BK90" s="2075">
        <f ca="1">IFERROR((BE90/(360*(BG90/12))*BJ90),0)</f>
        <v>0.10654583333333333</v>
      </c>
      <c r="BL90" s="2076">
        <f t="shared" ca="1" si="10"/>
        <v>21856.577296275027</v>
      </c>
      <c r="BM90" s="2069"/>
    </row>
    <row r="91" spans="2:65" ht="16">
      <c r="B91" s="269" t="s">
        <v>191</v>
      </c>
      <c r="C91" s="2081" t="s">
        <v>2002</v>
      </c>
      <c r="D91" s="5">
        <v>1545099</v>
      </c>
      <c r="E91" s="318">
        <f t="shared" ref="E91:E101" si="11">IF(D$99=0,0,D91/D$99)</f>
        <v>0.48627195872901374</v>
      </c>
      <c r="F91" s="5">
        <v>1911206</v>
      </c>
      <c r="G91" s="318">
        <f t="shared" ref="G91:G101" si="12">IF(F$99=0,0,F91/F$99)</f>
        <v>0.54168513658290485</v>
      </c>
      <c r="H91" s="5">
        <v>2174000</v>
      </c>
      <c r="I91" s="318">
        <f t="shared" ref="I91:I101" si="13">IF(H$99=0,0,H91/H$99)</f>
        <v>0.57837223068379084</v>
      </c>
      <c r="J91" s="5">
        <v>1327655</v>
      </c>
      <c r="K91" s="2080">
        <f t="shared" ref="K91:K101" si="14">IF(J$99=0,0,J91/J$99)</f>
        <v>0.4119468959275232</v>
      </c>
      <c r="BC91" s="2079"/>
      <c r="BD91" s="2070"/>
      <c r="BE91" s="2071"/>
      <c r="BF91" s="2072"/>
      <c r="BG91" s="2072"/>
      <c r="BH91" s="2072"/>
      <c r="BI91" s="2074"/>
      <c r="BJ91" s="2072"/>
      <c r="BK91" s="2075"/>
      <c r="BL91" s="2076"/>
      <c r="BM91" s="2069"/>
    </row>
    <row r="92" spans="2:65" ht="16">
      <c r="B92" s="269" t="s">
        <v>2003</v>
      </c>
      <c r="C92" s="2082" t="s">
        <v>2002</v>
      </c>
      <c r="D92" s="333">
        <f>D90-D91</f>
        <v>1632339</v>
      </c>
      <c r="E92" s="318">
        <f t="shared" si="11"/>
        <v>0.51372804127098626</v>
      </c>
      <c r="F92" s="333">
        <f>F90-F91</f>
        <v>1617054</v>
      </c>
      <c r="G92" s="318">
        <f t="shared" si="12"/>
        <v>0.4583148634170951</v>
      </c>
      <c r="H92" s="333">
        <f>H90-H91</f>
        <v>1584825</v>
      </c>
      <c r="I92" s="318">
        <f t="shared" si="13"/>
        <v>0.42162776931620921</v>
      </c>
      <c r="J92" s="333">
        <f>J90-J91</f>
        <v>1895224</v>
      </c>
      <c r="K92" s="2080">
        <f t="shared" si="14"/>
        <v>0.5880531040724768</v>
      </c>
      <c r="BC92" s="2079" t="s">
        <v>192</v>
      </c>
      <c r="BD92" s="2070"/>
      <c r="BE92" s="2071"/>
      <c r="BF92" s="2072"/>
      <c r="BG92" s="2072"/>
      <c r="BH92" s="2072"/>
      <c r="BI92" s="2074"/>
      <c r="BJ92" s="2072"/>
      <c r="BK92" s="2075"/>
      <c r="BL92" s="2076"/>
      <c r="BM92" s="2069"/>
    </row>
    <row r="93" spans="2:65" ht="16" outlineLevel="1">
      <c r="B93" s="269" t="s">
        <v>190</v>
      </c>
      <c r="C93" s="2083" t="s">
        <v>2004</v>
      </c>
      <c r="D93" s="5"/>
      <c r="E93" s="318">
        <f t="shared" si="11"/>
        <v>0</v>
      </c>
      <c r="F93" s="5"/>
      <c r="G93" s="318">
        <f t="shared" si="12"/>
        <v>0</v>
      </c>
      <c r="H93" s="5"/>
      <c r="I93" s="318">
        <f t="shared" si="13"/>
        <v>0</v>
      </c>
      <c r="J93" s="5"/>
      <c r="K93" s="2080">
        <f t="shared" si="14"/>
        <v>0</v>
      </c>
      <c r="BC93" s="2011" t="s">
        <v>168</v>
      </c>
      <c r="BD93" s="2012" t="s">
        <v>144</v>
      </c>
      <c r="BE93" s="2012" t="s">
        <v>169</v>
      </c>
      <c r="BF93" s="2012" t="s">
        <v>170</v>
      </c>
      <c r="BG93" s="2012" t="s">
        <v>171</v>
      </c>
      <c r="BH93" s="2012" t="s">
        <v>172</v>
      </c>
      <c r="BI93" s="2012" t="s">
        <v>173</v>
      </c>
      <c r="BJ93" s="2012" t="s">
        <v>174</v>
      </c>
      <c r="BK93" s="2012" t="s">
        <v>175</v>
      </c>
      <c r="BL93" s="2012" t="s">
        <v>176</v>
      </c>
      <c r="BM93" s="2069"/>
    </row>
    <row r="94" spans="2:65" ht="16" outlineLevel="1">
      <c r="B94" s="269" t="s">
        <v>191</v>
      </c>
      <c r="C94" s="2083" t="s">
        <v>2004</v>
      </c>
      <c r="D94" s="5"/>
      <c r="E94" s="318">
        <f t="shared" si="11"/>
        <v>0</v>
      </c>
      <c r="F94" s="5"/>
      <c r="G94" s="318">
        <f t="shared" si="12"/>
        <v>0</v>
      </c>
      <c r="H94" s="5"/>
      <c r="I94" s="318">
        <f t="shared" si="13"/>
        <v>0</v>
      </c>
      <c r="J94" s="5"/>
      <c r="K94" s="2080">
        <f t="shared" si="14"/>
        <v>0</v>
      </c>
      <c r="BC94" s="2011" t="s">
        <v>178</v>
      </c>
      <c r="BD94" s="2070">
        <f>IF($BF$80&gt;0,$BF$80,IF($C$65&gt;0,$C$65,$C$33))</f>
        <v>1609444</v>
      </c>
      <c r="BE94" s="2071">
        <f>$C$36+2%</f>
        <v>0.115</v>
      </c>
      <c r="BF94" s="2072">
        <f t="shared" ref="BF94:BF96" si="15">$C$38*12</f>
        <v>120</v>
      </c>
      <c r="BG94" s="2073">
        <f t="shared" ref="BG94:BG96" si="16">$C$39</f>
        <v>120</v>
      </c>
      <c r="BH94" s="2074">
        <f t="shared" ref="BH94:BH96" ca="1" si="17">TODAY()+45</f>
        <v>46132</v>
      </c>
      <c r="BI94" s="2074">
        <f ca="1">DATE(YEAR(BH94)+(BG94/12),MONTH(BH94),DAY(BH94))</f>
        <v>49785</v>
      </c>
      <c r="BJ94" s="2072">
        <f ca="1">BI94-BH94</f>
        <v>3653</v>
      </c>
      <c r="BK94" s="2075">
        <f>IFERROR((BE94/360*30*12),0)</f>
        <v>0.11500000000000002</v>
      </c>
      <c r="BL94" s="2076">
        <f>IFERROR((PMT(BK94/12,BG94,-BD94)),"Incomplete Data")</f>
        <v>22628.0493739306</v>
      </c>
      <c r="BM94" s="2069"/>
    </row>
    <row r="95" spans="2:65" ht="16" outlineLevel="1">
      <c r="B95" s="269" t="s">
        <v>2003</v>
      </c>
      <c r="C95" s="2082" t="s">
        <v>2004</v>
      </c>
      <c r="D95" s="333">
        <f>D93-D94</f>
        <v>0</v>
      </c>
      <c r="E95" s="318">
        <f t="shared" si="11"/>
        <v>0</v>
      </c>
      <c r="F95" s="333">
        <f>F93-F94</f>
        <v>0</v>
      </c>
      <c r="G95" s="318">
        <f t="shared" si="12"/>
        <v>0</v>
      </c>
      <c r="H95" s="333">
        <f>H93-H94</f>
        <v>0</v>
      </c>
      <c r="I95" s="318">
        <f t="shared" si="13"/>
        <v>0</v>
      </c>
      <c r="J95" s="333">
        <f>J93-J94</f>
        <v>0</v>
      </c>
      <c r="K95" s="2080">
        <f t="shared" si="14"/>
        <v>0</v>
      </c>
      <c r="BC95" s="2011" t="s">
        <v>118</v>
      </c>
      <c r="BD95" s="2070">
        <f>IF($BF$80&gt;0,$BF$80,IF($C$65&gt;0,$C$65,$C$33))</f>
        <v>1609444</v>
      </c>
      <c r="BE95" s="2071">
        <f>$C$36+2%</f>
        <v>0.115</v>
      </c>
      <c r="BF95" s="2072">
        <f t="shared" si="15"/>
        <v>120</v>
      </c>
      <c r="BG95" s="2073">
        <f t="shared" si="16"/>
        <v>120</v>
      </c>
      <c r="BH95" s="2074">
        <f t="shared" ca="1" si="17"/>
        <v>46132</v>
      </c>
      <c r="BI95" s="2074">
        <f ca="1">DATE(YEAR(BH95)+(BG95/12),MONTH(BH95),DAY(BH95))</f>
        <v>49785</v>
      </c>
      <c r="BJ95" s="2072">
        <f ca="1">BI95-BH95</f>
        <v>3653</v>
      </c>
      <c r="BK95" s="2075">
        <f ca="1">IFERROR((BE95/(365*(BG95/12))*BJ95),0)</f>
        <v>0.11509452054794522</v>
      </c>
      <c r="BL95" s="2076">
        <f t="shared" ref="BL95:BL96" ca="1" si="18">IFERROR((PMT(BK95/12,BG95,-BD95)),"Incomplete Data")</f>
        <v>22636.753422644637</v>
      </c>
      <c r="BM95" s="2069"/>
    </row>
    <row r="96" spans="2:65" ht="16" outlineLevel="1">
      <c r="B96" s="269" t="s">
        <v>190</v>
      </c>
      <c r="C96" s="2083" t="s">
        <v>2005</v>
      </c>
      <c r="D96" s="5"/>
      <c r="E96" s="318">
        <f t="shared" si="11"/>
        <v>0</v>
      </c>
      <c r="F96" s="5"/>
      <c r="G96" s="318">
        <f t="shared" si="12"/>
        <v>0</v>
      </c>
      <c r="H96" s="5"/>
      <c r="I96" s="318">
        <f t="shared" si="13"/>
        <v>0</v>
      </c>
      <c r="J96" s="5"/>
      <c r="K96" s="2080">
        <f t="shared" si="14"/>
        <v>0</v>
      </c>
      <c r="BC96" s="2011" t="s">
        <v>181</v>
      </c>
      <c r="BD96" s="2070">
        <f>IF($BF$80&gt;0,$BF$80,IF($C$65&gt;0,$C$65,$C$33))</f>
        <v>1609444</v>
      </c>
      <c r="BE96" s="2071">
        <f>$C$36+2%</f>
        <v>0.115</v>
      </c>
      <c r="BF96" s="2072">
        <f t="shared" si="15"/>
        <v>120</v>
      </c>
      <c r="BG96" s="2073">
        <f t="shared" si="16"/>
        <v>120</v>
      </c>
      <c r="BH96" s="2074">
        <f t="shared" ca="1" si="17"/>
        <v>46132</v>
      </c>
      <c r="BI96" s="2074">
        <f ca="1">DATE(YEAR(BH96)+(BG96/12),MONTH(BH96),DAY(BH96))</f>
        <v>49785</v>
      </c>
      <c r="BJ96" s="2072">
        <f ca="1">BI96-BH96</f>
        <v>3653</v>
      </c>
      <c r="BK96" s="2075">
        <f ca="1">IFERROR((BE96/(360*(BG96/12))*BJ96),0)</f>
        <v>0.11669305555555556</v>
      </c>
      <c r="BL96" s="2076">
        <f t="shared" ca="1" si="18"/>
        <v>22784.218231921179</v>
      </c>
      <c r="BM96" s="2069"/>
    </row>
    <row r="97" spans="2:65" ht="16" outlineLevel="1">
      <c r="B97" s="269" t="s">
        <v>191</v>
      </c>
      <c r="C97" s="2083" t="s">
        <v>2005</v>
      </c>
      <c r="D97" s="5"/>
      <c r="E97" s="318">
        <f t="shared" si="11"/>
        <v>0</v>
      </c>
      <c r="F97" s="5"/>
      <c r="G97" s="318">
        <f t="shared" si="12"/>
        <v>0</v>
      </c>
      <c r="H97" s="5"/>
      <c r="I97" s="318">
        <f t="shared" si="13"/>
        <v>0</v>
      </c>
      <c r="J97" s="5"/>
      <c r="K97" s="2080">
        <f t="shared" si="14"/>
        <v>0</v>
      </c>
      <c r="BC97" s="2079"/>
      <c r="BD97" s="2070"/>
      <c r="BE97" s="2071"/>
      <c r="BF97" s="2072"/>
      <c r="BG97" s="2072"/>
      <c r="BH97" s="2072"/>
      <c r="BI97" s="2074"/>
      <c r="BJ97" s="2072"/>
      <c r="BK97" s="2075"/>
      <c r="BL97" s="2076"/>
      <c r="BM97" s="2069"/>
    </row>
    <row r="98" spans="2:65" ht="16" outlineLevel="1">
      <c r="B98" s="2084" t="s">
        <v>2003</v>
      </c>
      <c r="C98" s="2082" t="s">
        <v>2005</v>
      </c>
      <c r="D98" s="333">
        <f>D96-D97</f>
        <v>0</v>
      </c>
      <c r="E98" s="318">
        <f t="shared" si="11"/>
        <v>0</v>
      </c>
      <c r="F98" s="333">
        <f>F96-F97</f>
        <v>0</v>
      </c>
      <c r="G98" s="318">
        <f t="shared" si="12"/>
        <v>0</v>
      </c>
      <c r="H98" s="333">
        <f>H96-H97</f>
        <v>0</v>
      </c>
      <c r="I98" s="318">
        <f t="shared" si="13"/>
        <v>0</v>
      </c>
      <c r="J98" s="333">
        <f>J96-J97</f>
        <v>0</v>
      </c>
      <c r="K98" s="2080">
        <f t="shared" si="14"/>
        <v>0</v>
      </c>
      <c r="BC98" s="2079" t="s">
        <v>193</v>
      </c>
      <c r="BD98" s="2070"/>
      <c r="BE98" s="2071"/>
      <c r="BF98" s="2072"/>
      <c r="BG98" s="2072"/>
      <c r="BH98" s="2072"/>
      <c r="BI98" s="2074"/>
      <c r="BJ98" s="2072"/>
      <c r="BK98" s="2075"/>
      <c r="BL98" s="2076"/>
      <c r="BM98" s="2069"/>
    </row>
    <row r="99" spans="2:65" ht="16">
      <c r="B99" s="159" t="s">
        <v>2006</v>
      </c>
      <c r="C99" s="2085" t="s">
        <v>194</v>
      </c>
      <c r="D99" s="506">
        <f>D90+D93+D96</f>
        <v>3177438</v>
      </c>
      <c r="E99" s="318">
        <f t="shared" si="11"/>
        <v>1</v>
      </c>
      <c r="F99" s="506">
        <f>F90+F93+F96</f>
        <v>3528260</v>
      </c>
      <c r="G99" s="318">
        <f t="shared" si="12"/>
        <v>1</v>
      </c>
      <c r="H99" s="506">
        <f>H90+H93+H96</f>
        <v>3758825</v>
      </c>
      <c r="I99" s="318">
        <f t="shared" si="13"/>
        <v>1</v>
      </c>
      <c r="J99" s="506">
        <f>J90+J93+J96</f>
        <v>3222879</v>
      </c>
      <c r="K99" s="2080">
        <f t="shared" si="14"/>
        <v>1</v>
      </c>
      <c r="BC99" s="2011" t="s">
        <v>168</v>
      </c>
      <c r="BD99" s="2012" t="s">
        <v>144</v>
      </c>
      <c r="BE99" s="2012" t="s">
        <v>169</v>
      </c>
      <c r="BF99" s="2012" t="s">
        <v>170</v>
      </c>
      <c r="BG99" s="2012" t="s">
        <v>171</v>
      </c>
      <c r="BH99" s="2012" t="s">
        <v>172</v>
      </c>
      <c r="BI99" s="2012" t="s">
        <v>173</v>
      </c>
      <c r="BJ99" s="2012" t="s">
        <v>174</v>
      </c>
      <c r="BK99" s="2012" t="s">
        <v>175</v>
      </c>
      <c r="BL99" s="2012" t="s">
        <v>176</v>
      </c>
      <c r="BM99" s="2069"/>
    </row>
    <row r="100" spans="2:65" ht="16">
      <c r="B100" s="121"/>
      <c r="C100" s="2085" t="s">
        <v>195</v>
      </c>
      <c r="D100" s="507">
        <f>D91+D94+D97</f>
        <v>1545099</v>
      </c>
      <c r="E100" s="318">
        <f t="shared" si="11"/>
        <v>0.48627195872901374</v>
      </c>
      <c r="F100" s="507">
        <f>F91+F94+F97</f>
        <v>1911206</v>
      </c>
      <c r="G100" s="318">
        <f t="shared" si="12"/>
        <v>0.54168513658290485</v>
      </c>
      <c r="H100" s="507">
        <f>H91+H94+H97</f>
        <v>2174000</v>
      </c>
      <c r="I100" s="318">
        <f t="shared" si="13"/>
        <v>0.57837223068379084</v>
      </c>
      <c r="J100" s="507">
        <f>J91+J94+J97</f>
        <v>1327655</v>
      </c>
      <c r="K100" s="2080">
        <f t="shared" si="14"/>
        <v>0.4119468959275232</v>
      </c>
      <c r="BC100" s="2011" t="s">
        <v>178</v>
      </c>
      <c r="BD100" s="2070">
        <f>IF($BF$80&gt;0,$BF$80,IF($C$65&gt;0,$C$65,$C$33))</f>
        <v>1609444</v>
      </c>
      <c r="BE100" s="2071">
        <f>$C$36+3%</f>
        <v>0.125</v>
      </c>
      <c r="BF100" s="2072">
        <f t="shared" ref="BF100:BF102" si="19">$C$38*12</f>
        <v>120</v>
      </c>
      <c r="BG100" s="2073">
        <f t="shared" ref="BG100:BG102" si="20">$C$39</f>
        <v>120</v>
      </c>
      <c r="BH100" s="2074">
        <f t="shared" ref="BH100:BH102" ca="1" si="21">TODAY()+45</f>
        <v>46132</v>
      </c>
      <c r="BI100" s="2074">
        <f ca="1">DATE(YEAR(BH100)+(BG100/12),MONTH(BH100),DAY(BH100))</f>
        <v>49785</v>
      </c>
      <c r="BJ100" s="2072">
        <f ca="1">BI100-BH100</f>
        <v>3653</v>
      </c>
      <c r="BK100" s="2075">
        <f>IFERROR((BE100/360*30*12),0)</f>
        <v>0.125</v>
      </c>
      <c r="BL100" s="2076">
        <f>IFERROR((PMT(BK100/12,BG100,-BD100)),"Incomplete Data")</f>
        <v>23558.424641376099</v>
      </c>
      <c r="BM100" s="2069"/>
    </row>
    <row r="101" spans="2:65" ht="16">
      <c r="B101" s="121"/>
      <c r="C101" s="2085" t="s">
        <v>196</v>
      </c>
      <c r="D101" s="508">
        <f>D99-D100</f>
        <v>1632339</v>
      </c>
      <c r="E101" s="318">
        <f t="shared" si="11"/>
        <v>0.51372804127098626</v>
      </c>
      <c r="F101" s="508">
        <f>F99-F100</f>
        <v>1617054</v>
      </c>
      <c r="G101" s="318">
        <f t="shared" si="12"/>
        <v>0.4583148634170951</v>
      </c>
      <c r="H101" s="508">
        <f>H99-H100</f>
        <v>1584825</v>
      </c>
      <c r="I101" s="318">
        <f t="shared" si="13"/>
        <v>0.42162776931620921</v>
      </c>
      <c r="J101" s="508">
        <f>J99-J100</f>
        <v>1895224</v>
      </c>
      <c r="K101" s="2080">
        <f t="shared" si="14"/>
        <v>0.5880531040724768</v>
      </c>
      <c r="BC101" s="2011" t="s">
        <v>118</v>
      </c>
      <c r="BD101" s="2070">
        <f>IF($BF$80&gt;0,$BF$80,IF($C$65&gt;0,$C$65,$C$33))</f>
        <v>1609444</v>
      </c>
      <c r="BE101" s="2071">
        <f>$C$36+3%</f>
        <v>0.125</v>
      </c>
      <c r="BF101" s="2072">
        <f t="shared" si="19"/>
        <v>120</v>
      </c>
      <c r="BG101" s="2073">
        <f t="shared" si="20"/>
        <v>120</v>
      </c>
      <c r="BH101" s="2074">
        <f t="shared" ca="1" si="21"/>
        <v>46132</v>
      </c>
      <c r="BI101" s="2074">
        <f ca="1">DATE(YEAR(BH101)+(BG101/12),MONTH(BH101),DAY(BH101))</f>
        <v>49785</v>
      </c>
      <c r="BJ101" s="2072">
        <f ca="1">BI101-BH101</f>
        <v>3653</v>
      </c>
      <c r="BK101" s="2075">
        <f ca="1">IFERROR((BE101/(365*(BG101/12))*BJ101),0)</f>
        <v>0.1251027397260274</v>
      </c>
      <c r="BL101" s="2076">
        <f t="shared" ref="BL101:BL102" ca="1" si="22">IFERROR((PMT(BK101/12,BG101,-BD101)),"Incomplete Data")</f>
        <v>23568.082161377326</v>
      </c>
      <c r="BM101" s="2069"/>
    </row>
    <row r="102" spans="2:65" ht="16">
      <c r="B102" s="121"/>
      <c r="C102" s="2085"/>
      <c r="D102" s="2086"/>
      <c r="E102" s="319"/>
      <c r="F102" s="2086"/>
      <c r="G102" s="319"/>
      <c r="H102" s="2086"/>
      <c r="I102" s="319"/>
      <c r="J102" s="2086"/>
      <c r="K102" s="2087"/>
      <c r="BC102" s="2011" t="s">
        <v>181</v>
      </c>
      <c r="BD102" s="2070">
        <f>IF($BF$80&gt;0,$BF$80,IF($C$65&gt;0,$C$65,$C$33))</f>
        <v>1609444</v>
      </c>
      <c r="BE102" s="2071">
        <f>$C$36+3%</f>
        <v>0.125</v>
      </c>
      <c r="BF102" s="2072">
        <f t="shared" si="19"/>
        <v>120</v>
      </c>
      <c r="BG102" s="2073">
        <f t="shared" si="20"/>
        <v>120</v>
      </c>
      <c r="BH102" s="2074">
        <f t="shared" ca="1" si="21"/>
        <v>46132</v>
      </c>
      <c r="BI102" s="2074">
        <f ca="1">DATE(YEAR(BH102)+(BG102/12),MONTH(BH102),DAY(BH102))</f>
        <v>49785</v>
      </c>
      <c r="BJ102" s="2072">
        <f ca="1">BI102-BH102</f>
        <v>3653</v>
      </c>
      <c r="BK102" s="2075">
        <f ca="1">IFERROR((BE102/(360*(BG102/12))*BJ102),0)</f>
        <v>0.12684027777777779</v>
      </c>
      <c r="BL102" s="2076">
        <f t="shared" ca="1" si="22"/>
        <v>23731.712108727352</v>
      </c>
      <c r="BM102" s="2069"/>
    </row>
    <row r="103" spans="2:65" ht="16">
      <c r="B103" s="121"/>
      <c r="C103" s="2085" t="s">
        <v>197</v>
      </c>
      <c r="D103" s="509"/>
      <c r="E103" s="318"/>
      <c r="F103" s="509"/>
      <c r="G103" s="318"/>
      <c r="H103" s="509"/>
      <c r="I103" s="318"/>
      <c r="J103" s="509"/>
      <c r="K103" s="2080"/>
      <c r="BC103" s="2079"/>
      <c r="BD103" s="2070"/>
      <c r="BE103" s="2071"/>
      <c r="BF103" s="2072"/>
      <c r="BG103" s="2072"/>
      <c r="BH103" s="2072"/>
      <c r="BI103" s="2074"/>
      <c r="BJ103" s="2072"/>
      <c r="BK103" s="2075"/>
      <c r="BL103" s="2076"/>
      <c r="BM103" s="2069"/>
    </row>
    <row r="104" spans="2:65" ht="16">
      <c r="B104" s="121"/>
      <c r="C104" s="270" t="s">
        <v>198</v>
      </c>
      <c r="D104" s="5">
        <v>280800</v>
      </c>
      <c r="E104" s="318">
        <f>IF(D$99=0,0,D104/D$99)</f>
        <v>8.8373085485853695E-2</v>
      </c>
      <c r="F104" s="5">
        <v>280800</v>
      </c>
      <c r="G104" s="318">
        <f>IF(F$99=0,0,F104/F$99)</f>
        <v>7.9585971555384244E-2</v>
      </c>
      <c r="H104" s="5">
        <v>290940</v>
      </c>
      <c r="I104" s="318">
        <f>IF(H$99=0,0,H104/H$99)</f>
        <v>7.7401847651859285E-2</v>
      </c>
      <c r="J104" s="5"/>
      <c r="K104" s="2080">
        <f>IF(J$99=0,0,J104/J$99)</f>
        <v>0</v>
      </c>
      <c r="BC104" s="2079" t="s">
        <v>199</v>
      </c>
      <c r="BD104" s="2070"/>
      <c r="BE104" s="2071"/>
      <c r="BF104" s="2072"/>
      <c r="BG104" s="2072"/>
      <c r="BH104" s="2072"/>
      <c r="BI104" s="2074"/>
      <c r="BJ104" s="2072"/>
      <c r="BK104" s="2075"/>
      <c r="BL104" s="2076"/>
      <c r="BM104" s="2069"/>
    </row>
    <row r="105" spans="2:65" ht="16">
      <c r="B105" s="121"/>
      <c r="C105" s="270" t="s">
        <v>200</v>
      </c>
      <c r="D105" s="5">
        <v>684031</v>
      </c>
      <c r="E105" s="318">
        <f t="shared" ref="E105:G141" si="23">IF(D$99=0,0,D105/D$99)</f>
        <v>0.2152775286252635</v>
      </c>
      <c r="F105" s="5">
        <v>694676</v>
      </c>
      <c r="G105" s="318">
        <f t="shared" si="23"/>
        <v>0.19688911814888926</v>
      </c>
      <c r="H105" s="5">
        <v>711768</v>
      </c>
      <c r="I105" s="318">
        <f t="shared" ref="I105:I128" si="24">IF(H$99=0,0,H105/H$99)</f>
        <v>0.18935917474210689</v>
      </c>
      <c r="J105" s="5"/>
      <c r="K105" s="2080">
        <f t="shared" ref="K105:K128" si="25">IF(J$99=0,0,J105/J$99)</f>
        <v>0</v>
      </c>
      <c r="BC105" s="2011" t="s">
        <v>168</v>
      </c>
      <c r="BD105" s="2012" t="s">
        <v>144</v>
      </c>
      <c r="BE105" s="2012" t="s">
        <v>169</v>
      </c>
      <c r="BF105" s="2012" t="s">
        <v>170</v>
      </c>
      <c r="BG105" s="2012" t="s">
        <v>171</v>
      </c>
      <c r="BH105" s="2012" t="s">
        <v>172</v>
      </c>
      <c r="BI105" s="2012" t="s">
        <v>173</v>
      </c>
      <c r="BJ105" s="2012" t="s">
        <v>174</v>
      </c>
      <c r="BK105" s="2012" t="s">
        <v>175</v>
      </c>
      <c r="BL105" s="2012" t="s">
        <v>176</v>
      </c>
      <c r="BM105" s="2069"/>
    </row>
    <row r="106" spans="2:65" ht="16">
      <c r="B106" s="121"/>
      <c r="C106" s="270" t="s">
        <v>201</v>
      </c>
      <c r="D106" s="5"/>
      <c r="E106" s="318">
        <f t="shared" si="23"/>
        <v>0</v>
      </c>
      <c r="F106" s="5"/>
      <c r="G106" s="318">
        <f t="shared" si="23"/>
        <v>0</v>
      </c>
      <c r="H106" s="5"/>
      <c r="I106" s="318">
        <f t="shared" si="24"/>
        <v>0</v>
      </c>
      <c r="J106" s="5"/>
      <c r="K106" s="2080">
        <f t="shared" si="25"/>
        <v>0</v>
      </c>
      <c r="BC106" s="2011" t="s">
        <v>178</v>
      </c>
      <c r="BD106" s="2070">
        <f>IF($BF$80&gt;0,$BF$80,IF($C$65&gt;0,$C$65,$C$33))</f>
        <v>1609444</v>
      </c>
      <c r="BE106" s="2071">
        <f>$C$36+4%</f>
        <v>0.13500000000000001</v>
      </c>
      <c r="BF106" s="2072">
        <f t="shared" ref="BF106:BF108" si="26">$C$38*12</f>
        <v>120</v>
      </c>
      <c r="BG106" s="2073">
        <f t="shared" ref="BG106:BG108" si="27">$C$39</f>
        <v>120</v>
      </c>
      <c r="BH106" s="2074">
        <f t="shared" ref="BH106:BH108" ca="1" si="28">TODAY()+45</f>
        <v>46132</v>
      </c>
      <c r="BI106" s="2074">
        <f ca="1">DATE(YEAR(BH106)+(BG106/12),MONTH(BH106),DAY(BH106))</f>
        <v>49785</v>
      </c>
      <c r="BJ106" s="2072">
        <f ca="1">BI106-BH106</f>
        <v>3653</v>
      </c>
      <c r="BK106" s="2075">
        <f>IFERROR((BE106/360*30*12),0)</f>
        <v>0.13500000000000001</v>
      </c>
      <c r="BL106" s="2076">
        <f>IFERROR((PMT(BK106/12,BG106,-BD106)),"Incomplete Data")</f>
        <v>24507.694097123967</v>
      </c>
      <c r="BM106" s="2069"/>
    </row>
    <row r="107" spans="2:65" ht="16">
      <c r="B107" s="121"/>
      <c r="C107" s="270" t="s">
        <v>202</v>
      </c>
      <c r="D107" s="5"/>
      <c r="E107" s="318">
        <f t="shared" si="23"/>
        <v>0</v>
      </c>
      <c r="F107" s="5"/>
      <c r="G107" s="318">
        <f t="shared" si="23"/>
        <v>0</v>
      </c>
      <c r="H107" s="5"/>
      <c r="I107" s="318">
        <f t="shared" si="24"/>
        <v>0</v>
      </c>
      <c r="J107" s="5"/>
      <c r="K107" s="2080">
        <f t="shared" si="25"/>
        <v>0</v>
      </c>
      <c r="BC107" s="2011" t="s">
        <v>118</v>
      </c>
      <c r="BD107" s="2070">
        <f>IF($BF$80&gt;0,$BF$80,IF($C$65&gt;0,$C$65,$C$33))</f>
        <v>1609444</v>
      </c>
      <c r="BE107" s="2071">
        <f>$C$36+4%</f>
        <v>0.13500000000000001</v>
      </c>
      <c r="BF107" s="2072">
        <f t="shared" si="26"/>
        <v>120</v>
      </c>
      <c r="BG107" s="2073">
        <f t="shared" si="27"/>
        <v>120</v>
      </c>
      <c r="BH107" s="2074">
        <f t="shared" ca="1" si="28"/>
        <v>46132</v>
      </c>
      <c r="BI107" s="2074">
        <f ca="1">DATE(YEAR(BH107)+(BG107/12),MONTH(BH107),DAY(BH107))</f>
        <v>49785</v>
      </c>
      <c r="BJ107" s="2072">
        <f ca="1">BI107-BH107</f>
        <v>3653</v>
      </c>
      <c r="BK107" s="2075">
        <f ca="1">IFERROR((BE107/(365*(BG107/12))*BJ107),0)</f>
        <v>0.13511095890410962</v>
      </c>
      <c r="BL107" s="2076">
        <f t="shared" ref="BL107:BL108" ca="1" si="29">IFERROR((PMT(BK107/12,BG107,-BD107)),"Incomplete Data")</f>
        <v>24518.33126725172</v>
      </c>
      <c r="BM107" s="2069"/>
    </row>
    <row r="108" spans="2:65" ht="17" thickBot="1">
      <c r="B108" s="121"/>
      <c r="C108" s="270" t="s">
        <v>203</v>
      </c>
      <c r="D108" s="5"/>
      <c r="E108" s="318">
        <f t="shared" si="23"/>
        <v>0</v>
      </c>
      <c r="F108" s="5">
        <v>42000</v>
      </c>
      <c r="G108" s="318">
        <f t="shared" si="23"/>
        <v>1.1903884634352343E-2</v>
      </c>
      <c r="H108" s="5">
        <v>42000</v>
      </c>
      <c r="I108" s="318">
        <f t="shared" si="24"/>
        <v>1.1173704548628894E-2</v>
      </c>
      <c r="J108" s="5"/>
      <c r="K108" s="2080">
        <f t="shared" si="25"/>
        <v>0</v>
      </c>
      <c r="BC108" s="2088" t="s">
        <v>181</v>
      </c>
      <c r="BD108" s="2089">
        <f>IF($BF$80&gt;0,$BF$80,IF($C$65&gt;0,$C$65,$C$33))</f>
        <v>1609444</v>
      </c>
      <c r="BE108" s="2090">
        <f>$C$36+4%</f>
        <v>0.13500000000000001</v>
      </c>
      <c r="BF108" s="2091">
        <f t="shared" si="26"/>
        <v>120</v>
      </c>
      <c r="BG108" s="2092">
        <f t="shared" si="27"/>
        <v>120</v>
      </c>
      <c r="BH108" s="2093">
        <f t="shared" ca="1" si="28"/>
        <v>46132</v>
      </c>
      <c r="BI108" s="2093">
        <f ca="1">DATE(YEAR(BH108)+(BG108/12),MONTH(BH108),DAY(BH108))</f>
        <v>49785</v>
      </c>
      <c r="BJ108" s="2091">
        <f ca="1">BI108-BH108</f>
        <v>3653</v>
      </c>
      <c r="BK108" s="2094">
        <f ca="1">IFERROR((BE108/(360*(BG108/12))*BJ108),0)</f>
        <v>0.13698750000000001</v>
      </c>
      <c r="BL108" s="2095">
        <f t="shared" ca="1" si="29"/>
        <v>24698.570153662866</v>
      </c>
      <c r="BM108" s="2096"/>
    </row>
    <row r="109" spans="2:65" ht="16">
      <c r="B109" s="121"/>
      <c r="C109" s="270" t="s">
        <v>204</v>
      </c>
      <c r="D109" s="5">
        <v>75759</v>
      </c>
      <c r="E109" s="318">
        <f t="shared" si="23"/>
        <v>2.3842794100152387E-2</v>
      </c>
      <c r="F109" s="5">
        <v>96278</v>
      </c>
      <c r="G109" s="318">
        <f t="shared" si="23"/>
        <v>2.7287671543480357E-2</v>
      </c>
      <c r="H109" s="5">
        <v>87000</v>
      </c>
      <c r="I109" s="318">
        <f t="shared" si="24"/>
        <v>2.3145530850731278E-2</v>
      </c>
      <c r="J109" s="5"/>
      <c r="K109" s="2080">
        <f t="shared" si="25"/>
        <v>0</v>
      </c>
    </row>
    <row r="110" spans="2:65" ht="16">
      <c r="B110" s="121"/>
      <c r="C110" s="270" t="s">
        <v>205</v>
      </c>
      <c r="D110" s="5"/>
      <c r="E110" s="318">
        <f t="shared" si="23"/>
        <v>0</v>
      </c>
      <c r="F110" s="5">
        <v>450</v>
      </c>
      <c r="G110" s="318">
        <f t="shared" si="23"/>
        <v>1.2754162108234653E-4</v>
      </c>
      <c r="H110" s="5"/>
      <c r="I110" s="318">
        <f t="shared" si="24"/>
        <v>0</v>
      </c>
      <c r="J110" s="5"/>
      <c r="K110" s="2080">
        <f t="shared" si="25"/>
        <v>0</v>
      </c>
    </row>
    <row r="111" spans="2:65" ht="16">
      <c r="B111" s="121"/>
      <c r="C111" s="270" t="s">
        <v>206</v>
      </c>
      <c r="D111" s="5">
        <v>2075</v>
      </c>
      <c r="E111" s="318">
        <f t="shared" si="23"/>
        <v>6.5304185321633345E-4</v>
      </c>
      <c r="F111" s="5">
        <v>2075</v>
      </c>
      <c r="G111" s="318">
        <f t="shared" si="23"/>
        <v>5.8810858610193126E-4</v>
      </c>
      <c r="H111" s="5">
        <v>2075</v>
      </c>
      <c r="I111" s="318">
        <f t="shared" si="24"/>
        <v>5.5203421281916558E-4</v>
      </c>
      <c r="J111" s="5"/>
      <c r="K111" s="2080">
        <f t="shared" si="25"/>
        <v>0</v>
      </c>
    </row>
    <row r="112" spans="2:65" ht="16">
      <c r="B112" s="121"/>
      <c r="C112" s="270" t="s">
        <v>207</v>
      </c>
      <c r="D112" s="5"/>
      <c r="E112" s="318">
        <f t="shared" si="23"/>
        <v>0</v>
      </c>
      <c r="F112" s="5">
        <v>4290</v>
      </c>
      <c r="G112" s="318">
        <f t="shared" si="23"/>
        <v>1.2158967876517036E-3</v>
      </c>
      <c r="H112" s="5">
        <v>11000</v>
      </c>
      <c r="I112" s="318">
        <f t="shared" si="24"/>
        <v>2.9264464294028055E-3</v>
      </c>
      <c r="J112" s="5"/>
      <c r="K112" s="2080">
        <f t="shared" si="25"/>
        <v>0</v>
      </c>
    </row>
    <row r="113" spans="2:11" ht="16" outlineLevel="1">
      <c r="B113" s="121"/>
      <c r="C113" s="270" t="s">
        <v>208</v>
      </c>
      <c r="D113" s="5">
        <v>163685</v>
      </c>
      <c r="E113" s="318">
        <f t="shared" si="23"/>
        <v>5.1514773852393031E-2</v>
      </c>
      <c r="F113" s="5">
        <v>188604</v>
      </c>
      <c r="G113" s="318">
        <f t="shared" si="23"/>
        <v>5.3455244228033084E-2</v>
      </c>
      <c r="H113" s="5">
        <v>194411</v>
      </c>
      <c r="I113" s="318">
        <f t="shared" si="24"/>
        <v>5.1721216071511707E-2</v>
      </c>
      <c r="J113" s="5"/>
      <c r="K113" s="2080">
        <f t="shared" si="25"/>
        <v>0</v>
      </c>
    </row>
    <row r="114" spans="2:11" ht="16" outlineLevel="1">
      <c r="B114" s="121"/>
      <c r="C114" s="270" t="s">
        <v>209</v>
      </c>
      <c r="D114" s="5"/>
      <c r="E114" s="318">
        <f t="shared" si="23"/>
        <v>0</v>
      </c>
      <c r="F114" s="5"/>
      <c r="G114" s="318">
        <f t="shared" si="23"/>
        <v>0</v>
      </c>
      <c r="H114" s="5"/>
      <c r="I114" s="318">
        <f t="shared" si="24"/>
        <v>0</v>
      </c>
      <c r="J114" s="5"/>
      <c r="K114" s="2080">
        <f t="shared" si="25"/>
        <v>0</v>
      </c>
    </row>
    <row r="115" spans="2:11" ht="16" outlineLevel="1">
      <c r="B115" s="121"/>
      <c r="C115" s="270" t="s">
        <v>210</v>
      </c>
      <c r="D115" s="5"/>
      <c r="E115" s="318">
        <f t="shared" si="23"/>
        <v>0</v>
      </c>
      <c r="F115" s="5"/>
      <c r="G115" s="318">
        <f t="shared" si="23"/>
        <v>0</v>
      </c>
      <c r="H115" s="5"/>
      <c r="I115" s="318">
        <f t="shared" si="24"/>
        <v>0</v>
      </c>
      <c r="J115" s="5"/>
      <c r="K115" s="2080">
        <f t="shared" si="25"/>
        <v>0</v>
      </c>
    </row>
    <row r="116" spans="2:11" ht="16" outlineLevel="1">
      <c r="B116" s="121"/>
      <c r="C116" s="270" t="s">
        <v>211</v>
      </c>
      <c r="D116" s="5"/>
      <c r="E116" s="318">
        <f t="shared" si="23"/>
        <v>0</v>
      </c>
      <c r="F116" s="5"/>
      <c r="G116" s="318">
        <f t="shared" si="23"/>
        <v>0</v>
      </c>
      <c r="H116" s="5"/>
      <c r="I116" s="318">
        <f t="shared" si="24"/>
        <v>0</v>
      </c>
      <c r="J116" s="5"/>
      <c r="K116" s="2080">
        <f t="shared" si="25"/>
        <v>0</v>
      </c>
    </row>
    <row r="117" spans="2:11" ht="16" outlineLevel="1">
      <c r="B117" s="121"/>
      <c r="C117" s="270" t="s">
        <v>212</v>
      </c>
      <c r="D117" s="5"/>
      <c r="E117" s="318">
        <f t="shared" si="23"/>
        <v>0</v>
      </c>
      <c r="F117" s="5"/>
      <c r="G117" s="318">
        <f t="shared" si="23"/>
        <v>0</v>
      </c>
      <c r="H117" s="5"/>
      <c r="I117" s="318">
        <f t="shared" si="24"/>
        <v>0</v>
      </c>
      <c r="J117" s="5"/>
      <c r="K117" s="2080">
        <f t="shared" si="25"/>
        <v>0</v>
      </c>
    </row>
    <row r="118" spans="2:11" ht="16" outlineLevel="1">
      <c r="B118" s="121"/>
      <c r="C118" s="270" t="s">
        <v>213</v>
      </c>
      <c r="D118" s="5"/>
      <c r="E118" s="318">
        <f t="shared" si="23"/>
        <v>0</v>
      </c>
      <c r="F118" s="5"/>
      <c r="G118" s="318">
        <f t="shared" si="23"/>
        <v>0</v>
      </c>
      <c r="H118" s="5"/>
      <c r="I118" s="318">
        <f t="shared" si="24"/>
        <v>0</v>
      </c>
      <c r="J118" s="5"/>
      <c r="K118" s="2080">
        <f t="shared" si="25"/>
        <v>0</v>
      </c>
    </row>
    <row r="119" spans="2:11" ht="16" outlineLevel="1">
      <c r="B119" s="121"/>
      <c r="C119" s="270" t="s">
        <v>214</v>
      </c>
      <c r="D119" s="5"/>
      <c r="E119" s="318">
        <f t="shared" si="23"/>
        <v>0</v>
      </c>
      <c r="F119" s="5"/>
      <c r="G119" s="318">
        <f t="shared" si="23"/>
        <v>0</v>
      </c>
      <c r="H119" s="5"/>
      <c r="I119" s="318">
        <f t="shared" si="24"/>
        <v>0</v>
      </c>
      <c r="J119" s="5"/>
      <c r="K119" s="2080">
        <f t="shared" si="25"/>
        <v>0</v>
      </c>
    </row>
    <row r="120" spans="2:11" ht="16" outlineLevel="1">
      <c r="B120" s="121"/>
      <c r="C120" s="270" t="s">
        <v>215</v>
      </c>
      <c r="D120" s="5"/>
      <c r="E120" s="318">
        <f t="shared" si="23"/>
        <v>0</v>
      </c>
      <c r="F120" s="5"/>
      <c r="G120" s="318">
        <f t="shared" si="23"/>
        <v>0</v>
      </c>
      <c r="H120" s="5"/>
      <c r="I120" s="318">
        <f t="shared" si="24"/>
        <v>0</v>
      </c>
      <c r="J120" s="5"/>
      <c r="K120" s="2080">
        <f t="shared" si="25"/>
        <v>0</v>
      </c>
    </row>
    <row r="121" spans="2:11" ht="16" outlineLevel="1">
      <c r="B121" s="121"/>
      <c r="C121" s="270" t="s">
        <v>216</v>
      </c>
      <c r="D121" s="5"/>
      <c r="E121" s="318">
        <f t="shared" si="23"/>
        <v>0</v>
      </c>
      <c r="F121" s="5"/>
      <c r="G121" s="318">
        <f t="shared" si="23"/>
        <v>0</v>
      </c>
      <c r="H121" s="5"/>
      <c r="I121" s="318">
        <f t="shared" si="24"/>
        <v>0</v>
      </c>
      <c r="J121" s="5"/>
      <c r="K121" s="2080">
        <f t="shared" si="25"/>
        <v>0</v>
      </c>
    </row>
    <row r="122" spans="2:11" ht="16" outlineLevel="1">
      <c r="B122" s="121"/>
      <c r="C122" s="270" t="s">
        <v>217</v>
      </c>
      <c r="D122" s="5"/>
      <c r="E122" s="318">
        <f t="shared" si="23"/>
        <v>0</v>
      </c>
      <c r="F122" s="5"/>
      <c r="G122" s="318">
        <f t="shared" si="23"/>
        <v>0</v>
      </c>
      <c r="H122" s="5"/>
      <c r="I122" s="318">
        <f t="shared" si="24"/>
        <v>0</v>
      </c>
      <c r="J122" s="5"/>
      <c r="K122" s="2080">
        <f t="shared" si="25"/>
        <v>0</v>
      </c>
    </row>
    <row r="123" spans="2:11" ht="16" outlineLevel="1">
      <c r="B123" s="121"/>
      <c r="C123" s="2097" t="s">
        <v>218</v>
      </c>
      <c r="D123" s="5"/>
      <c r="E123" s="318">
        <f t="shared" si="23"/>
        <v>0</v>
      </c>
      <c r="F123" s="5"/>
      <c r="G123" s="318">
        <f t="shared" si="23"/>
        <v>0</v>
      </c>
      <c r="H123" s="5"/>
      <c r="I123" s="318">
        <f t="shared" si="24"/>
        <v>0</v>
      </c>
      <c r="J123" s="5"/>
      <c r="K123" s="2080">
        <f t="shared" si="25"/>
        <v>0</v>
      </c>
    </row>
    <row r="124" spans="2:11" ht="16" outlineLevel="1">
      <c r="B124" s="121"/>
      <c r="C124" s="2098" t="s">
        <v>218</v>
      </c>
      <c r="D124" s="5"/>
      <c r="E124" s="318">
        <f t="shared" si="23"/>
        <v>0</v>
      </c>
      <c r="F124" s="5"/>
      <c r="G124" s="318">
        <f t="shared" si="23"/>
        <v>0</v>
      </c>
      <c r="H124" s="5"/>
      <c r="I124" s="318">
        <f t="shared" si="24"/>
        <v>0</v>
      </c>
      <c r="J124" s="5"/>
      <c r="K124" s="2080">
        <f t="shared" si="25"/>
        <v>0</v>
      </c>
    </row>
    <row r="125" spans="2:11" ht="16" outlineLevel="1">
      <c r="B125" s="121"/>
      <c r="C125" s="2098" t="s">
        <v>218</v>
      </c>
      <c r="D125" s="5"/>
      <c r="E125" s="318">
        <f t="shared" si="23"/>
        <v>0</v>
      </c>
      <c r="F125" s="5"/>
      <c r="G125" s="318">
        <f t="shared" si="23"/>
        <v>0</v>
      </c>
      <c r="H125" s="5"/>
      <c r="I125" s="318">
        <f t="shared" si="24"/>
        <v>0</v>
      </c>
      <c r="J125" s="5"/>
      <c r="K125" s="2080">
        <f t="shared" si="25"/>
        <v>0</v>
      </c>
    </row>
    <row r="126" spans="2:11" ht="16">
      <c r="B126" s="2099" t="s">
        <v>2006</v>
      </c>
      <c r="C126" s="2098" t="s">
        <v>218</v>
      </c>
      <c r="D126" s="5"/>
      <c r="E126" s="318">
        <f t="shared" si="23"/>
        <v>0</v>
      </c>
      <c r="F126" s="5"/>
      <c r="G126" s="318">
        <f t="shared" si="23"/>
        <v>0</v>
      </c>
      <c r="H126" s="5"/>
      <c r="I126" s="318">
        <f t="shared" si="24"/>
        <v>0</v>
      </c>
      <c r="J126" s="5"/>
      <c r="K126" s="2080">
        <f t="shared" si="25"/>
        <v>0</v>
      </c>
    </row>
    <row r="127" spans="2:11" ht="16">
      <c r="B127" s="121"/>
      <c r="C127" s="2100" t="s">
        <v>218</v>
      </c>
      <c r="D127" s="5">
        <v>122368</v>
      </c>
      <c r="E127" s="318">
        <f t="shared" si="23"/>
        <v>3.8511530358735557E-2</v>
      </c>
      <c r="F127" s="5">
        <v>129198</v>
      </c>
      <c r="G127" s="318">
        <f t="shared" si="23"/>
        <v>3.6618049690215572E-2</v>
      </c>
      <c r="H127" s="5">
        <v>115364</v>
      </c>
      <c r="I127" s="318">
        <f t="shared" si="24"/>
        <v>3.0691505989238657E-2</v>
      </c>
      <c r="J127" s="5">
        <v>1520985</v>
      </c>
      <c r="K127" s="2080">
        <f t="shared" si="25"/>
        <v>0.47193363449263842</v>
      </c>
    </row>
    <row r="128" spans="2:11" ht="16">
      <c r="B128" s="121"/>
      <c r="C128" s="2085" t="s">
        <v>219</v>
      </c>
      <c r="D128" s="510">
        <f>SUM(D104:D127)</f>
        <v>1328718</v>
      </c>
      <c r="E128" s="318">
        <f t="shared" si="23"/>
        <v>0.41817275427561451</v>
      </c>
      <c r="F128" s="510">
        <f>SUM(F104:F127)</f>
        <v>1438371</v>
      </c>
      <c r="G128" s="318">
        <f t="shared" si="23"/>
        <v>0.40767148679519083</v>
      </c>
      <c r="H128" s="510">
        <f>SUM(H104:H127)</f>
        <v>1454558</v>
      </c>
      <c r="I128" s="318">
        <f t="shared" si="24"/>
        <v>0.38697146049629871</v>
      </c>
      <c r="J128" s="510">
        <f>SUM(J104:J127)</f>
        <v>1520985</v>
      </c>
      <c r="K128" s="2080">
        <f t="shared" si="25"/>
        <v>0.47193363449263842</v>
      </c>
    </row>
    <row r="129" spans="2:11" ht="16">
      <c r="B129" s="121"/>
      <c r="C129" s="2085"/>
      <c r="D129" s="511"/>
      <c r="E129" s="319"/>
      <c r="F129" s="511"/>
      <c r="G129" s="319"/>
      <c r="H129" s="511"/>
      <c r="I129" s="319"/>
      <c r="J129" s="511"/>
      <c r="K129" s="2087"/>
    </row>
    <row r="130" spans="2:11" ht="16">
      <c r="B130" s="121"/>
      <c r="C130" s="2085" t="s">
        <v>220</v>
      </c>
      <c r="D130" s="510">
        <f>D101-D128</f>
        <v>303621</v>
      </c>
      <c r="E130" s="318">
        <f t="shared" si="23"/>
        <v>9.5555286995371747E-2</v>
      </c>
      <c r="F130" s="510">
        <f>F101-F128</f>
        <v>178683</v>
      </c>
      <c r="G130" s="318">
        <f t="shared" si="23"/>
        <v>5.0643376621904282E-2</v>
      </c>
      <c r="H130" s="510">
        <f>H101-H128</f>
        <v>130267</v>
      </c>
      <c r="I130" s="318">
        <f t="shared" ref="I130" si="30">IF(H$99=0,0,H130/H$99)</f>
        <v>3.4656308819910477E-2</v>
      </c>
      <c r="J130" s="510">
        <f>J101-J128</f>
        <v>374239</v>
      </c>
      <c r="K130" s="2080">
        <f t="shared" ref="K130" si="31">IF(J$99=0,0,J130/J$99)</f>
        <v>0.1161194695798384</v>
      </c>
    </row>
    <row r="131" spans="2:11" ht="16">
      <c r="B131" s="121"/>
      <c r="C131" s="2085"/>
      <c r="D131" s="512"/>
      <c r="E131" s="319"/>
      <c r="F131" s="512"/>
      <c r="G131" s="319"/>
      <c r="H131" s="512"/>
      <c r="I131" s="319"/>
      <c r="J131" s="512"/>
      <c r="K131" s="2087"/>
    </row>
    <row r="132" spans="2:11" ht="16">
      <c r="B132" s="121"/>
      <c r="C132" s="2097" t="s">
        <v>221</v>
      </c>
      <c r="D132" s="5"/>
      <c r="E132" s="318">
        <f t="shared" si="23"/>
        <v>0</v>
      </c>
      <c r="F132" s="5"/>
      <c r="G132" s="318">
        <f t="shared" si="23"/>
        <v>0</v>
      </c>
      <c r="H132" s="5"/>
      <c r="I132" s="318">
        <f t="shared" ref="I132:I136" si="32">IF(H$99=0,0,H132/H$99)</f>
        <v>0</v>
      </c>
      <c r="J132" s="5"/>
      <c r="K132" s="2080">
        <f t="shared" ref="K132:K136" si="33">IF(J$99=0,0,J132/J$99)</f>
        <v>0</v>
      </c>
    </row>
    <row r="133" spans="2:11" ht="16">
      <c r="B133" s="121"/>
      <c r="C133" s="2098" t="s">
        <v>221</v>
      </c>
      <c r="D133" s="5"/>
      <c r="E133" s="318">
        <f t="shared" si="23"/>
        <v>0</v>
      </c>
      <c r="F133" s="5"/>
      <c r="G133" s="318">
        <f t="shared" si="23"/>
        <v>0</v>
      </c>
      <c r="H133" s="5"/>
      <c r="I133" s="318">
        <f t="shared" si="32"/>
        <v>0</v>
      </c>
      <c r="J133" s="5"/>
      <c r="K133" s="2080">
        <f t="shared" si="33"/>
        <v>0</v>
      </c>
    </row>
    <row r="134" spans="2:11" ht="16">
      <c r="B134" s="121"/>
      <c r="C134" s="2098" t="s">
        <v>222</v>
      </c>
      <c r="D134" s="5"/>
      <c r="E134" s="318">
        <f t="shared" si="23"/>
        <v>0</v>
      </c>
      <c r="F134" s="5"/>
      <c r="G134" s="318">
        <f t="shared" si="23"/>
        <v>0</v>
      </c>
      <c r="H134" s="5"/>
      <c r="I134" s="318">
        <f t="shared" si="32"/>
        <v>0</v>
      </c>
      <c r="J134" s="5"/>
      <c r="K134" s="2080">
        <f t="shared" si="33"/>
        <v>0</v>
      </c>
    </row>
    <row r="135" spans="2:11" ht="16">
      <c r="B135" s="121"/>
      <c r="C135" s="2100" t="s">
        <v>222</v>
      </c>
      <c r="D135" s="5"/>
      <c r="E135" s="318">
        <f t="shared" si="23"/>
        <v>0</v>
      </c>
      <c r="F135" s="5"/>
      <c r="G135" s="318">
        <f t="shared" si="23"/>
        <v>0</v>
      </c>
      <c r="H135" s="5"/>
      <c r="I135" s="318">
        <f t="shared" si="32"/>
        <v>0</v>
      </c>
      <c r="J135" s="5"/>
      <c r="K135" s="2080">
        <f t="shared" si="33"/>
        <v>0</v>
      </c>
    </row>
    <row r="136" spans="2:11" ht="16">
      <c r="B136" s="121"/>
      <c r="C136" s="2085" t="s">
        <v>223</v>
      </c>
      <c r="D136" s="510">
        <f>SUM(D132:D135)</f>
        <v>0</v>
      </c>
      <c r="E136" s="318">
        <f t="shared" si="23"/>
        <v>0</v>
      </c>
      <c r="F136" s="510">
        <f>SUM(F132:F135)</f>
        <v>0</v>
      </c>
      <c r="G136" s="318">
        <f t="shared" si="23"/>
        <v>0</v>
      </c>
      <c r="H136" s="510">
        <f>SUM(H132:H135)</f>
        <v>0</v>
      </c>
      <c r="I136" s="318">
        <f t="shared" si="32"/>
        <v>0</v>
      </c>
      <c r="J136" s="510">
        <f>SUM(J132:J135)</f>
        <v>0</v>
      </c>
      <c r="K136" s="2080">
        <f t="shared" si="33"/>
        <v>0</v>
      </c>
    </row>
    <row r="137" spans="2:11" ht="16">
      <c r="B137" s="121"/>
      <c r="C137" s="2085"/>
      <c r="D137" s="511"/>
      <c r="E137" s="319"/>
      <c r="F137" s="511"/>
      <c r="G137" s="319"/>
      <c r="H137" s="511"/>
      <c r="I137" s="319"/>
      <c r="J137" s="511"/>
      <c r="K137" s="2087"/>
    </row>
    <row r="138" spans="2:11" ht="16">
      <c r="B138" s="121"/>
      <c r="C138" s="2085" t="s">
        <v>224</v>
      </c>
      <c r="D138" s="510">
        <f>D101-D128+D136</f>
        <v>303621</v>
      </c>
      <c r="E138" s="318">
        <f t="shared" si="23"/>
        <v>9.5555286995371747E-2</v>
      </c>
      <c r="F138" s="510">
        <f>F101-F128+F136</f>
        <v>178683</v>
      </c>
      <c r="G138" s="318">
        <f t="shared" si="23"/>
        <v>5.0643376621904282E-2</v>
      </c>
      <c r="H138" s="510">
        <f>H101-H128+H136</f>
        <v>130267</v>
      </c>
      <c r="I138" s="318">
        <f t="shared" ref="I138:I139" si="34">IF(H$99=0,0,H138/H$99)</f>
        <v>3.4656308819910477E-2</v>
      </c>
      <c r="J138" s="510">
        <f>J101-J128+J136</f>
        <v>374239</v>
      </c>
      <c r="K138" s="2080">
        <f t="shared" ref="K138:K139" si="35">IF(J$99=0,0,J138/J$99)</f>
        <v>0.1161194695798384</v>
      </c>
    </row>
    <row r="139" spans="2:11" ht="16">
      <c r="B139" s="121"/>
      <c r="C139" s="2085" t="s">
        <v>225</v>
      </c>
      <c r="D139" s="510">
        <v>0</v>
      </c>
      <c r="E139" s="318">
        <f t="shared" si="23"/>
        <v>0</v>
      </c>
      <c r="F139" s="510">
        <v>0</v>
      </c>
      <c r="G139" s="318">
        <f t="shared" si="23"/>
        <v>0</v>
      </c>
      <c r="H139" s="510">
        <v>0</v>
      </c>
      <c r="I139" s="318">
        <f t="shared" si="34"/>
        <v>0</v>
      </c>
      <c r="J139" s="510">
        <v>0</v>
      </c>
      <c r="K139" s="2080">
        <f t="shared" si="35"/>
        <v>0</v>
      </c>
    </row>
    <row r="140" spans="2:11" ht="16">
      <c r="B140" s="121"/>
      <c r="C140" s="2101"/>
      <c r="D140" s="281"/>
      <c r="E140" s="318"/>
      <c r="F140" s="281"/>
      <c r="G140" s="318"/>
      <c r="H140" s="281"/>
      <c r="I140" s="318"/>
      <c r="J140" s="281"/>
      <c r="K140" s="2080"/>
    </row>
    <row r="141" spans="2:11" ht="16">
      <c r="B141" s="121"/>
      <c r="C141" s="2085" t="s">
        <v>226</v>
      </c>
      <c r="D141" s="510">
        <f>D138-D139</f>
        <v>303621</v>
      </c>
      <c r="E141" s="318">
        <f t="shared" si="23"/>
        <v>9.5555286995371747E-2</v>
      </c>
      <c r="F141" s="510">
        <f>F138-F139</f>
        <v>178683</v>
      </c>
      <c r="G141" s="318">
        <f t="shared" si="23"/>
        <v>5.0643376621904282E-2</v>
      </c>
      <c r="H141" s="510">
        <f>H138-H139</f>
        <v>130267</v>
      </c>
      <c r="I141" s="318">
        <f t="shared" ref="I141" si="36">IF(H$99=0,0,H141/H$99)</f>
        <v>3.4656308819910477E-2</v>
      </c>
      <c r="J141" s="510">
        <f>J138-J139</f>
        <v>374239</v>
      </c>
      <c r="K141" s="2080">
        <f t="shared" ref="K141" si="37">IF(J$99=0,0,J141/J$99)</f>
        <v>0.1161194695798384</v>
      </c>
    </row>
    <row r="142" spans="2:11" ht="16">
      <c r="B142" s="121"/>
      <c r="C142" s="270"/>
      <c r="D142" s="241"/>
      <c r="E142" s="321"/>
      <c r="F142" s="241"/>
      <c r="G142" s="321"/>
      <c r="H142" s="241"/>
      <c r="I142" s="321"/>
      <c r="J142" s="241"/>
      <c r="K142" s="324"/>
    </row>
    <row r="143" spans="2:11" ht="16">
      <c r="B143" s="121"/>
      <c r="C143" s="2102" t="s">
        <v>227</v>
      </c>
      <c r="D143" s="122"/>
      <c r="E143" s="122"/>
      <c r="F143" s="122"/>
      <c r="G143" s="122"/>
      <c r="H143" s="122"/>
      <c r="I143" s="122"/>
      <c r="J143" s="122"/>
      <c r="K143" s="195"/>
    </row>
    <row r="144" spans="2:11" ht="16">
      <c r="B144" s="121"/>
      <c r="C144" s="2103" t="s">
        <v>2007</v>
      </c>
      <c r="D144" s="2104">
        <f>D104</f>
        <v>280800</v>
      </c>
      <c r="E144" s="122"/>
      <c r="F144" s="2104">
        <f>F104</f>
        <v>280800</v>
      </c>
      <c r="G144" s="122"/>
      <c r="H144" s="2104">
        <f>H104</f>
        <v>290940</v>
      </c>
      <c r="I144" s="122"/>
      <c r="J144" s="2104">
        <f>J104</f>
        <v>0</v>
      </c>
      <c r="K144" s="195"/>
    </row>
    <row r="145" spans="2:11" ht="16">
      <c r="B145" s="121"/>
      <c r="C145" s="2105" t="s">
        <v>2008</v>
      </c>
      <c r="D145" s="2104">
        <f>D111</f>
        <v>2075</v>
      </c>
      <c r="E145" s="122"/>
      <c r="F145" s="2104">
        <f>F111</f>
        <v>2075</v>
      </c>
      <c r="G145" s="122"/>
      <c r="H145" s="2104">
        <f>H111</f>
        <v>2075</v>
      </c>
      <c r="I145" s="122"/>
      <c r="J145" s="2104">
        <v>3445</v>
      </c>
      <c r="K145" s="195"/>
    </row>
    <row r="146" spans="2:11" ht="16">
      <c r="B146" s="121"/>
      <c r="C146" s="2105" t="s">
        <v>2009</v>
      </c>
      <c r="D146" s="2104">
        <f>D110</f>
        <v>0</v>
      </c>
      <c r="E146" s="122"/>
      <c r="F146" s="2104">
        <f>F110</f>
        <v>450</v>
      </c>
      <c r="G146" s="122"/>
      <c r="H146" s="2104">
        <f>H110</f>
        <v>0</v>
      </c>
      <c r="I146" s="122"/>
      <c r="J146" s="2104">
        <f>J110</f>
        <v>0</v>
      </c>
      <c r="K146" s="195"/>
    </row>
    <row r="147" spans="2:11" ht="16">
      <c r="B147" s="121"/>
      <c r="C147" s="2105" t="s">
        <v>2010</v>
      </c>
      <c r="D147" s="2104">
        <v>0</v>
      </c>
      <c r="E147" s="122"/>
      <c r="F147" s="2104">
        <v>0</v>
      </c>
      <c r="G147" s="122"/>
      <c r="H147" s="2104">
        <v>0</v>
      </c>
      <c r="I147" s="122"/>
      <c r="J147" s="2104">
        <f>J108</f>
        <v>0</v>
      </c>
      <c r="K147" s="195"/>
    </row>
    <row r="148" spans="2:11">
      <c r="B148" s="121"/>
      <c r="C148" s="2106" t="s">
        <v>2011</v>
      </c>
      <c r="D148" s="498">
        <v>130948</v>
      </c>
      <c r="E148" s="122"/>
      <c r="F148" s="498">
        <v>150433</v>
      </c>
      <c r="G148" s="122"/>
      <c r="H148" s="498">
        <v>155528</v>
      </c>
      <c r="I148" s="122"/>
      <c r="J148" s="498">
        <v>320000</v>
      </c>
      <c r="K148" s="195"/>
    </row>
    <row r="149" spans="2:11">
      <c r="B149" s="121"/>
      <c r="C149" s="2106" t="s">
        <v>2012</v>
      </c>
      <c r="D149" s="498"/>
      <c r="E149" s="122"/>
      <c r="F149" s="498"/>
      <c r="G149" s="122"/>
      <c r="H149" s="498"/>
      <c r="I149" s="122"/>
      <c r="J149" s="498">
        <v>8750</v>
      </c>
      <c r="K149" s="195"/>
    </row>
    <row r="150" spans="2:11" ht="16">
      <c r="B150" s="121"/>
      <c r="C150" s="2107" t="s">
        <v>218</v>
      </c>
      <c r="D150" s="498"/>
      <c r="E150" s="122"/>
      <c r="F150" s="498"/>
      <c r="G150" s="122"/>
      <c r="H150" s="498"/>
      <c r="I150" s="122"/>
      <c r="J150" s="498"/>
      <c r="K150" s="195"/>
    </row>
    <row r="151" spans="2:11" ht="16">
      <c r="B151" s="121"/>
      <c r="C151" s="2108" t="s">
        <v>229</v>
      </c>
      <c r="D151" s="2109">
        <f>IF($C$663="yes",-$C$662/12*D86)+IF($E$663="yes",-$E$662/12*D86)+IF($G$663="yes",-$G$662/12*D86)+IF($I$663="yes",-$I$662/12*D86)</f>
        <v>-31628</v>
      </c>
      <c r="E151" s="122"/>
      <c r="F151" s="2109">
        <f>IF($C$663="yes",-$C$662/12*F86)+IF($E$663="yes",-$E$662/12*F86)+IF($G$663="yes",-$G$662/12*F86)+IF($I$663="yes",-$I$662/12*F86)</f>
        <v>-31628</v>
      </c>
      <c r="G151" s="122"/>
      <c r="H151" s="2109">
        <f>IF($C$663="yes",-$C$662/12*H86)+IF($E$663="yes",-$E$662/12*H86)+IF($G$663="yes",-$G$662/12*H86)+IF($I$663="yes",-$I$662/12*H86)</f>
        <v>-31628</v>
      </c>
      <c r="I151" s="122"/>
      <c r="J151" s="2109">
        <f>IF($C$663="yes",-$C$662/12*J86)+IF($E$663="yes",-$E$662/12*J86)+IF($G$663="yes",-$G$662/12*J86)+IF($I$663="yes",-$I$662/12*J86)</f>
        <v>-28992.333333333332</v>
      </c>
      <c r="K151" s="195"/>
    </row>
    <row r="152" spans="2:11" ht="16">
      <c r="B152" s="121"/>
      <c r="C152" s="2108"/>
      <c r="D152" s="2108"/>
      <c r="E152" s="2108"/>
      <c r="F152" s="2108"/>
      <c r="G152" s="2108"/>
      <c r="H152" s="2108"/>
      <c r="I152" s="2108"/>
      <c r="J152" s="2108"/>
      <c r="K152" s="195"/>
    </row>
    <row r="153" spans="2:11" ht="16">
      <c r="B153" s="121"/>
      <c r="C153" s="2108" t="s">
        <v>230</v>
      </c>
      <c r="D153" s="2110">
        <f>D141+SUM(D144:D151)</f>
        <v>685816</v>
      </c>
      <c r="E153" s="2108"/>
      <c r="F153" s="2110">
        <f>F141+SUM(F144:F151)</f>
        <v>580813</v>
      </c>
      <c r="G153" s="2108"/>
      <c r="H153" s="2110">
        <f>H141+SUM(H144:H151)</f>
        <v>547182</v>
      </c>
      <c r="I153" s="2108"/>
      <c r="J153" s="2110">
        <f>J141+SUM(J144:J151)</f>
        <v>677441.66666666674</v>
      </c>
      <c r="K153" s="195"/>
    </row>
    <row r="154" spans="2:11" ht="16">
      <c r="B154" s="121"/>
      <c r="C154" s="2108"/>
      <c r="D154" s="122"/>
      <c r="E154" s="122"/>
      <c r="F154" s="122"/>
      <c r="G154" s="122"/>
      <c r="H154" s="122"/>
      <c r="I154" s="122"/>
      <c r="J154" s="122"/>
      <c r="K154" s="195"/>
    </row>
    <row r="155" spans="2:11" ht="16">
      <c r="B155" s="121"/>
      <c r="C155" s="270" t="s">
        <v>231</v>
      </c>
      <c r="D155" s="2111">
        <f>Table2[[#Totals],[CF Debt Svc]]*D86</f>
        <v>0</v>
      </c>
      <c r="E155" s="122"/>
      <c r="F155" s="2111">
        <f>Table2[[#Totals],[CF Debt Svc]]*F86</f>
        <v>0</v>
      </c>
      <c r="G155" s="122"/>
      <c r="H155" s="2111">
        <f>Table2[[#Totals],[CF Debt Svc]]*H86</f>
        <v>0</v>
      </c>
      <c r="I155" s="122"/>
      <c r="J155" s="2111">
        <f>Table2[[#Totals],[CF Debt Svc]]*J86</f>
        <v>0</v>
      </c>
      <c r="K155" s="195"/>
    </row>
    <row r="156" spans="2:11" ht="16">
      <c r="B156" s="121"/>
      <c r="C156" s="270" t="s">
        <v>232</v>
      </c>
      <c r="D156" s="2111">
        <f ca="1">IFERROR(INDEX($BL$82:$BL$84,MATCH($C$37,$BC$82:$BC$84,0))*D$86,0)</f>
        <v>249992.32002639817</v>
      </c>
      <c r="E156" s="122"/>
      <c r="F156" s="2111">
        <f ca="1">IFERROR(INDEX($BL$82:$BL$84,MATCH($C$37,$BC$82:$BC$84,0))*F$86,0)</f>
        <v>249992.32002639817</v>
      </c>
      <c r="G156" s="122"/>
      <c r="H156" s="2111">
        <f ca="1">IFERROR(INDEX($BL$82:$BL$84,MATCH($C$37,$BC$82:$BC$84,0))*H$86,0)</f>
        <v>249992.32002639817</v>
      </c>
      <c r="I156" s="122"/>
      <c r="J156" s="2111">
        <f ca="1">IFERROR(INDEX($BL$82:$BL$84,MATCH($C$37,$BC$82:$BC$84,0))*J$86,0)</f>
        <v>229159.626690865</v>
      </c>
      <c r="K156" s="195"/>
    </row>
    <row r="157" spans="2:11" ht="16" hidden="1">
      <c r="B157" s="121"/>
      <c r="C157" s="270" t="s">
        <v>233</v>
      </c>
      <c r="D157" s="2112"/>
      <c r="E157" s="122"/>
      <c r="F157" s="2112"/>
      <c r="G157" s="122"/>
      <c r="H157" s="2112"/>
      <c r="I157" s="122"/>
      <c r="J157" s="2112"/>
      <c r="K157" s="195"/>
    </row>
    <row r="158" spans="2:11" ht="16" hidden="1">
      <c r="B158" s="121"/>
      <c r="C158" s="270" t="s">
        <v>234</v>
      </c>
      <c r="D158" s="2112"/>
      <c r="E158" s="122"/>
      <c r="F158" s="2112"/>
      <c r="G158" s="122"/>
      <c r="H158" s="2112"/>
      <c r="I158" s="122"/>
      <c r="J158" s="2112"/>
      <c r="K158" s="195"/>
    </row>
    <row r="159" spans="2:11" ht="16">
      <c r="B159" s="121"/>
      <c r="C159" s="2113" t="s">
        <v>235</v>
      </c>
      <c r="D159" s="2111">
        <f>IFERROR(PMT($E$36/12,$E$39,-$E$65),0)*$D$86</f>
        <v>34971.458111619577</v>
      </c>
      <c r="E159" s="122"/>
      <c r="F159" s="2111">
        <f>IFERROR(PMT($E$36/12,$E$39,-$E$65),0)*$F$86</f>
        <v>34971.458111619577</v>
      </c>
      <c r="G159" s="122"/>
      <c r="H159" s="2111">
        <f>IFERROR(PMT($E$36/12,$E$39,-$E$65),0)*$H$86</f>
        <v>34971.458111619577</v>
      </c>
      <c r="I159" s="122"/>
      <c r="J159" s="2111">
        <f>IFERROR(PMT($E$36/12,$E$39,-$E$65),0)*$J$86</f>
        <v>32057.169935651276</v>
      </c>
      <c r="K159" s="195"/>
    </row>
    <row r="160" spans="2:11" ht="16">
      <c r="B160" s="121"/>
      <c r="C160" s="2113" t="s">
        <v>236</v>
      </c>
      <c r="D160" s="2111">
        <f>IFERROR(PMT($F$36/12,$F$39,-$F$65),0)*$D$86</f>
        <v>0</v>
      </c>
      <c r="E160" s="122"/>
      <c r="F160" s="2111">
        <f>IFERROR(PMT($F$36/12,$F$39,-$F$65),0)*$F$86</f>
        <v>0</v>
      </c>
      <c r="G160" s="122"/>
      <c r="H160" s="2111">
        <f>IFERROR(PMT($F$36/12,$F$39,-$F$65),0)*$H$86</f>
        <v>0</v>
      </c>
      <c r="I160" s="122"/>
      <c r="J160" s="2111">
        <f>IFERROR(PMT($F$36/12,$F$39,-$F$65),0)*$J$86</f>
        <v>0</v>
      </c>
      <c r="K160" s="195"/>
    </row>
    <row r="161" spans="2:11" ht="16">
      <c r="B161" s="121"/>
      <c r="C161" s="2113" t="s">
        <v>237</v>
      </c>
      <c r="D161" s="2111">
        <f ca="1">SUM(D155:D160)</f>
        <v>284963.77813801775</v>
      </c>
      <c r="E161" s="122"/>
      <c r="F161" s="2111">
        <f ca="1">SUM(F155:F160)</f>
        <v>284963.77813801775</v>
      </c>
      <c r="G161" s="122"/>
      <c r="H161" s="2111">
        <f ca="1">SUM(H155:H160)</f>
        <v>284963.77813801775</v>
      </c>
      <c r="I161" s="122"/>
      <c r="J161" s="2111">
        <f ca="1">SUM(J155:J160)</f>
        <v>261216.79662651627</v>
      </c>
      <c r="K161" s="195"/>
    </row>
    <row r="162" spans="2:11">
      <c r="B162" s="121"/>
      <c r="C162" s="122"/>
      <c r="D162" s="122"/>
      <c r="E162" s="122"/>
      <c r="F162" s="122"/>
      <c r="G162" s="122"/>
      <c r="H162" s="122"/>
      <c r="I162" s="122"/>
      <c r="J162" s="122"/>
      <c r="K162" s="195"/>
    </row>
    <row r="163" spans="2:11" ht="16">
      <c r="B163" s="121"/>
      <c r="C163" s="2085" t="s">
        <v>238</v>
      </c>
      <c r="D163" s="2114">
        <f ca="1">IFERROR(D153/D161,0)</f>
        <v>2.4066778047413302</v>
      </c>
      <c r="E163" s="122"/>
      <c r="F163" s="2114">
        <f ca="1">IFERROR(F153/F161,0)</f>
        <v>2.0381993943057997</v>
      </c>
      <c r="G163" s="122"/>
      <c r="H163" s="2114">
        <f ca="1">IFERROR(H153/H161,0)</f>
        <v>1.9201808860597749</v>
      </c>
      <c r="I163" s="122"/>
      <c r="J163" s="2114">
        <f ca="1">IFERROR(J153/J161,0)</f>
        <v>2.5934077571407568</v>
      </c>
      <c r="K163" s="195"/>
    </row>
    <row r="164" spans="2:11" ht="16">
      <c r="B164" s="121"/>
      <c r="C164" s="270" t="s">
        <v>239</v>
      </c>
      <c r="D164" s="2115">
        <f ca="1">IFERROR(D$153/(D$155+((INDEX($BL$88:$BL$90,MATCH($C$37,$BC$88:$BC$90,0)))*D$86)+D$159+D$160),0)</f>
        <v>2.319538337380636</v>
      </c>
      <c r="E164" s="122"/>
      <c r="F164" s="2115">
        <f ca="1">IFERROR(F$153/(F$155+((INDEX($BL$88:$BL$90,MATCH($C$37,$BC$88:$BC$90,0)))*F$86)+F$159+F$160),0)</f>
        <v>1.9644015601109617</v>
      </c>
      <c r="G164" s="122"/>
      <c r="H164" s="2115">
        <f ca="1">IFERROR(H$153/(H$155+((INDEX($BL$88:$BL$90,MATCH($C$37,$BC$88:$BC$90,0)))*H$86)+H$159+H$160),0)</f>
        <v>1.8506561913466748</v>
      </c>
      <c r="I164" s="122"/>
      <c r="J164" s="2115">
        <f ca="1">IFERROR(J$153/(J$155+((INDEX($BL$88:$BL$90,MATCH($C$37,$BC$88:$BC$90,0)))*J$86)+J$159+J$160),0)</f>
        <v>2.4995072897989608</v>
      </c>
      <c r="K164" s="195"/>
    </row>
    <row r="165" spans="2:11" ht="16">
      <c r="B165" s="121"/>
      <c r="C165" s="270" t="s">
        <v>240</v>
      </c>
      <c r="D165" s="2115">
        <f ca="1">IFERROR(D$153/(D$155+((INDEX($BL$94:$BL$96,MATCH($C$37,$BC$94:$BC$96,0)))*D$86)+D$159+D$160),0)</f>
        <v>2.2367516061042241</v>
      </c>
      <c r="E165" s="122"/>
      <c r="F165" s="2115">
        <f ca="1">IFERROR(F$153/(F$155+((INDEX($BL$94:$BL$96,MATCH($C$37,$BC$94:$BC$96,0)))*F$86)+F$159+F$160),0)</f>
        <v>1.8942900290984941</v>
      </c>
      <c r="G165" s="122"/>
      <c r="H165" s="2115">
        <f ca="1">IFERROR(H$153/(H$155+((INDEX($BL$94:$BL$96,MATCH($C$37,$BC$94:$BC$96,0)))*H$86)+H$159+H$160),0)</f>
        <v>1.7846043506295006</v>
      </c>
      <c r="I165" s="122"/>
      <c r="J165" s="2115">
        <f ca="1">IFERROR(J$153/(J$155+((INDEX($BL$94:$BL$96,MATCH($C$37,$BC$94:$BC$96,0)))*J$86)+J$159+J$160),0)</f>
        <v>2.4102972797770135</v>
      </c>
      <c r="K165" s="195"/>
    </row>
    <row r="166" spans="2:11" ht="16">
      <c r="B166" s="121"/>
      <c r="C166" s="270" t="s">
        <v>241</v>
      </c>
      <c r="D166" s="2114">
        <f ca="1">IFERROR(D$153/(D$155+((INDEX($BL$100:$BL$102,MATCH($C$37,$BC$100:$BC$102,0)))*D$86)+D$159+D$160),0)</f>
        <v>2.1580898010756284</v>
      </c>
      <c r="E166" s="122"/>
      <c r="F166" s="2114">
        <f ca="1">IFERROR(F$153/(F$155+((INDEX($BL$100:$BL$102,MATCH($C$37,$BC$100:$BC$102,0)))*F$86)+F$159+F$160),0)</f>
        <v>1.8276718706360582</v>
      </c>
      <c r="G166" s="122"/>
      <c r="H166" s="2114">
        <f ca="1">IFERROR(H$153/(H$155+((INDEX($BL$100:$BL$102,MATCH($C$37,$BC$100:$BC$102,0)))*H$86)+H$159+H$160),0)</f>
        <v>1.7218436045997241</v>
      </c>
      <c r="I166" s="122"/>
      <c r="J166" s="2114">
        <f ca="1">IFERROR(J$153/(J$155+((INDEX($BL$100:$BL$102,MATCH($C$37,$BC$100:$BC$102,0)))*J$86)+J$159+J$160),0)</f>
        <v>2.3255322418687578</v>
      </c>
      <c r="K166" s="195"/>
    </row>
    <row r="167" spans="2:11" ht="17" thickBot="1">
      <c r="B167" s="123"/>
      <c r="C167" s="2116"/>
      <c r="D167" s="2117"/>
      <c r="E167" s="124"/>
      <c r="F167" s="2117"/>
      <c r="G167" s="124"/>
      <c r="H167" s="2117"/>
      <c r="I167" s="124"/>
      <c r="J167" s="2117"/>
      <c r="K167" s="491"/>
    </row>
    <row r="168" spans="2:11" ht="17" thickBot="1">
      <c r="B168" s="2058"/>
      <c r="C168" s="2118"/>
      <c r="D168" s="2119"/>
      <c r="E168" s="2058"/>
      <c r="F168" s="2119"/>
      <c r="G168" s="2058"/>
      <c r="H168" s="2119"/>
      <c r="I168" s="2058"/>
      <c r="J168" s="2119"/>
      <c r="K168" s="2058"/>
    </row>
    <row r="169" spans="2:11" ht="17" thickBot="1">
      <c r="B169" s="2304" t="s">
        <v>242</v>
      </c>
      <c r="C169" s="2305"/>
      <c r="D169" s="2305"/>
      <c r="E169" s="2305"/>
      <c r="F169" s="2305"/>
      <c r="G169" s="2305"/>
      <c r="H169" s="2305"/>
      <c r="I169" s="2305"/>
      <c r="J169" s="2305"/>
      <c r="K169" s="2306"/>
    </row>
    <row r="170" spans="2:11" ht="16" outlineLevel="1">
      <c r="B170" s="467"/>
      <c r="C170" s="2120"/>
      <c r="D170" s="2121"/>
      <c r="E170" s="119"/>
      <c r="F170" s="2121"/>
      <c r="G170" s="119"/>
      <c r="H170" s="2121"/>
      <c r="I170" s="119"/>
      <c r="J170" s="2121"/>
      <c r="K170" s="120"/>
    </row>
    <row r="171" spans="2:11" ht="16" outlineLevel="1">
      <c r="B171" s="121"/>
      <c r="C171" s="270" t="s">
        <v>243</v>
      </c>
      <c r="D171" s="2122">
        <f>D153-D151</f>
        <v>717444</v>
      </c>
      <c r="E171" s="122"/>
      <c r="F171" s="2122">
        <f>F153-F151</f>
        <v>612441</v>
      </c>
      <c r="G171" s="122"/>
      <c r="H171" s="2122">
        <f>H153-H151</f>
        <v>578810</v>
      </c>
      <c r="I171" s="122"/>
      <c r="J171" s="2122">
        <f>J153-J151</f>
        <v>706434.00000000012</v>
      </c>
      <c r="K171" s="195"/>
    </row>
    <row r="172" spans="2:11" ht="16" outlineLevel="1">
      <c r="B172" s="121"/>
      <c r="C172" s="270" t="s">
        <v>244</v>
      </c>
      <c r="D172" s="2122">
        <f ca="1">D161</f>
        <v>284963.77813801775</v>
      </c>
      <c r="E172" s="122"/>
      <c r="F172" s="2122">
        <f ca="1">F161</f>
        <v>284963.77813801775</v>
      </c>
      <c r="G172" s="122"/>
      <c r="H172" s="2122">
        <f ca="1">H161</f>
        <v>284963.77813801775</v>
      </c>
      <c r="I172" s="122"/>
      <c r="J172" s="2122">
        <f ca="1">J161</f>
        <v>261216.79662651627</v>
      </c>
      <c r="K172" s="195"/>
    </row>
    <row r="173" spans="2:11" ht="16" outlineLevel="1">
      <c r="B173" s="121"/>
      <c r="C173" s="270"/>
      <c r="D173" s="2123"/>
      <c r="E173" s="122"/>
      <c r="F173" s="2123"/>
      <c r="G173" s="122"/>
      <c r="H173" s="2123"/>
      <c r="I173" s="122"/>
      <c r="J173" s="2123"/>
      <c r="K173" s="195"/>
    </row>
    <row r="174" spans="2:11" ht="16" outlineLevel="1">
      <c r="B174" s="121"/>
      <c r="C174" s="270" t="s">
        <v>245</v>
      </c>
      <c r="D174" s="2124">
        <f>IF($C$623="Yes",($C$662),0)</f>
        <v>31628</v>
      </c>
      <c r="E174" s="122"/>
      <c r="F174" s="2124">
        <f>IF($C$623="Yes",($C$662),0)</f>
        <v>31628</v>
      </c>
      <c r="G174" s="122"/>
      <c r="H174" s="2124">
        <f>IF($C$623="Yes",($C$662),0)</f>
        <v>31628</v>
      </c>
      <c r="I174" s="122"/>
      <c r="J174" s="2124">
        <f>IF($C$623="Yes",($C$662/12*J$86),0)</f>
        <v>28992.333333333332</v>
      </c>
      <c r="K174" s="195"/>
    </row>
    <row r="175" spans="2:11" ht="16" outlineLevel="1">
      <c r="B175" s="121"/>
      <c r="C175" s="270" t="s">
        <v>246</v>
      </c>
      <c r="D175" s="2124">
        <f>IF($E$623="Yes",($E$662),0)</f>
        <v>0</v>
      </c>
      <c r="E175" s="122"/>
      <c r="F175" s="2124">
        <f>IF($E$623="Yes",($E$662),0)</f>
        <v>0</v>
      </c>
      <c r="G175" s="122"/>
      <c r="H175" s="2124">
        <f>IF($E$623="Yes",($E$662),0)</f>
        <v>0</v>
      </c>
      <c r="I175" s="122"/>
      <c r="J175" s="2124">
        <f>IF($C$623="Yes",($E$662/12*J$86),0)</f>
        <v>0</v>
      </c>
      <c r="K175" s="195"/>
    </row>
    <row r="176" spans="2:11" ht="16" outlineLevel="1">
      <c r="B176" s="121"/>
      <c r="C176" s="270" t="s">
        <v>247</v>
      </c>
      <c r="D176" s="2124">
        <f>IF($G$623="Yes",($G$662),0)</f>
        <v>0</v>
      </c>
      <c r="E176" s="122"/>
      <c r="F176" s="2124">
        <f>IF($G$623="Yes",($G$662),0)</f>
        <v>0</v>
      </c>
      <c r="G176" s="122"/>
      <c r="H176" s="2124">
        <f>IF($G$623="Yes",($G$662),0)</f>
        <v>0</v>
      </c>
      <c r="I176" s="122"/>
      <c r="J176" s="2124">
        <f>IF($C$623="Yes",($G$662/12*J$86),0)</f>
        <v>0</v>
      </c>
      <c r="K176" s="195"/>
    </row>
    <row r="177" spans="2:11" ht="16" outlineLevel="1">
      <c r="B177" s="121"/>
      <c r="C177" s="270" t="s">
        <v>248</v>
      </c>
      <c r="D177" s="2124">
        <f>IF($I$623="Yes",($I$662),0)</f>
        <v>0</v>
      </c>
      <c r="E177" s="122"/>
      <c r="F177" s="2124">
        <f>IF($I$623="Yes",($I$662),0)</f>
        <v>0</v>
      </c>
      <c r="G177" s="122"/>
      <c r="H177" s="2124">
        <f>IF($I$623="Yes",($I$662),0)</f>
        <v>0</v>
      </c>
      <c r="I177" s="122"/>
      <c r="J177" s="2124">
        <f>IF($C$623="Yes",($I$662/12*J$86),0)</f>
        <v>0</v>
      </c>
      <c r="K177" s="195"/>
    </row>
    <row r="178" spans="2:11" ht="16" outlineLevel="1">
      <c r="B178" s="121"/>
      <c r="C178" s="270"/>
      <c r="D178" s="501"/>
      <c r="E178" s="122"/>
      <c r="F178" s="501"/>
      <c r="G178" s="122"/>
      <c r="H178" s="501"/>
      <c r="I178" s="122"/>
      <c r="J178" s="501"/>
      <c r="K178" s="195"/>
    </row>
    <row r="179" spans="2:11" ht="16" outlineLevel="1">
      <c r="B179" s="121"/>
      <c r="C179" s="270" t="s">
        <v>249</v>
      </c>
      <c r="D179" s="2122">
        <f>IF($C$225="Yes",D294,0)</f>
        <v>951939</v>
      </c>
      <c r="E179" s="122"/>
      <c r="F179" s="2122">
        <f>IF($C$225="Yes",F294,0)</f>
        <v>813644</v>
      </c>
      <c r="G179" s="122"/>
      <c r="H179" s="2122">
        <f>IF($C$225="Yes",H294,0)</f>
        <v>677202</v>
      </c>
      <c r="I179" s="122"/>
      <c r="J179" s="2122">
        <f>IF($C$225="Yes",J294,0)</f>
        <v>1057220</v>
      </c>
      <c r="K179" s="195"/>
    </row>
    <row r="180" spans="2:11" ht="16" outlineLevel="1">
      <c r="B180" s="121"/>
      <c r="C180" s="270" t="s">
        <v>250</v>
      </c>
      <c r="D180" s="2122">
        <f>IF($C$225="Yes",D297,0)</f>
        <v>672000</v>
      </c>
      <c r="E180" s="122"/>
      <c r="F180" s="2122">
        <f>IF($C$225="Yes",F297,0)</f>
        <v>672000</v>
      </c>
      <c r="G180" s="122"/>
      <c r="H180" s="2122">
        <f>IF($C$225="Yes",H297,0)</f>
        <v>672000</v>
      </c>
      <c r="I180" s="122"/>
      <c r="J180" s="2122">
        <f>IF($C$225="Yes",J297,0)</f>
        <v>560000</v>
      </c>
      <c r="K180" s="195"/>
    </row>
    <row r="181" spans="2:11" ht="16" outlineLevel="1">
      <c r="B181" s="121"/>
      <c r="C181" s="270"/>
      <c r="D181" s="501"/>
      <c r="E181" s="122"/>
      <c r="F181" s="501"/>
      <c r="G181" s="122"/>
      <c r="H181" s="501"/>
      <c r="I181" s="122"/>
      <c r="J181" s="501"/>
      <c r="K181" s="195"/>
    </row>
    <row r="182" spans="2:11" ht="16" outlineLevel="1">
      <c r="B182" s="121"/>
      <c r="C182" s="270" t="s">
        <v>251</v>
      </c>
      <c r="D182" s="2122">
        <f>IF($C$304="Yes",D373,0)</f>
        <v>0</v>
      </c>
      <c r="E182" s="122"/>
      <c r="F182" s="2122">
        <f>IF($C$304="Yes",F373,0)</f>
        <v>0</v>
      </c>
      <c r="G182" s="122"/>
      <c r="H182" s="2122">
        <f>IF($C$304="Yes",H373,0)</f>
        <v>0</v>
      </c>
      <c r="I182" s="122"/>
      <c r="J182" s="2122">
        <f>IF($C$304="Yes",J373,0)</f>
        <v>0</v>
      </c>
      <c r="K182" s="195"/>
    </row>
    <row r="183" spans="2:11" ht="16" outlineLevel="1">
      <c r="B183" s="121"/>
      <c r="C183" s="270" t="s">
        <v>252</v>
      </c>
      <c r="D183" s="2122">
        <f>IF($C$304="Yes",D376,0)</f>
        <v>0</v>
      </c>
      <c r="E183" s="122"/>
      <c r="F183" s="2122">
        <f>IF($C$304="Yes",F376,0)</f>
        <v>0</v>
      </c>
      <c r="G183" s="122"/>
      <c r="H183" s="2122">
        <f>IF($C$304="Yes",H376,0)</f>
        <v>0</v>
      </c>
      <c r="I183" s="122"/>
      <c r="J183" s="2122">
        <f>IF($C$304="Yes",J376,0)</f>
        <v>0</v>
      </c>
      <c r="K183" s="195"/>
    </row>
    <row r="184" spans="2:11" ht="16" outlineLevel="1">
      <c r="B184" s="121"/>
      <c r="C184" s="270"/>
      <c r="D184" s="2123"/>
      <c r="E184" s="122"/>
      <c r="F184" s="2123"/>
      <c r="G184" s="122"/>
      <c r="H184" s="2123"/>
      <c r="I184" s="122"/>
      <c r="J184" s="2123"/>
      <c r="K184" s="195"/>
    </row>
    <row r="185" spans="2:11" ht="16" outlineLevel="1">
      <c r="B185" s="121"/>
      <c r="C185" s="270" t="s">
        <v>253</v>
      </c>
      <c r="D185" s="2122">
        <f>IF($C$383="Yes",D452,0)</f>
        <v>0</v>
      </c>
      <c r="E185" s="122"/>
      <c r="F185" s="2122">
        <f>IF($C$383="Yes",F452,0)</f>
        <v>0</v>
      </c>
      <c r="G185" s="122"/>
      <c r="H185" s="2122">
        <f>IF($C$383="Yes",H452,0)</f>
        <v>0</v>
      </c>
      <c r="I185" s="122"/>
      <c r="J185" s="2122">
        <f>IF($C$383="Yes",J452,0)</f>
        <v>0</v>
      </c>
      <c r="K185" s="195"/>
    </row>
    <row r="186" spans="2:11" ht="16" outlineLevel="1">
      <c r="B186" s="121"/>
      <c r="C186" s="270" t="s">
        <v>254</v>
      </c>
      <c r="D186" s="2122">
        <f>IF($C$383="Yes",D455,0)</f>
        <v>0</v>
      </c>
      <c r="E186" s="122"/>
      <c r="F186" s="2122">
        <f>IF($C$383="Yes",F455,0)</f>
        <v>0</v>
      </c>
      <c r="G186" s="122"/>
      <c r="H186" s="2122">
        <f>IF($C$383="Yes",H455,0)</f>
        <v>0</v>
      </c>
      <c r="I186" s="122"/>
      <c r="J186" s="2122">
        <f>IF($C$383="Yes",J455,0)</f>
        <v>0</v>
      </c>
      <c r="K186" s="195"/>
    </row>
    <row r="187" spans="2:11" ht="16" outlineLevel="1">
      <c r="B187" s="121"/>
      <c r="C187" s="270"/>
      <c r="D187" s="2123"/>
      <c r="E187" s="122"/>
      <c r="F187" s="2123"/>
      <c r="G187" s="122"/>
      <c r="H187" s="2123"/>
      <c r="I187" s="122"/>
      <c r="J187" s="2123"/>
      <c r="K187" s="195"/>
    </row>
    <row r="188" spans="2:11" ht="16" outlineLevel="1">
      <c r="B188" s="121"/>
      <c r="C188" s="270" t="s">
        <v>255</v>
      </c>
      <c r="D188" s="2122">
        <f>IF($C$462="Yes",D531,0)</f>
        <v>0</v>
      </c>
      <c r="E188" s="122"/>
      <c r="F188" s="2122">
        <f>IF($C$462="Yes",F531,0)</f>
        <v>0</v>
      </c>
      <c r="G188" s="122"/>
      <c r="H188" s="2122">
        <f>IF($C$462="Yes",H531,0)</f>
        <v>0</v>
      </c>
      <c r="I188" s="122"/>
      <c r="J188" s="2122">
        <f>IF($C$462="Yes",J531,0)</f>
        <v>0</v>
      </c>
      <c r="K188" s="195"/>
    </row>
    <row r="189" spans="2:11" ht="16" outlineLevel="1">
      <c r="B189" s="121"/>
      <c r="C189" s="270" t="s">
        <v>256</v>
      </c>
      <c r="D189" s="2122">
        <f>IF($C$462="Yes",D534,0)</f>
        <v>0</v>
      </c>
      <c r="E189" s="122"/>
      <c r="F189" s="2122">
        <f>IF($C$462="Yes",F534,0)</f>
        <v>0</v>
      </c>
      <c r="G189" s="122"/>
      <c r="H189" s="2122">
        <f>IF($C$462="Yes",H534,0)</f>
        <v>0</v>
      </c>
      <c r="I189" s="122"/>
      <c r="J189" s="2122">
        <f>IF($C$462="Yes",J534,0)</f>
        <v>0</v>
      </c>
      <c r="K189" s="195"/>
    </row>
    <row r="190" spans="2:11" ht="16" outlineLevel="1">
      <c r="B190" s="121"/>
      <c r="C190" s="270"/>
      <c r="D190" s="2123"/>
      <c r="E190" s="122"/>
      <c r="F190" s="2123"/>
      <c r="G190" s="122"/>
      <c r="H190" s="2123"/>
      <c r="I190" s="122"/>
      <c r="J190" s="2123"/>
      <c r="K190" s="195"/>
    </row>
    <row r="191" spans="2:11" ht="16" outlineLevel="1">
      <c r="B191" s="121"/>
      <c r="C191" s="270" t="s">
        <v>257</v>
      </c>
      <c r="D191" s="2122">
        <f>IF($C$541="Yes",D610,0)</f>
        <v>0</v>
      </c>
      <c r="E191" s="122"/>
      <c r="F191" s="2122">
        <f>IF($C$541="Yes",F610,0)</f>
        <v>0</v>
      </c>
      <c r="G191" s="122"/>
      <c r="H191" s="2122">
        <f>IF($C$541="Yes",H610,0)</f>
        <v>0</v>
      </c>
      <c r="I191" s="122"/>
      <c r="J191" s="2122">
        <f>IF($C$541="Yes",J610,0)</f>
        <v>0</v>
      </c>
      <c r="K191" s="195"/>
    </row>
    <row r="192" spans="2:11" ht="16" outlineLevel="1">
      <c r="B192" s="121"/>
      <c r="C192" s="270" t="s">
        <v>258</v>
      </c>
      <c r="D192" s="2122">
        <f>IF($C$541="Yes",D613,0)</f>
        <v>0</v>
      </c>
      <c r="E192" s="122"/>
      <c r="F192" s="2122">
        <f>IF($C$541="Yes",F613,0)</f>
        <v>0</v>
      </c>
      <c r="G192" s="122"/>
      <c r="H192" s="2122">
        <f>IF($C$541="Yes",H613,0)</f>
        <v>0</v>
      </c>
      <c r="I192" s="122"/>
      <c r="J192" s="2122">
        <f>IF($C$541="Yes",J613,0)</f>
        <v>0</v>
      </c>
      <c r="K192" s="195"/>
    </row>
    <row r="193" spans="2:11" ht="16" outlineLevel="1">
      <c r="B193" s="121"/>
      <c r="C193" s="270"/>
      <c r="D193" s="2123"/>
      <c r="E193" s="122"/>
      <c r="F193" s="2123"/>
      <c r="G193" s="122"/>
      <c r="H193" s="2123"/>
      <c r="I193" s="122"/>
      <c r="J193" s="2123"/>
      <c r="K193" s="195"/>
    </row>
    <row r="194" spans="2:11" ht="16" outlineLevel="1">
      <c r="B194" s="121"/>
      <c r="C194" s="270" t="s">
        <v>259</v>
      </c>
      <c r="D194" s="2122">
        <f>D171-D174-D175-D176-D177+D179+D182+D185+D188+D191</f>
        <v>1637755</v>
      </c>
      <c r="E194" s="122"/>
      <c r="F194" s="2122">
        <f>F171-F174-F175-F176-F177+F179+F182+F185+F188+F191</f>
        <v>1394457</v>
      </c>
      <c r="G194" s="122"/>
      <c r="H194" s="2122">
        <f>H171-H174-H175-H176-H177+H179+H182+H185+H188+H191</f>
        <v>1224384</v>
      </c>
      <c r="I194" s="122"/>
      <c r="J194" s="2122">
        <f>J171-J174-J175-J176-J177+J179+J182+J185+J188+J191</f>
        <v>1734661.6666666667</v>
      </c>
      <c r="K194" s="195"/>
    </row>
    <row r="195" spans="2:11" ht="16" outlineLevel="1">
      <c r="B195" s="121"/>
      <c r="C195" s="270" t="s">
        <v>260</v>
      </c>
      <c r="D195" s="2122">
        <f ca="1">+D172+D180+D183+D186+D189+D192</f>
        <v>956963.77813801775</v>
      </c>
      <c r="E195" s="122"/>
      <c r="F195" s="2122">
        <f ca="1">+F172+F180+F183+F186+F189+F192</f>
        <v>956963.77813801775</v>
      </c>
      <c r="G195" s="122"/>
      <c r="H195" s="2122">
        <f ca="1">+H172+H180+H183+H186+H189+H192</f>
        <v>956963.77813801775</v>
      </c>
      <c r="I195" s="122"/>
      <c r="J195" s="2122">
        <f ca="1">+J172+J180+J183+J186+J189+J192</f>
        <v>821216.79662651627</v>
      </c>
      <c r="K195" s="195"/>
    </row>
    <row r="196" spans="2:11" ht="16" outlineLevel="1">
      <c r="B196" s="121"/>
      <c r="C196" s="270"/>
      <c r="D196" s="2123"/>
      <c r="E196" s="122"/>
      <c r="F196" s="501"/>
      <c r="G196" s="122"/>
      <c r="H196" s="501"/>
      <c r="I196" s="122"/>
      <c r="J196" s="501"/>
      <c r="K196" s="195"/>
    </row>
    <row r="197" spans="2:11">
      <c r="B197" s="2387" t="s">
        <v>2013</v>
      </c>
      <c r="C197" s="2388"/>
      <c r="D197" s="122"/>
      <c r="E197" s="122"/>
      <c r="F197" s="501"/>
      <c r="G197" s="122"/>
      <c r="H197" s="501"/>
      <c r="I197" s="122"/>
      <c r="J197" s="501"/>
      <c r="K197" s="195"/>
    </row>
    <row r="198" spans="2:11" ht="16">
      <c r="B198" s="121"/>
      <c r="C198" s="2085" t="s">
        <v>261</v>
      </c>
      <c r="D198" s="2125">
        <f ca="1">IFERROR(D194/D195,0)</f>
        <v>1.7114075134448772</v>
      </c>
      <c r="E198" s="122"/>
      <c r="F198" s="2125">
        <f ca="1">IFERROR(F194/F195,0)</f>
        <v>1.4571680055782477</v>
      </c>
      <c r="G198" s="122"/>
      <c r="H198" s="2125">
        <f ca="1">IFERROR(H194/H195,0)</f>
        <v>1.2794465453878587</v>
      </c>
      <c r="I198" s="122"/>
      <c r="J198" s="2125">
        <f ca="1">IFERROR(J194/J195,0)</f>
        <v>2.1123066086720326</v>
      </c>
      <c r="K198" s="195"/>
    </row>
    <row r="199" spans="2:11" ht="16">
      <c r="B199" s="121"/>
      <c r="C199" s="270" t="s">
        <v>239</v>
      </c>
      <c r="D199" s="2125">
        <f ca="1">IFERROR(D194/(D195-D172+D155+D159+D160+(D$155+((INDEX($BL$88:$BL$90,MATCH($C$37,$BC$88:$BC$90,0)))*D$86))),0)</f>
        <v>1.6924740732992023</v>
      </c>
      <c r="E199" s="122"/>
      <c r="F199" s="2125">
        <f ca="1">IFERROR(F194/(F195-F172+F155+F159+F160+(F$155+((INDEX($BL$88:$BL$90,MATCH($C$37,$BC$88:$BC$90,0)))*F$86))),0)</f>
        <v>1.441047237731276</v>
      </c>
      <c r="G199" s="122"/>
      <c r="H199" s="2125">
        <f ca="1">IFERROR(H194/(H195-H172+H155+H159+H160+(H$155+((INDEX($BL$88:$BL$90,MATCH($C$37,$BC$88:$BC$90,0)))*H$86))),0)</f>
        <v>1.2652919244712246</v>
      </c>
      <c r="I199" s="122"/>
      <c r="J199" s="2125">
        <f ca="1">IFERROR(J194/(J195-J172+J155+J159+J160+(J$155+((INDEX($BL$88:$BL$90,MATCH($C$37,$BC$88:$BC$90,0)))*J$86))),0)</f>
        <v>2.0873632657150032</v>
      </c>
      <c r="K199" s="195"/>
    </row>
    <row r="200" spans="2:11" ht="16">
      <c r="B200" s="121"/>
      <c r="C200" s="270" t="s">
        <v>240</v>
      </c>
      <c r="D200" s="2125">
        <f ca="1">IFERROR(D194/(D195-D172+D155+D159+D160+(INDEX($BL$94:$BL$96,MATCH($C$37,$BC$94:$BC$96,0)))*D$86),0)</f>
        <v>1.6735480094181243</v>
      </c>
      <c r="E200" s="122"/>
      <c r="F200" s="2125">
        <f ca="1">IFERROR(F194/(F195-F172+F155+F159+F160+(INDEX($BL$94:$BL$96,MATCH($C$37,$BC$94:$BC$96,0)))*F$86),0)</f>
        <v>1.4249327503620317</v>
      </c>
      <c r="G200" s="122"/>
      <c r="H200" s="2125">
        <f ca="1">IFERROR(H194/(H195-H172+H155+H159+H160+(INDEX($BL$94:$BL$96,MATCH($C$37,$BC$94:$BC$96,0)))*H$86),0)</f>
        <v>1.2511428180426258</v>
      </c>
      <c r="I200" s="122"/>
      <c r="J200" s="2125">
        <f ca="1">IFERROR(J194/(J195-J172+J155+J159+J160+(INDEX($BL$94:$BL$96,MATCH($C$37,$BC$94:$BC$96,0)))*J$86),0)</f>
        <v>2.0624671966874533</v>
      </c>
      <c r="K200" s="195"/>
    </row>
    <row r="201" spans="2:11" ht="16">
      <c r="B201" s="121"/>
      <c r="C201" s="270" t="s">
        <v>241</v>
      </c>
      <c r="D201" s="2125">
        <f ca="1">IFERROR(D194/(D195-D172+D155+D159+D160+(INDEX($BL$100:$BL$102,MATCH($C$37,$BC$100:$BC$102,0)))*D$86),0)</f>
        <v>1.6546515670578317</v>
      </c>
      <c r="E201" s="2126"/>
      <c r="F201" s="2125">
        <f ca="1">IFERROR(F194/(F195-F172+F155+F159+F160+(INDEX($BL$100:$BL$102,MATCH($C$37,$BC$100:$BC$102,0)))*F$86),0)</f>
        <v>1.408843484064932</v>
      </c>
      <c r="G201" s="2126"/>
      <c r="H201" s="2125">
        <f ca="1">IFERROR(H194/(H195-H172+H155+H159+H160+(INDEX($BL$100:$BL$102,MATCH($C$37,$BC$100:$BC$102,0)))*H$86),0)</f>
        <v>1.2370158566333402</v>
      </c>
      <c r="I201" s="2126"/>
      <c r="J201" s="2125">
        <f ca="1">IFERROR(J194/(J195-J172+J155+J159+J160+(INDEX($BL$100:$BL$102,MATCH($C$37,$BC$100:$BC$102,0)))*J$86),0)</f>
        <v>2.0376474692649156</v>
      </c>
      <c r="K201" s="195"/>
    </row>
    <row r="202" spans="2:11" ht="16">
      <c r="B202" s="121"/>
      <c r="C202" s="270"/>
      <c r="D202" s="501"/>
      <c r="E202" s="122"/>
      <c r="F202" s="501"/>
      <c r="G202" s="122"/>
      <c r="H202" s="501"/>
      <c r="I202" s="122"/>
      <c r="J202" s="501"/>
      <c r="K202" s="195"/>
    </row>
    <row r="203" spans="2:11" ht="16" thickBot="1">
      <c r="B203" s="2389"/>
      <c r="C203" s="2316"/>
      <c r="D203" s="2316"/>
      <c r="E203" s="124"/>
      <c r="F203" s="2117"/>
      <c r="G203" s="124"/>
      <c r="H203" s="2117"/>
      <c r="I203" s="124"/>
      <c r="J203" s="2117"/>
      <c r="K203" s="491"/>
    </row>
    <row r="204" spans="2:11" ht="16" thickBot="1"/>
    <row r="205" spans="2:11" ht="16">
      <c r="B205" s="2373" t="s">
        <v>262</v>
      </c>
      <c r="C205" s="2374"/>
      <c r="D205" s="2374"/>
      <c r="E205" s="2374"/>
      <c r="F205" s="2374"/>
      <c r="G205" s="2374"/>
      <c r="H205" s="2374"/>
      <c r="I205" s="2374"/>
      <c r="J205" s="2374"/>
      <c r="K205" s="2375"/>
    </row>
    <row r="206" spans="2:11">
      <c r="B206" s="2127" t="s">
        <v>263</v>
      </c>
      <c r="C206" s="2128" t="s">
        <v>264</v>
      </c>
      <c r="D206" s="2128" t="s">
        <v>265</v>
      </c>
      <c r="E206" s="2128" t="s">
        <v>266</v>
      </c>
      <c r="F206" s="2129" t="s">
        <v>267</v>
      </c>
      <c r="G206" s="2128" t="s">
        <v>268</v>
      </c>
      <c r="H206" s="2128" t="s">
        <v>269</v>
      </c>
      <c r="I206" s="2128" t="s">
        <v>270</v>
      </c>
      <c r="J206" s="2128" t="s">
        <v>271</v>
      </c>
      <c r="K206" s="2128" t="s">
        <v>272</v>
      </c>
    </row>
    <row r="207" spans="2:11">
      <c r="B207" s="2130"/>
      <c r="C207" s="2131"/>
      <c r="D207" s="2131"/>
      <c r="E207" s="2132"/>
      <c r="F207" s="2133"/>
      <c r="G207" s="2134">
        <f>IFERROR(Table2[[#This Row],[Current Balance]]/$C$65,0)</f>
        <v>0</v>
      </c>
      <c r="H207" s="2135">
        <f>IFERROR(IF(Table2[[#This Row],[Refinance?]]="Yes",PMT($C$36/12,$C$39,-Table2[[#This Row],[Current Balance]]),0),0)</f>
        <v>0</v>
      </c>
      <c r="I207" s="2136">
        <f>IFERROR((Table2[[#This Row],[Mthly Pmt]]-Table2[[#This Row],[Refi Pmt]])/Table2[[#This Row],[Mthly Pmt]],0)</f>
        <v>0</v>
      </c>
      <c r="J207" s="2137">
        <f>IF(Table2[[#This Row],[Refinance?]]="Yes",0,Table2[[#This Row],[Mthly Pmt]])</f>
        <v>0</v>
      </c>
      <c r="K207" s="2138"/>
    </row>
    <row r="208" spans="2:11">
      <c r="B208" s="2130"/>
      <c r="C208" s="2131"/>
      <c r="D208" s="2131"/>
      <c r="E208" s="2139"/>
      <c r="F208" s="2133"/>
      <c r="G208" s="2134">
        <f>IFERROR(Table2[[#This Row],[Current Balance]]/$C$65,0)</f>
        <v>0</v>
      </c>
      <c r="H208" s="2135">
        <f>IFERROR(IF(Table2[[#This Row],[Refinance?]]="Yes",PMT($C$36/12,$C$39,-Table2[[#This Row],[Current Balance]]),0),0)</f>
        <v>0</v>
      </c>
      <c r="I208" s="2140">
        <f>IFERROR((Table2[[#This Row],[Mthly Pmt]]-Table2[[#This Row],[Refi Pmt]])/Table2[[#This Row],[Mthly Pmt]],0)</f>
        <v>0</v>
      </c>
      <c r="J208" s="2141">
        <f>IF(Table2[[#This Row],[Refinance?]]="Yes",0,Table2[[#This Row],[Mthly Pmt]])</f>
        <v>0</v>
      </c>
      <c r="K208" s="2142"/>
    </row>
    <row r="209" spans="2:11">
      <c r="B209" s="2130"/>
      <c r="C209" s="2131"/>
      <c r="D209" s="2131"/>
      <c r="E209" s="2139"/>
      <c r="F209" s="2133"/>
      <c r="G209" s="2134">
        <f>IFERROR(Table2[[#This Row],[Current Balance]]/$C$65,0)</f>
        <v>0</v>
      </c>
      <c r="H209" s="2135">
        <f>IFERROR(IF(Table2[[#This Row],[Refinance?]]="Yes",PMT($C$36/12,$C$39,-Table2[[#This Row],[Current Balance]]),0),0)</f>
        <v>0</v>
      </c>
      <c r="I209" s="2140">
        <f>IFERROR((Table2[[#This Row],[Mthly Pmt]]-Table2[[#This Row],[Refi Pmt]])/Table2[[#This Row],[Mthly Pmt]],0)</f>
        <v>0</v>
      </c>
      <c r="J209" s="2141">
        <f>IF(Table2[[#This Row],[Refinance?]]="Yes",0,Table2[[#This Row],[Mthly Pmt]])</f>
        <v>0</v>
      </c>
      <c r="K209" s="2142"/>
    </row>
    <row r="210" spans="2:11">
      <c r="B210" s="2130"/>
      <c r="C210" s="2131"/>
      <c r="D210" s="2131"/>
      <c r="E210" s="2139"/>
      <c r="F210" s="2133"/>
      <c r="G210" s="2134">
        <f>IFERROR(Table2[[#This Row],[Current Balance]]/$C$65,0)</f>
        <v>0</v>
      </c>
      <c r="H210" s="2135">
        <f>IFERROR(IF(Table2[[#This Row],[Refinance?]]="Yes",PMT($C$36/12,$C$39,-Table2[[#This Row],[Current Balance]]),0),0)</f>
        <v>0</v>
      </c>
      <c r="I210" s="2140">
        <f>IFERROR((Table2[[#This Row],[Mthly Pmt]]-Table2[[#This Row],[Refi Pmt]])/Table2[[#This Row],[Mthly Pmt]],0)</f>
        <v>0</v>
      </c>
      <c r="J210" s="2141">
        <f>IF(Table2[[#This Row],[Refinance?]]="Yes",0,Table2[[#This Row],[Mthly Pmt]])</f>
        <v>0</v>
      </c>
      <c r="K210" s="2142"/>
    </row>
    <row r="211" spans="2:11">
      <c r="B211" s="2130"/>
      <c r="C211" s="2131"/>
      <c r="D211" s="2131"/>
      <c r="E211" s="2139"/>
      <c r="F211" s="2133"/>
      <c r="G211" s="2134">
        <f>IFERROR(Table2[[#This Row],[Current Balance]]/$C$65,0)</f>
        <v>0</v>
      </c>
      <c r="H211" s="2135">
        <f>IFERROR(IF(Table2[[#This Row],[Refinance?]]="Yes",PMT($C$36/12,$C$39,-Table2[[#This Row],[Current Balance]]),0),0)</f>
        <v>0</v>
      </c>
      <c r="I211" s="2140">
        <f>IFERROR((Table2[[#This Row],[Mthly Pmt]]-Table2[[#This Row],[Refi Pmt]])/Table2[[#This Row],[Mthly Pmt]],0)</f>
        <v>0</v>
      </c>
      <c r="J211" s="2141">
        <f>IF(Table2[[#This Row],[Refinance?]]="Yes",0,Table2[[#This Row],[Mthly Pmt]])</f>
        <v>0</v>
      </c>
      <c r="K211" s="2142"/>
    </row>
    <row r="212" spans="2:11">
      <c r="B212" s="2130"/>
      <c r="C212" s="2131"/>
      <c r="D212" s="2131"/>
      <c r="E212" s="2139"/>
      <c r="F212" s="2133"/>
      <c r="G212" s="2134">
        <f>IFERROR(Table2[[#This Row],[Current Balance]]/$C$65,0)</f>
        <v>0</v>
      </c>
      <c r="H212" s="2135">
        <f>IFERROR(IF(Table2[[#This Row],[Refinance?]]="Yes",PMT($C$36/12,$C$39,-Table2[[#This Row],[Current Balance]]),0),0)</f>
        <v>0</v>
      </c>
      <c r="I212" s="2140">
        <f>IFERROR((Table2[[#This Row],[Mthly Pmt]]-Table2[[#This Row],[Refi Pmt]])/Table2[[#This Row],[Mthly Pmt]],0)</f>
        <v>0</v>
      </c>
      <c r="J212" s="2141">
        <f>IF(Table2[[#This Row],[Refinance?]]="Yes",0,Table2[[#This Row],[Mthly Pmt]])</f>
        <v>0</v>
      </c>
      <c r="K212" s="2142"/>
    </row>
    <row r="213" spans="2:11">
      <c r="B213" s="2130"/>
      <c r="C213" s="2131"/>
      <c r="D213" s="2131"/>
      <c r="E213" s="2139"/>
      <c r="F213" s="2133"/>
      <c r="G213" s="2134">
        <f>IFERROR(Table2[[#This Row],[Current Balance]]/$C$65,0)</f>
        <v>0</v>
      </c>
      <c r="H213" s="2135">
        <f>IFERROR(IF(Table2[[#This Row],[Refinance?]]="Yes",PMT($C$36/12,$C$39,-Table2[[#This Row],[Current Balance]]),0),0)</f>
        <v>0</v>
      </c>
      <c r="I213" s="2140">
        <f>IFERROR((Table2[[#This Row],[Mthly Pmt]]-Table2[[#This Row],[Refi Pmt]])/Table2[[#This Row],[Mthly Pmt]],0)</f>
        <v>0</v>
      </c>
      <c r="J213" s="2141">
        <f>IF(Table2[[#This Row],[Refinance?]]="Yes",0,Table2[[#This Row],[Mthly Pmt]])</f>
        <v>0</v>
      </c>
      <c r="K213" s="2142"/>
    </row>
    <row r="214" spans="2:11">
      <c r="B214" s="2130"/>
      <c r="C214" s="2131"/>
      <c r="D214" s="2131"/>
      <c r="E214" s="2139"/>
      <c r="F214" s="2133"/>
      <c r="G214" s="2134">
        <f>IFERROR(Table2[[#This Row],[Current Balance]]/$C$65,0)</f>
        <v>0</v>
      </c>
      <c r="H214" s="2135">
        <f>IFERROR(IF(Table2[[#This Row],[Refinance?]]="Yes",PMT($C$36/12,$C$39,-Table2[[#This Row],[Current Balance]]),0),0)</f>
        <v>0</v>
      </c>
      <c r="I214" s="2140">
        <f>IFERROR((Table2[[#This Row],[Mthly Pmt]]-Table2[[#This Row],[Refi Pmt]])/Table2[[#This Row],[Mthly Pmt]],0)</f>
        <v>0</v>
      </c>
      <c r="J214" s="2141">
        <f>IF(Table2[[#This Row],[Refinance?]]="Yes",0,Table2[[#This Row],[Mthly Pmt]])</f>
        <v>0</v>
      </c>
      <c r="K214" s="2142"/>
    </row>
    <row r="215" spans="2:11">
      <c r="B215" s="2130"/>
      <c r="C215" s="2131"/>
      <c r="D215" s="2131"/>
      <c r="E215" s="2139"/>
      <c r="F215" s="2133"/>
      <c r="G215" s="2134">
        <f>IFERROR(Table2[[#This Row],[Current Balance]]/$C$65,0)</f>
        <v>0</v>
      </c>
      <c r="H215" s="2135">
        <f>IFERROR(IF(Table2[[#This Row],[Refinance?]]="Yes",PMT($C$36/12,$C$39,-Table2[[#This Row],[Current Balance]]),0),0)</f>
        <v>0</v>
      </c>
      <c r="I215" s="2140">
        <f>IFERROR((Table2[[#This Row],[Mthly Pmt]]-Table2[[#This Row],[Refi Pmt]])/Table2[[#This Row],[Mthly Pmt]],0)</f>
        <v>0</v>
      </c>
      <c r="J215" s="2141">
        <f>IF(Table2[[#This Row],[Refinance?]]="Yes",0,Table2[[#This Row],[Mthly Pmt]])</f>
        <v>0</v>
      </c>
      <c r="K215" s="2142"/>
    </row>
    <row r="216" spans="2:11">
      <c r="B216" s="2143"/>
      <c r="C216" s="2144"/>
      <c r="D216" s="2144"/>
      <c r="E216" s="2145"/>
      <c r="F216" s="2146"/>
      <c r="G216" s="2147">
        <f>IFERROR(Table2[[#This Row],[Current Balance]]/$C$65,0)</f>
        <v>0</v>
      </c>
      <c r="H216" s="2135">
        <f>IFERROR(IF(Table2[[#This Row],[Refinance?]]="Yes",PMT($C$36/12,$C$39,-Table2[[#This Row],[Current Balance]]),0),0)</f>
        <v>0</v>
      </c>
      <c r="I216" s="2148">
        <f>IFERROR((Table2[[#This Row],[Mthly Pmt]]-Table2[[#This Row],[Refi Pmt]])/Table2[[#This Row],[Mthly Pmt]],0)</f>
        <v>0</v>
      </c>
      <c r="J216" s="2149">
        <f>IF(Table2[[#This Row],[Refinance?]]="Yes",0,Table2[[#This Row],[Mthly Pmt]])</f>
        <v>0</v>
      </c>
      <c r="K216" s="2150"/>
    </row>
    <row r="217" spans="2:11">
      <c r="B217" s="2151" t="s">
        <v>104</v>
      </c>
      <c r="C217" s="2152">
        <f>SUBTOTAL(109,Table2[Current Balance])</f>
        <v>0</v>
      </c>
      <c r="D217" s="2152">
        <f>SUBTOTAL(109,Table2[Mthly Pmt])</f>
        <v>0</v>
      </c>
      <c r="E217" s="2153"/>
      <c r="F217" s="2154"/>
      <c r="G217" s="2155"/>
      <c r="H217" s="2156">
        <f>SUBTOTAL(109,Table2[Refi Pmt])</f>
        <v>0</v>
      </c>
      <c r="I217" s="2154"/>
      <c r="J217" s="2154">
        <f>SUBTOTAL(109,Table2[CF Debt Svc])</f>
        <v>0</v>
      </c>
      <c r="K217" s="2157"/>
    </row>
    <row r="218" spans="2:11">
      <c r="B218" s="828"/>
      <c r="K218" s="829"/>
    </row>
    <row r="219" spans="2:11">
      <c r="B219" s="2158" t="s">
        <v>273</v>
      </c>
      <c r="C219" s="2111">
        <f>SUMIF(Table2[Refinance?],"Yes",Table2[Mthly Pmt])</f>
        <v>0</v>
      </c>
      <c r="D219" s="2159" t="s">
        <v>274</v>
      </c>
      <c r="E219" s="2111">
        <f>Table2[[#Totals],[Refi Pmt]]</f>
        <v>0</v>
      </c>
      <c r="F219" s="2159" t="s">
        <v>275</v>
      </c>
      <c r="G219" s="2160">
        <f>IFERROR((C219-E219)/C219,0)</f>
        <v>0</v>
      </c>
      <c r="H219" s="2161"/>
      <c r="I219" s="2162"/>
      <c r="J219" s="2163"/>
      <c r="K219" s="2164"/>
    </row>
    <row r="220" spans="2:11" ht="16" thickBot="1">
      <c r="B220" s="2165"/>
      <c r="C220" s="2166"/>
      <c r="D220" s="2166"/>
      <c r="E220" s="2166"/>
      <c r="F220" s="2166"/>
      <c r="G220" s="2166"/>
      <c r="H220" s="2166"/>
      <c r="I220" s="2166"/>
      <c r="J220" s="2166"/>
      <c r="K220" s="2167"/>
    </row>
    <row r="221" spans="2:11" ht="16" thickBot="1">
      <c r="B221" s="59"/>
      <c r="C221" s="2168"/>
    </row>
    <row r="222" spans="2:11" ht="17" thickBot="1">
      <c r="B222" s="2373" t="s">
        <v>2014</v>
      </c>
      <c r="C222" s="2374"/>
      <c r="D222" s="2374"/>
      <c r="E222" s="2374"/>
      <c r="F222" s="2374"/>
      <c r="G222" s="2374"/>
      <c r="H222" s="2374"/>
      <c r="I222" s="2374"/>
      <c r="J222" s="2374"/>
      <c r="K222" s="2375"/>
    </row>
    <row r="223" spans="2:11" ht="17" thickBot="1">
      <c r="B223" s="2304" t="s">
        <v>177</v>
      </c>
      <c r="C223" s="2305"/>
      <c r="D223" s="2305"/>
      <c r="E223" s="2305"/>
      <c r="F223" s="2305"/>
      <c r="G223" s="2305"/>
      <c r="H223" s="2305"/>
      <c r="I223" s="2305"/>
      <c r="J223" s="2305"/>
      <c r="K223" s="2306"/>
    </row>
    <row r="224" spans="2:11" ht="17" outlineLevel="1" thickBot="1">
      <c r="B224" s="2376" t="s">
        <v>2015</v>
      </c>
      <c r="C224" s="2377"/>
      <c r="D224" s="2377"/>
      <c r="E224" s="2377"/>
      <c r="F224" s="2377"/>
      <c r="G224" s="2377"/>
      <c r="H224" s="2377"/>
      <c r="I224" s="2377"/>
      <c r="J224" s="2377"/>
      <c r="K224" s="2378"/>
    </row>
    <row r="225" spans="2:11" ht="17" outlineLevel="1" thickBot="1">
      <c r="B225" s="2077" t="s">
        <v>2001</v>
      </c>
      <c r="C225" s="2169" t="s">
        <v>180</v>
      </c>
      <c r="D225" s="237"/>
      <c r="E225" s="237"/>
      <c r="F225" s="237"/>
      <c r="G225" s="237"/>
      <c r="H225" s="237"/>
      <c r="I225" s="237"/>
      <c r="J225" s="237"/>
      <c r="K225" s="263"/>
    </row>
    <row r="226" spans="2:11" ht="16" outlineLevel="1">
      <c r="B226" s="312" t="s">
        <v>182</v>
      </c>
      <c r="C226" s="270"/>
      <c r="D226" s="135">
        <v>44926</v>
      </c>
      <c r="E226" s="239"/>
      <c r="F226" s="135">
        <f>EOMONTH(D226,F227)</f>
        <v>45291</v>
      </c>
      <c r="G226" s="239"/>
      <c r="H226" s="135">
        <f>EOMONTH(F226,H227)</f>
        <v>45657</v>
      </c>
      <c r="I226" s="239"/>
      <c r="J226" s="135">
        <v>45961</v>
      </c>
      <c r="K226" s="235"/>
    </row>
    <row r="227" spans="2:11" ht="16" outlineLevel="1">
      <c r="B227" s="312" t="s">
        <v>183</v>
      </c>
      <c r="C227" s="270"/>
      <c r="D227" s="136">
        <v>12</v>
      </c>
      <c r="E227" s="316"/>
      <c r="F227" s="136">
        <v>12</v>
      </c>
      <c r="G227" s="316"/>
      <c r="H227" s="136">
        <v>12</v>
      </c>
      <c r="I227" s="316"/>
      <c r="J227" s="136">
        <v>10</v>
      </c>
      <c r="K227" s="322"/>
    </row>
    <row r="228" spans="2:11" ht="16" outlineLevel="1">
      <c r="B228" s="312" t="s">
        <v>185</v>
      </c>
      <c r="C228" s="270"/>
      <c r="D228" s="137" t="s">
        <v>186</v>
      </c>
      <c r="E228" s="317"/>
      <c r="F228" s="137" t="s">
        <v>186</v>
      </c>
      <c r="G228" s="317"/>
      <c r="H228" s="137" t="s">
        <v>186</v>
      </c>
      <c r="I228" s="317"/>
      <c r="J228" s="137" t="s">
        <v>187</v>
      </c>
      <c r="K228" s="322"/>
    </row>
    <row r="229" spans="2:11" ht="16" outlineLevel="1">
      <c r="B229" s="312" t="s">
        <v>188</v>
      </c>
      <c r="C229" s="270"/>
      <c r="D229" s="137"/>
      <c r="E229" s="317"/>
      <c r="F229" s="137"/>
      <c r="G229" s="317"/>
      <c r="H229" s="137"/>
      <c r="I229" s="317"/>
      <c r="J229" s="137"/>
      <c r="K229" s="322"/>
    </row>
    <row r="230" spans="2:11" ht="16" outlineLevel="1">
      <c r="B230" s="236" t="s">
        <v>189</v>
      </c>
      <c r="C230" s="234"/>
      <c r="D230" s="314"/>
      <c r="E230" s="315"/>
      <c r="F230" s="314"/>
      <c r="G230" s="315"/>
      <c r="H230" s="314"/>
      <c r="I230" s="315"/>
      <c r="J230" s="314"/>
      <c r="K230" s="323"/>
    </row>
    <row r="231" spans="2:11" ht="16" outlineLevel="1">
      <c r="B231" s="269" t="s">
        <v>190</v>
      </c>
      <c r="C231" s="1052" t="s">
        <v>2002</v>
      </c>
      <c r="D231" s="4">
        <v>5588378</v>
      </c>
      <c r="E231" s="634">
        <f>IF(D$240=0,0,D231/D$240)</f>
        <v>0.99775235240628979</v>
      </c>
      <c r="F231" s="4">
        <v>4475782</v>
      </c>
      <c r="G231" s="634">
        <f>IF(F$240=0,0,F231/F$240)</f>
        <v>0.99721208164793085</v>
      </c>
      <c r="H231" s="4">
        <v>4290873</v>
      </c>
      <c r="I231" s="634">
        <f>IF(H$240=0,0,H231/H$240)</f>
        <v>0.98842010042055739</v>
      </c>
      <c r="J231" s="4">
        <v>4114573</v>
      </c>
      <c r="K231" s="2170">
        <f>IF(J$240=0,0,J231/J$240)</f>
        <v>1</v>
      </c>
    </row>
    <row r="232" spans="2:11" ht="16" outlineLevel="1">
      <c r="B232" s="269" t="s">
        <v>191</v>
      </c>
      <c r="C232" s="2081" t="s">
        <v>2002</v>
      </c>
      <c r="D232" s="5">
        <v>3569968</v>
      </c>
      <c r="E232" s="634">
        <f t="shared" ref="E232:G242" si="38">IF(D$240=0,0,D232/D$240)</f>
        <v>0.63738422311718668</v>
      </c>
      <c r="F232" s="5">
        <v>2523068</v>
      </c>
      <c r="G232" s="634">
        <f t="shared" si="38"/>
        <v>0.56214397672167271</v>
      </c>
      <c r="H232" s="5">
        <v>2613144</v>
      </c>
      <c r="I232" s="634">
        <f t="shared" ref="I232:I242" si="39">IF(H$240=0,0,H232/H$240)</f>
        <v>0.60194838087572788</v>
      </c>
      <c r="J232" s="5">
        <v>2146187</v>
      </c>
      <c r="K232" s="2170">
        <f t="shared" ref="K232:K242" si="40">IF(J$240=0,0,J232/J$240)</f>
        <v>0.52160625173013098</v>
      </c>
    </row>
    <row r="233" spans="2:11" ht="16" outlineLevel="2">
      <c r="B233" s="269" t="s">
        <v>2003</v>
      </c>
      <c r="C233" s="2082" t="s">
        <v>2002</v>
      </c>
      <c r="D233" s="333">
        <f>D231-D232</f>
        <v>2018410</v>
      </c>
      <c r="E233" s="634">
        <f t="shared" si="38"/>
        <v>0.36036812928910311</v>
      </c>
      <c r="F233" s="333">
        <f>F231-F232</f>
        <v>1952714</v>
      </c>
      <c r="G233" s="634">
        <f t="shared" si="38"/>
        <v>0.43506810492625819</v>
      </c>
      <c r="H233" s="333">
        <f>H231-H232</f>
        <v>1677729</v>
      </c>
      <c r="I233" s="634">
        <f t="shared" si="39"/>
        <v>0.38647171954482956</v>
      </c>
      <c r="J233" s="333">
        <f>J231-J232</f>
        <v>1968386</v>
      </c>
      <c r="K233" s="2170">
        <f t="shared" si="40"/>
        <v>0.47839374826986908</v>
      </c>
    </row>
    <row r="234" spans="2:11" ht="16" outlineLevel="2">
      <c r="B234" s="269" t="s">
        <v>190</v>
      </c>
      <c r="C234" s="2083" t="s">
        <v>2004</v>
      </c>
      <c r="D234" s="5">
        <v>12589</v>
      </c>
      <c r="E234" s="634">
        <f t="shared" si="38"/>
        <v>2.2476475937101576E-3</v>
      </c>
      <c r="F234" s="5">
        <v>7000</v>
      </c>
      <c r="G234" s="634">
        <f t="shared" si="38"/>
        <v>1.5596122803870959E-3</v>
      </c>
      <c r="H234" s="5">
        <v>43000</v>
      </c>
      <c r="I234" s="634">
        <f t="shared" si="39"/>
        <v>9.9052254210469457E-3</v>
      </c>
      <c r="J234" s="5"/>
      <c r="K234" s="2170">
        <f t="shared" si="40"/>
        <v>0</v>
      </c>
    </row>
    <row r="235" spans="2:11" ht="16" outlineLevel="2">
      <c r="B235" s="269" t="s">
        <v>191</v>
      </c>
      <c r="C235" s="2083" t="s">
        <v>2004</v>
      </c>
      <c r="D235" s="5"/>
      <c r="E235" s="634">
        <f t="shared" si="38"/>
        <v>0</v>
      </c>
      <c r="F235" s="5"/>
      <c r="G235" s="634">
        <f t="shared" si="38"/>
        <v>0</v>
      </c>
      <c r="H235" s="5"/>
      <c r="I235" s="634">
        <f t="shared" si="39"/>
        <v>0</v>
      </c>
      <c r="J235" s="5"/>
      <c r="K235" s="2170">
        <f t="shared" si="40"/>
        <v>0</v>
      </c>
    </row>
    <row r="236" spans="2:11" ht="16" outlineLevel="2">
      <c r="B236" s="269" t="s">
        <v>2003</v>
      </c>
      <c r="C236" s="2082" t="s">
        <v>2004</v>
      </c>
      <c r="D236" s="333">
        <f>D234-D235</f>
        <v>12589</v>
      </c>
      <c r="E236" s="634">
        <f t="shared" si="38"/>
        <v>2.2476475937101576E-3</v>
      </c>
      <c r="F236" s="333">
        <f>F234-F235</f>
        <v>7000</v>
      </c>
      <c r="G236" s="634">
        <f t="shared" si="38"/>
        <v>1.5596122803870959E-3</v>
      </c>
      <c r="H236" s="333">
        <f>H234-H235</f>
        <v>43000</v>
      </c>
      <c r="I236" s="634">
        <f t="shared" si="39"/>
        <v>9.9052254210469457E-3</v>
      </c>
      <c r="J236" s="333">
        <f>J234-J235</f>
        <v>0</v>
      </c>
      <c r="K236" s="2170">
        <f t="shared" si="40"/>
        <v>0</v>
      </c>
    </row>
    <row r="237" spans="2:11" ht="16" outlineLevel="2">
      <c r="B237" s="269" t="s">
        <v>190</v>
      </c>
      <c r="C237" s="2083" t="s">
        <v>2005</v>
      </c>
      <c r="D237" s="5"/>
      <c r="E237" s="634">
        <f t="shared" si="38"/>
        <v>0</v>
      </c>
      <c r="F237" s="5">
        <v>5513</v>
      </c>
      <c r="G237" s="634">
        <f t="shared" si="38"/>
        <v>1.2283060716820084E-3</v>
      </c>
      <c r="H237" s="5">
        <v>7270</v>
      </c>
      <c r="I237" s="634">
        <f t="shared" si="39"/>
        <v>1.6746741583956114E-3</v>
      </c>
      <c r="J237" s="5"/>
      <c r="K237" s="2170">
        <f t="shared" si="40"/>
        <v>0</v>
      </c>
    </row>
    <row r="238" spans="2:11" ht="16" outlineLevel="2">
      <c r="B238" s="269" t="s">
        <v>191</v>
      </c>
      <c r="C238" s="2083" t="s">
        <v>2005</v>
      </c>
      <c r="D238" s="5"/>
      <c r="E238" s="634">
        <f t="shared" si="38"/>
        <v>0</v>
      </c>
      <c r="F238" s="5"/>
      <c r="G238" s="634">
        <f t="shared" si="38"/>
        <v>0</v>
      </c>
      <c r="H238" s="5"/>
      <c r="I238" s="634">
        <f t="shared" si="39"/>
        <v>0</v>
      </c>
      <c r="J238" s="5"/>
      <c r="K238" s="2170">
        <f t="shared" si="40"/>
        <v>0</v>
      </c>
    </row>
    <row r="239" spans="2:11" ht="16" outlineLevel="2">
      <c r="B239" s="2084" t="s">
        <v>2003</v>
      </c>
      <c r="C239" s="2082" t="s">
        <v>2005</v>
      </c>
      <c r="D239" s="333">
        <f>D237-D238</f>
        <v>0</v>
      </c>
      <c r="E239" s="634">
        <f t="shared" si="38"/>
        <v>0</v>
      </c>
      <c r="F239" s="333">
        <f>F237-F238</f>
        <v>5513</v>
      </c>
      <c r="G239" s="634">
        <f t="shared" si="38"/>
        <v>1.2283060716820084E-3</v>
      </c>
      <c r="H239" s="333">
        <f>H237-H238</f>
        <v>7270</v>
      </c>
      <c r="I239" s="634">
        <f t="shared" si="39"/>
        <v>1.6746741583956114E-3</v>
      </c>
      <c r="J239" s="333">
        <f>J237-J238</f>
        <v>0</v>
      </c>
      <c r="K239" s="2170">
        <f t="shared" si="40"/>
        <v>0</v>
      </c>
    </row>
    <row r="240" spans="2:11" ht="16" outlineLevel="1">
      <c r="B240" s="159" t="s">
        <v>2006</v>
      </c>
      <c r="C240" s="2085" t="s">
        <v>194</v>
      </c>
      <c r="D240" s="506">
        <f>D231+D234+D237</f>
        <v>5600967</v>
      </c>
      <c r="E240" s="634">
        <f t="shared" si="38"/>
        <v>1</v>
      </c>
      <c r="F240" s="506">
        <f>F231+F234+F237</f>
        <v>4488295</v>
      </c>
      <c r="G240" s="634">
        <f t="shared" si="38"/>
        <v>1</v>
      </c>
      <c r="H240" s="506">
        <f>H231+H234+H237</f>
        <v>4341143</v>
      </c>
      <c r="I240" s="634">
        <f t="shared" si="39"/>
        <v>1</v>
      </c>
      <c r="J240" s="506">
        <f>J231+J234+J237</f>
        <v>4114573</v>
      </c>
      <c r="K240" s="2170">
        <f t="shared" si="40"/>
        <v>1</v>
      </c>
    </row>
    <row r="241" spans="2:11" ht="16" outlineLevel="1">
      <c r="B241" s="121"/>
      <c r="C241" s="2085" t="s">
        <v>195</v>
      </c>
      <c r="D241" s="507">
        <f>D232+D235+D238</f>
        <v>3569968</v>
      </c>
      <c r="E241" s="634">
        <f t="shared" si="38"/>
        <v>0.63738422311718668</v>
      </c>
      <c r="F241" s="507">
        <f>F232+F235+F238</f>
        <v>2523068</v>
      </c>
      <c r="G241" s="634">
        <f t="shared" si="38"/>
        <v>0.56214397672167271</v>
      </c>
      <c r="H241" s="507">
        <f>H232+H235+H238</f>
        <v>2613144</v>
      </c>
      <c r="I241" s="634">
        <f t="shared" si="39"/>
        <v>0.60194838087572788</v>
      </c>
      <c r="J241" s="507">
        <f>J232+J235+J238</f>
        <v>2146187</v>
      </c>
      <c r="K241" s="2170">
        <f t="shared" si="40"/>
        <v>0.52160625173013098</v>
      </c>
    </row>
    <row r="242" spans="2:11" ht="16" outlineLevel="1">
      <c r="B242" s="121"/>
      <c r="C242" s="2085" t="s">
        <v>196</v>
      </c>
      <c r="D242" s="508">
        <f>D240-D241</f>
        <v>2030999</v>
      </c>
      <c r="E242" s="634">
        <f t="shared" si="38"/>
        <v>0.36261577688281327</v>
      </c>
      <c r="F242" s="508">
        <f>F240-F241</f>
        <v>1965227</v>
      </c>
      <c r="G242" s="634">
        <f t="shared" si="38"/>
        <v>0.43785602327832729</v>
      </c>
      <c r="H242" s="508">
        <f>H240-H241</f>
        <v>1727999</v>
      </c>
      <c r="I242" s="634">
        <f t="shared" si="39"/>
        <v>0.39805161912427212</v>
      </c>
      <c r="J242" s="508">
        <f>J240-J241</f>
        <v>1968386</v>
      </c>
      <c r="K242" s="2170">
        <f t="shared" si="40"/>
        <v>0.47839374826986908</v>
      </c>
    </row>
    <row r="243" spans="2:11" ht="16" outlineLevel="1">
      <c r="B243" s="121"/>
      <c r="C243" s="2085"/>
      <c r="D243" s="2086"/>
      <c r="E243" s="635"/>
      <c r="F243" s="2086"/>
      <c r="G243" s="635"/>
      <c r="H243" s="2086"/>
      <c r="I243" s="635"/>
      <c r="J243" s="2086"/>
      <c r="K243" s="2171"/>
    </row>
    <row r="244" spans="2:11" ht="16" outlineLevel="1">
      <c r="B244" s="121"/>
      <c r="C244" s="2085" t="s">
        <v>197</v>
      </c>
      <c r="D244" s="509"/>
      <c r="E244" s="634"/>
      <c r="F244" s="509"/>
      <c r="G244" s="634"/>
      <c r="H244" s="509"/>
      <c r="I244" s="634"/>
      <c r="J244" s="509"/>
      <c r="K244" s="2171"/>
    </row>
    <row r="245" spans="2:11" ht="16" outlineLevel="1">
      <c r="B245" s="121"/>
      <c r="C245" s="270" t="s">
        <v>198</v>
      </c>
      <c r="D245" s="5">
        <v>145192</v>
      </c>
      <c r="E245" s="634">
        <f t="shared" ref="E245:G282" si="41">IF(D$240=0,0,D245/D$240)</f>
        <v>2.5922666568112256E-2</v>
      </c>
      <c r="F245" s="5">
        <v>209038</v>
      </c>
      <c r="G245" s="634">
        <f t="shared" si="41"/>
        <v>4.657403312393682E-2</v>
      </c>
      <c r="H245" s="5">
        <v>210000</v>
      </c>
      <c r="I245" s="634">
        <f t="shared" ref="I245:I269" si="42">IF(H$240=0,0,H245/H$240)</f>
        <v>4.8374356707438573E-2</v>
      </c>
      <c r="J245" s="5"/>
      <c r="K245" s="2170">
        <f t="shared" ref="K245:K269" si="43">IF(J$240=0,0,J245/J$240)</f>
        <v>0</v>
      </c>
    </row>
    <row r="246" spans="2:11" ht="16" outlineLevel="1">
      <c r="B246" s="121"/>
      <c r="C246" s="270" t="s">
        <v>200</v>
      </c>
      <c r="D246" s="5">
        <v>334593</v>
      </c>
      <c r="E246" s="634">
        <f t="shared" si="41"/>
        <v>5.9738434452479366E-2</v>
      </c>
      <c r="F246" s="5">
        <v>304262</v>
      </c>
      <c r="G246" s="634">
        <f t="shared" si="41"/>
        <v>6.7790107379305506E-2</v>
      </c>
      <c r="H246" s="5">
        <v>271785</v>
      </c>
      <c r="I246" s="634">
        <f t="shared" si="42"/>
        <v>6.2606783513005679E-2</v>
      </c>
      <c r="J246" s="5"/>
      <c r="K246" s="2170">
        <f t="shared" si="43"/>
        <v>0</v>
      </c>
    </row>
    <row r="247" spans="2:11" ht="16" outlineLevel="1">
      <c r="B247" s="121"/>
      <c r="C247" s="270" t="s">
        <v>201</v>
      </c>
      <c r="D247" s="5">
        <v>39920</v>
      </c>
      <c r="E247" s="634">
        <f t="shared" si="41"/>
        <v>7.1273406895630701E-3</v>
      </c>
      <c r="F247" s="5">
        <v>21236</v>
      </c>
      <c r="G247" s="634">
        <f t="shared" si="41"/>
        <v>4.7314180551857668E-3</v>
      </c>
      <c r="H247" s="5">
        <v>48898</v>
      </c>
      <c r="I247" s="634">
        <f t="shared" si="42"/>
        <v>1.1263853782287291E-2</v>
      </c>
      <c r="J247" s="5"/>
      <c r="K247" s="2170">
        <f t="shared" si="43"/>
        <v>0</v>
      </c>
    </row>
    <row r="248" spans="2:11" ht="16" outlineLevel="1">
      <c r="B248" s="121"/>
      <c r="C248" s="270" t="s">
        <v>202</v>
      </c>
      <c r="D248" s="5"/>
      <c r="E248" s="634">
        <f t="shared" si="41"/>
        <v>0</v>
      </c>
      <c r="F248" s="5"/>
      <c r="G248" s="634">
        <f t="shared" si="41"/>
        <v>0</v>
      </c>
      <c r="H248" s="5"/>
      <c r="I248" s="634">
        <f t="shared" si="42"/>
        <v>0</v>
      </c>
      <c r="J248" s="5"/>
      <c r="K248" s="2170">
        <f t="shared" si="43"/>
        <v>0</v>
      </c>
    </row>
    <row r="249" spans="2:11" ht="16" outlineLevel="1">
      <c r="B249" s="121"/>
      <c r="C249" s="270" t="s">
        <v>203</v>
      </c>
      <c r="D249" s="5">
        <v>38100</v>
      </c>
      <c r="E249" s="634">
        <f t="shared" si="41"/>
        <v>6.8023968004096436E-3</v>
      </c>
      <c r="F249" s="5">
        <v>51370</v>
      </c>
      <c r="G249" s="634">
        <f t="shared" si="41"/>
        <v>1.1445326120497873E-2</v>
      </c>
      <c r="H249" s="5">
        <v>75620</v>
      </c>
      <c r="I249" s="634">
        <f t="shared" si="42"/>
        <v>1.7419375496269072E-2</v>
      </c>
      <c r="J249" s="5"/>
      <c r="K249" s="2170">
        <f t="shared" si="43"/>
        <v>0</v>
      </c>
    </row>
    <row r="250" spans="2:11" ht="16" outlineLevel="1">
      <c r="B250" s="121"/>
      <c r="C250" s="270" t="s">
        <v>204</v>
      </c>
      <c r="D250" s="5">
        <v>254833</v>
      </c>
      <c r="E250" s="634">
        <f t="shared" si="41"/>
        <v>4.5498036321228105E-2</v>
      </c>
      <c r="F250" s="5">
        <v>180425</v>
      </c>
      <c r="G250" s="634">
        <f t="shared" si="41"/>
        <v>4.0199006526977395E-2</v>
      </c>
      <c r="H250" s="5">
        <v>235723</v>
      </c>
      <c r="I250" s="634">
        <f t="shared" si="42"/>
        <v>5.4299754695940679E-2</v>
      </c>
      <c r="J250" s="5"/>
      <c r="K250" s="2170">
        <f t="shared" si="43"/>
        <v>0</v>
      </c>
    </row>
    <row r="251" spans="2:11" ht="16" outlineLevel="1">
      <c r="B251" s="121"/>
      <c r="C251" s="270" t="s">
        <v>205</v>
      </c>
      <c r="D251" s="5">
        <v>719</v>
      </c>
      <c r="E251" s="634">
        <f t="shared" si="41"/>
        <v>1.2837069027544709E-4</v>
      </c>
      <c r="F251" s="5"/>
      <c r="G251" s="634">
        <f t="shared" si="41"/>
        <v>0</v>
      </c>
      <c r="H251" s="5">
        <v>1050</v>
      </c>
      <c r="I251" s="634">
        <f t="shared" si="42"/>
        <v>2.4187178353719287E-4</v>
      </c>
      <c r="J251" s="5"/>
      <c r="K251" s="2170">
        <f t="shared" si="43"/>
        <v>0</v>
      </c>
    </row>
    <row r="252" spans="2:11" ht="16" outlineLevel="1">
      <c r="B252" s="121"/>
      <c r="C252" s="270" t="s">
        <v>206</v>
      </c>
      <c r="D252" s="5">
        <v>19547</v>
      </c>
      <c r="E252" s="634">
        <f t="shared" si="41"/>
        <v>3.4899330776274884E-3</v>
      </c>
      <c r="F252" s="5">
        <v>11093</v>
      </c>
      <c r="G252" s="634">
        <f t="shared" si="41"/>
        <v>2.4715398609048648E-3</v>
      </c>
      <c r="H252" s="5">
        <v>2638</v>
      </c>
      <c r="I252" s="634">
        <f t="shared" si="42"/>
        <v>6.0767406187725212E-4</v>
      </c>
      <c r="J252" s="5"/>
      <c r="K252" s="2170">
        <f t="shared" si="43"/>
        <v>0</v>
      </c>
    </row>
    <row r="253" spans="2:11" ht="16" outlineLevel="2">
      <c r="B253" s="121"/>
      <c r="C253" s="270" t="s">
        <v>207</v>
      </c>
      <c r="D253" s="5">
        <v>400</v>
      </c>
      <c r="E253" s="634">
        <f t="shared" si="41"/>
        <v>7.1416239374379458E-5</v>
      </c>
      <c r="F253" s="5"/>
      <c r="G253" s="634">
        <f t="shared" si="41"/>
        <v>0</v>
      </c>
      <c r="H253" s="5"/>
      <c r="I253" s="634">
        <f t="shared" si="42"/>
        <v>0</v>
      </c>
      <c r="J253" s="5"/>
      <c r="K253" s="2170">
        <f t="shared" si="43"/>
        <v>0</v>
      </c>
    </row>
    <row r="254" spans="2:11" ht="16" outlineLevel="2">
      <c r="B254" s="121"/>
      <c r="C254" s="270" t="s">
        <v>208</v>
      </c>
      <c r="D254" s="5"/>
      <c r="E254" s="634">
        <f t="shared" si="41"/>
        <v>0</v>
      </c>
      <c r="F254" s="5"/>
      <c r="G254" s="634">
        <f t="shared" si="41"/>
        <v>0</v>
      </c>
      <c r="H254" s="5"/>
      <c r="I254" s="634">
        <f t="shared" si="42"/>
        <v>0</v>
      </c>
      <c r="J254" s="5"/>
      <c r="K254" s="2170">
        <f t="shared" si="43"/>
        <v>0</v>
      </c>
    </row>
    <row r="255" spans="2:11" ht="16" outlineLevel="2">
      <c r="B255" s="121"/>
      <c r="C255" s="270" t="s">
        <v>209</v>
      </c>
      <c r="D255" s="5"/>
      <c r="E255" s="634">
        <f t="shared" si="41"/>
        <v>0</v>
      </c>
      <c r="F255" s="5"/>
      <c r="G255" s="634">
        <f t="shared" si="41"/>
        <v>0</v>
      </c>
      <c r="H255" s="5"/>
      <c r="I255" s="634">
        <f t="shared" si="42"/>
        <v>0</v>
      </c>
      <c r="J255" s="5"/>
      <c r="K255" s="2170">
        <f t="shared" si="43"/>
        <v>0</v>
      </c>
    </row>
    <row r="256" spans="2:11" ht="16" outlineLevel="2">
      <c r="B256" s="121"/>
      <c r="C256" s="270" t="s">
        <v>210</v>
      </c>
      <c r="D256" s="5"/>
      <c r="E256" s="634">
        <f t="shared" si="41"/>
        <v>0</v>
      </c>
      <c r="F256" s="5"/>
      <c r="G256" s="634">
        <f t="shared" si="41"/>
        <v>0</v>
      </c>
      <c r="H256" s="5"/>
      <c r="I256" s="634">
        <f t="shared" si="42"/>
        <v>0</v>
      </c>
      <c r="J256" s="5"/>
      <c r="K256" s="2170">
        <f t="shared" si="43"/>
        <v>0</v>
      </c>
    </row>
    <row r="257" spans="2:11" ht="16" outlineLevel="2">
      <c r="B257" s="121"/>
      <c r="C257" s="270" t="s">
        <v>211</v>
      </c>
      <c r="D257" s="5"/>
      <c r="E257" s="634">
        <f t="shared" si="41"/>
        <v>0</v>
      </c>
      <c r="F257" s="5"/>
      <c r="G257" s="634">
        <f t="shared" si="41"/>
        <v>0</v>
      </c>
      <c r="H257" s="5"/>
      <c r="I257" s="634">
        <f t="shared" si="42"/>
        <v>0</v>
      </c>
      <c r="J257" s="5"/>
      <c r="K257" s="2170">
        <f t="shared" si="43"/>
        <v>0</v>
      </c>
    </row>
    <row r="258" spans="2:11" ht="16" outlineLevel="2">
      <c r="B258" s="121"/>
      <c r="C258" s="270" t="s">
        <v>212</v>
      </c>
      <c r="D258" s="5"/>
      <c r="E258" s="634">
        <f t="shared" si="41"/>
        <v>0</v>
      </c>
      <c r="F258" s="5"/>
      <c r="G258" s="634">
        <f t="shared" si="41"/>
        <v>0</v>
      </c>
      <c r="H258" s="5"/>
      <c r="I258" s="634">
        <f t="shared" si="42"/>
        <v>0</v>
      </c>
      <c r="J258" s="5"/>
      <c r="K258" s="2170">
        <f t="shared" si="43"/>
        <v>0</v>
      </c>
    </row>
    <row r="259" spans="2:11" ht="16" outlineLevel="2">
      <c r="B259" s="121"/>
      <c r="C259" s="270" t="s">
        <v>213</v>
      </c>
      <c r="D259" s="5"/>
      <c r="E259" s="634">
        <f t="shared" si="41"/>
        <v>0</v>
      </c>
      <c r="F259" s="5"/>
      <c r="G259" s="634">
        <f t="shared" si="41"/>
        <v>0</v>
      </c>
      <c r="H259" s="5"/>
      <c r="I259" s="634">
        <f t="shared" si="42"/>
        <v>0</v>
      </c>
      <c r="J259" s="5"/>
      <c r="K259" s="2170">
        <f t="shared" si="43"/>
        <v>0</v>
      </c>
    </row>
    <row r="260" spans="2:11" ht="16" outlineLevel="2">
      <c r="B260" s="121"/>
      <c r="C260" s="270" t="s">
        <v>214</v>
      </c>
      <c r="D260" s="5"/>
      <c r="E260" s="634">
        <f t="shared" si="41"/>
        <v>0</v>
      </c>
      <c r="F260" s="5"/>
      <c r="G260" s="634">
        <f t="shared" si="41"/>
        <v>0</v>
      </c>
      <c r="H260" s="5"/>
      <c r="I260" s="634">
        <f t="shared" si="42"/>
        <v>0</v>
      </c>
      <c r="J260" s="5"/>
      <c r="K260" s="2170">
        <f t="shared" si="43"/>
        <v>0</v>
      </c>
    </row>
    <row r="261" spans="2:11" ht="16" outlineLevel="2">
      <c r="B261" s="121"/>
      <c r="C261" s="270" t="s">
        <v>215</v>
      </c>
      <c r="D261" s="5"/>
      <c r="E261" s="634">
        <f t="shared" si="41"/>
        <v>0</v>
      </c>
      <c r="F261" s="5"/>
      <c r="G261" s="634">
        <f t="shared" si="41"/>
        <v>0</v>
      </c>
      <c r="H261" s="5"/>
      <c r="I261" s="634">
        <f t="shared" si="42"/>
        <v>0</v>
      </c>
      <c r="J261" s="5"/>
      <c r="K261" s="2170">
        <f t="shared" si="43"/>
        <v>0</v>
      </c>
    </row>
    <row r="262" spans="2:11" ht="16" outlineLevel="2">
      <c r="B262" s="121"/>
      <c r="C262" s="270" t="s">
        <v>216</v>
      </c>
      <c r="D262" s="5"/>
      <c r="E262" s="634">
        <f t="shared" si="41"/>
        <v>0</v>
      </c>
      <c r="F262" s="5"/>
      <c r="G262" s="634">
        <f t="shared" si="41"/>
        <v>0</v>
      </c>
      <c r="H262" s="5"/>
      <c r="I262" s="634">
        <f t="shared" si="42"/>
        <v>0</v>
      </c>
      <c r="J262" s="5"/>
      <c r="K262" s="2170">
        <f t="shared" si="43"/>
        <v>0</v>
      </c>
    </row>
    <row r="263" spans="2:11" ht="16" outlineLevel="2">
      <c r="B263" s="121"/>
      <c r="C263" s="270" t="s">
        <v>217</v>
      </c>
      <c r="D263" s="5"/>
      <c r="E263" s="634">
        <f t="shared" si="41"/>
        <v>0</v>
      </c>
      <c r="F263" s="5"/>
      <c r="G263" s="634">
        <f t="shared" si="41"/>
        <v>0</v>
      </c>
      <c r="H263" s="5"/>
      <c r="I263" s="634">
        <f t="shared" si="42"/>
        <v>0</v>
      </c>
      <c r="J263" s="5"/>
      <c r="K263" s="2170">
        <f t="shared" si="43"/>
        <v>0</v>
      </c>
    </row>
    <row r="264" spans="2:11" ht="16" outlineLevel="2">
      <c r="B264" s="121"/>
      <c r="C264" s="2097" t="s">
        <v>218</v>
      </c>
      <c r="D264" s="5"/>
      <c r="E264" s="634">
        <f t="shared" si="41"/>
        <v>0</v>
      </c>
      <c r="F264" s="5"/>
      <c r="G264" s="634">
        <f t="shared" si="41"/>
        <v>0</v>
      </c>
      <c r="H264" s="5"/>
      <c r="I264" s="634">
        <f t="shared" si="42"/>
        <v>0</v>
      </c>
      <c r="J264" s="5"/>
      <c r="K264" s="2170">
        <f t="shared" si="43"/>
        <v>0</v>
      </c>
    </row>
    <row r="265" spans="2:11" ht="16" outlineLevel="2">
      <c r="B265" s="121"/>
      <c r="C265" s="2098" t="s">
        <v>218</v>
      </c>
      <c r="D265" s="5"/>
      <c r="E265" s="634">
        <f t="shared" si="41"/>
        <v>0</v>
      </c>
      <c r="F265" s="5"/>
      <c r="G265" s="634">
        <f t="shared" si="41"/>
        <v>0</v>
      </c>
      <c r="H265" s="5"/>
      <c r="I265" s="634">
        <f t="shared" si="42"/>
        <v>0</v>
      </c>
      <c r="J265" s="5"/>
      <c r="K265" s="2170">
        <f t="shared" si="43"/>
        <v>0</v>
      </c>
    </row>
    <row r="266" spans="2:11" ht="16" outlineLevel="2">
      <c r="B266" s="121"/>
      <c r="C266" s="2098" t="s">
        <v>218</v>
      </c>
      <c r="D266" s="5"/>
      <c r="E266" s="634">
        <f t="shared" si="41"/>
        <v>0</v>
      </c>
      <c r="F266" s="5"/>
      <c r="G266" s="634">
        <f t="shared" si="41"/>
        <v>0</v>
      </c>
      <c r="H266" s="5"/>
      <c r="I266" s="634">
        <f t="shared" si="42"/>
        <v>0</v>
      </c>
      <c r="J266" s="5"/>
      <c r="K266" s="2170">
        <f t="shared" si="43"/>
        <v>0</v>
      </c>
    </row>
    <row r="267" spans="2:11" ht="16" outlineLevel="1">
      <c r="B267" s="159" t="s">
        <v>2006</v>
      </c>
      <c r="C267" s="2098" t="s">
        <v>218</v>
      </c>
      <c r="D267" s="5"/>
      <c r="E267" s="634">
        <f t="shared" si="41"/>
        <v>0</v>
      </c>
      <c r="F267" s="5"/>
      <c r="G267" s="634">
        <f t="shared" si="41"/>
        <v>0</v>
      </c>
      <c r="H267" s="5"/>
      <c r="I267" s="634">
        <f t="shared" si="42"/>
        <v>0</v>
      </c>
      <c r="J267" s="5"/>
      <c r="K267" s="2170">
        <f t="shared" si="43"/>
        <v>0</v>
      </c>
    </row>
    <row r="268" spans="2:11" ht="16" outlineLevel="1">
      <c r="B268" s="121"/>
      <c r="C268" s="2100" t="s">
        <v>218</v>
      </c>
      <c r="D268" s="5">
        <v>411214</v>
      </c>
      <c r="E268" s="634">
        <f t="shared" si="41"/>
        <v>7.3418393645240193E-2</v>
      </c>
      <c r="F268" s="5">
        <v>594290</v>
      </c>
      <c r="G268" s="634">
        <f t="shared" si="41"/>
        <v>0.13240885458732102</v>
      </c>
      <c r="H268" s="5">
        <v>431251</v>
      </c>
      <c r="I268" s="634">
        <f t="shared" si="42"/>
        <v>9.9340427163998046E-2</v>
      </c>
      <c r="J268" s="5">
        <v>1152598</v>
      </c>
      <c r="K268" s="2170">
        <f t="shared" si="43"/>
        <v>0.28012578705007785</v>
      </c>
    </row>
    <row r="269" spans="2:11" ht="16" outlineLevel="1">
      <c r="B269" s="121"/>
      <c r="C269" s="2085" t="s">
        <v>219</v>
      </c>
      <c r="D269" s="510">
        <f>SUM(D245:D268)</f>
        <v>1244518</v>
      </c>
      <c r="E269" s="634">
        <f t="shared" si="41"/>
        <v>0.22219698848430994</v>
      </c>
      <c r="F269" s="510">
        <f>SUM(F245:F268)</f>
        <v>1371714</v>
      </c>
      <c r="G269" s="634">
        <f t="shared" si="41"/>
        <v>0.30562028565412924</v>
      </c>
      <c r="H269" s="510">
        <f>SUM(H245:H268)</f>
        <v>1276965</v>
      </c>
      <c r="I269" s="634">
        <f t="shared" si="42"/>
        <v>0.29415409720435376</v>
      </c>
      <c r="J269" s="510">
        <f>SUM(J245:J268)</f>
        <v>1152598</v>
      </c>
      <c r="K269" s="2170">
        <f t="shared" si="43"/>
        <v>0.28012578705007785</v>
      </c>
    </row>
    <row r="270" spans="2:11" ht="16" outlineLevel="1">
      <c r="B270" s="121"/>
      <c r="C270" s="2085"/>
      <c r="D270" s="511"/>
      <c r="E270" s="635"/>
      <c r="F270" s="511"/>
      <c r="G270" s="635"/>
      <c r="H270" s="511"/>
      <c r="I270" s="635"/>
      <c r="J270" s="511"/>
      <c r="K270" s="2171"/>
    </row>
    <row r="271" spans="2:11" ht="16" outlineLevel="1">
      <c r="B271" s="121"/>
      <c r="C271" s="2085" t="s">
        <v>220</v>
      </c>
      <c r="D271" s="510">
        <f>D242-D269</f>
        <v>786481</v>
      </c>
      <c r="E271" s="634">
        <f t="shared" si="41"/>
        <v>0.14041878839850333</v>
      </c>
      <c r="F271" s="510">
        <f>F242-F269</f>
        <v>593513</v>
      </c>
      <c r="G271" s="634">
        <f t="shared" si="41"/>
        <v>0.13223573762419805</v>
      </c>
      <c r="H271" s="510">
        <f>H242-H269</f>
        <v>451034</v>
      </c>
      <c r="I271" s="634">
        <f t="shared" ref="I271" si="44">IF(H$240=0,0,H271/H$240)</f>
        <v>0.10389752191991833</v>
      </c>
      <c r="J271" s="510">
        <f>J242-J269</f>
        <v>815788</v>
      </c>
      <c r="K271" s="2170">
        <f t="shared" ref="K271" si="45">IF(J$240=0,0,J271/J$240)</f>
        <v>0.19826796121979121</v>
      </c>
    </row>
    <row r="272" spans="2:11" ht="16" outlineLevel="1">
      <c r="B272" s="121"/>
      <c r="C272" s="2085"/>
      <c r="D272" s="512"/>
      <c r="E272" s="635"/>
      <c r="F272" s="512"/>
      <c r="G272" s="635"/>
      <c r="H272" s="512"/>
      <c r="I272" s="635"/>
      <c r="J272" s="512"/>
      <c r="K272" s="2171"/>
    </row>
    <row r="273" spans="2:11" ht="16" outlineLevel="1">
      <c r="B273" s="121"/>
      <c r="C273" s="2097" t="s">
        <v>221</v>
      </c>
      <c r="D273" s="5"/>
      <c r="E273" s="634">
        <f t="shared" si="41"/>
        <v>0</v>
      </c>
      <c r="F273" s="5"/>
      <c r="G273" s="634">
        <f t="shared" si="41"/>
        <v>0</v>
      </c>
      <c r="H273" s="5"/>
      <c r="I273" s="634">
        <f t="shared" ref="I273:I277" si="46">IF(H$240=0,0,H273/H$240)</f>
        <v>0</v>
      </c>
      <c r="J273" s="5">
        <v>10043</v>
      </c>
      <c r="K273" s="2170">
        <f t="shared" ref="K273:K277" si="47">IF(J$240=0,0,J273/J$240)</f>
        <v>2.4408365096451078E-3</v>
      </c>
    </row>
    <row r="274" spans="2:11" ht="16" outlineLevel="1">
      <c r="B274" s="121"/>
      <c r="C274" s="2098" t="s">
        <v>221</v>
      </c>
      <c r="D274" s="5"/>
      <c r="E274" s="634">
        <f t="shared" si="41"/>
        <v>0</v>
      </c>
      <c r="F274" s="5"/>
      <c r="G274" s="634">
        <f t="shared" si="41"/>
        <v>0</v>
      </c>
      <c r="H274" s="5">
        <v>12480</v>
      </c>
      <c r="I274" s="634">
        <f t="shared" si="46"/>
        <v>2.8748189128992067E-3</v>
      </c>
      <c r="J274" s="5">
        <v>-130701</v>
      </c>
      <c r="K274" s="2170">
        <f t="shared" si="47"/>
        <v>-3.1765386104463333E-2</v>
      </c>
    </row>
    <row r="275" spans="2:11" ht="16" outlineLevel="1">
      <c r="B275" s="121"/>
      <c r="C275" s="2098" t="s">
        <v>222</v>
      </c>
      <c r="D275" s="5"/>
      <c r="E275" s="634">
        <f t="shared" si="41"/>
        <v>0</v>
      </c>
      <c r="F275" s="5"/>
      <c r="G275" s="634">
        <f t="shared" si="41"/>
        <v>0</v>
      </c>
      <c r="H275" s="5"/>
      <c r="I275" s="634">
        <f t="shared" si="46"/>
        <v>0</v>
      </c>
      <c r="J275" s="5"/>
      <c r="K275" s="2170">
        <f t="shared" si="47"/>
        <v>0</v>
      </c>
    </row>
    <row r="276" spans="2:11" ht="16" outlineLevel="1">
      <c r="B276" s="121"/>
      <c r="C276" s="2100" t="s">
        <v>222</v>
      </c>
      <c r="D276" s="5"/>
      <c r="E276" s="634">
        <f t="shared" si="41"/>
        <v>0</v>
      </c>
      <c r="F276" s="5"/>
      <c r="G276" s="634">
        <f t="shared" si="41"/>
        <v>0</v>
      </c>
      <c r="H276" s="5"/>
      <c r="I276" s="634">
        <f t="shared" si="46"/>
        <v>0</v>
      </c>
      <c r="J276" s="5"/>
      <c r="K276" s="2170">
        <f t="shared" si="47"/>
        <v>0</v>
      </c>
    </row>
    <row r="277" spans="2:11" ht="16" outlineLevel="1">
      <c r="B277" s="121"/>
      <c r="C277" s="2085" t="s">
        <v>223</v>
      </c>
      <c r="D277" s="510">
        <f>SUM(D273:D276)</f>
        <v>0</v>
      </c>
      <c r="E277" s="634">
        <f t="shared" si="41"/>
        <v>0</v>
      </c>
      <c r="F277" s="510">
        <f>SUM(F273:F276)</f>
        <v>0</v>
      </c>
      <c r="G277" s="634">
        <f t="shared" si="41"/>
        <v>0</v>
      </c>
      <c r="H277" s="510">
        <f>SUM(H273:H276)</f>
        <v>12480</v>
      </c>
      <c r="I277" s="634">
        <f t="shared" si="46"/>
        <v>2.8748189128992067E-3</v>
      </c>
      <c r="J277" s="510">
        <f>SUM(J273:J276)</f>
        <v>-120658</v>
      </c>
      <c r="K277" s="2170">
        <f t="shared" si="47"/>
        <v>-2.9324549594818224E-2</v>
      </c>
    </row>
    <row r="278" spans="2:11" ht="16" outlineLevel="1">
      <c r="B278" s="121"/>
      <c r="C278" s="2085"/>
      <c r="D278" s="511"/>
      <c r="E278" s="635"/>
      <c r="F278" s="511"/>
      <c r="G278" s="635"/>
      <c r="H278" s="511"/>
      <c r="I278" s="635"/>
      <c r="J278" s="511"/>
      <c r="K278" s="2172"/>
    </row>
    <row r="279" spans="2:11" ht="16" outlineLevel="1">
      <c r="B279" s="121"/>
      <c r="C279" s="2085" t="s">
        <v>224</v>
      </c>
      <c r="D279" s="510">
        <f>D242-D269+D277</f>
        <v>786481</v>
      </c>
      <c r="E279" s="634">
        <f t="shared" si="41"/>
        <v>0.14041878839850333</v>
      </c>
      <c r="F279" s="510">
        <f>F242-F269+F277</f>
        <v>593513</v>
      </c>
      <c r="G279" s="634">
        <f t="shared" si="41"/>
        <v>0.13223573762419805</v>
      </c>
      <c r="H279" s="510">
        <f>H242-H269+H277</f>
        <v>463514</v>
      </c>
      <c r="I279" s="634">
        <f t="shared" ref="I279:I280" si="48">IF(H$240=0,0,H279/H$240)</f>
        <v>0.10677234083281753</v>
      </c>
      <c r="J279" s="510">
        <f>J242-J269+J277</f>
        <v>695130</v>
      </c>
      <c r="K279" s="2170">
        <f t="shared" ref="K279:K280" si="49">IF(J$240=0,0,J279/J$240)</f>
        <v>0.16894341162497301</v>
      </c>
    </row>
    <row r="280" spans="2:11" ht="16" outlineLevel="1">
      <c r="B280" s="121"/>
      <c r="C280" s="2085" t="s">
        <v>225</v>
      </c>
      <c r="D280" s="510">
        <v>0</v>
      </c>
      <c r="E280" s="634">
        <f t="shared" si="41"/>
        <v>0</v>
      </c>
      <c r="F280" s="510">
        <v>0</v>
      </c>
      <c r="G280" s="634">
        <f t="shared" si="41"/>
        <v>0</v>
      </c>
      <c r="H280" s="510">
        <v>0</v>
      </c>
      <c r="I280" s="634">
        <f t="shared" si="48"/>
        <v>0</v>
      </c>
      <c r="J280" s="510">
        <v>0</v>
      </c>
      <c r="K280" s="2170">
        <f t="shared" si="49"/>
        <v>0</v>
      </c>
    </row>
    <row r="281" spans="2:11" ht="16" outlineLevel="1">
      <c r="B281" s="121"/>
      <c r="C281" s="2101"/>
      <c r="D281" s="281"/>
      <c r="E281" s="634"/>
      <c r="F281" s="281"/>
      <c r="G281" s="634"/>
      <c r="H281" s="281"/>
      <c r="I281" s="634"/>
      <c r="J281" s="281"/>
      <c r="K281" s="2173"/>
    </row>
    <row r="282" spans="2:11" ht="16" outlineLevel="1">
      <c r="B282" s="121"/>
      <c r="C282" s="2085" t="s">
        <v>226</v>
      </c>
      <c r="D282" s="510">
        <f>D279-D280</f>
        <v>786481</v>
      </c>
      <c r="E282" s="634">
        <f t="shared" si="41"/>
        <v>0.14041878839850333</v>
      </c>
      <c r="F282" s="510">
        <f>F279-F280</f>
        <v>593513</v>
      </c>
      <c r="G282" s="634">
        <f t="shared" si="41"/>
        <v>0.13223573762419805</v>
      </c>
      <c r="H282" s="510">
        <f>H279-H280</f>
        <v>463514</v>
      </c>
      <c r="I282" s="634">
        <f t="shared" ref="I282" si="50">IF(H$240=0,0,H282/H$240)</f>
        <v>0.10677234083281753</v>
      </c>
      <c r="J282" s="510">
        <f>J279-J280</f>
        <v>695130</v>
      </c>
      <c r="K282" s="2170">
        <f t="shared" ref="K282" si="51">IF(J$240=0,0,J282/J$240)</f>
        <v>0.16894341162497301</v>
      </c>
    </row>
    <row r="283" spans="2:11" ht="17" outlineLevel="1" thickBot="1">
      <c r="B283" s="121"/>
      <c r="C283" s="270"/>
      <c r="D283" s="241"/>
      <c r="E283" s="321"/>
      <c r="F283" s="241"/>
      <c r="G283" s="321"/>
      <c r="H283" s="241"/>
      <c r="I283" s="321"/>
      <c r="J283" s="241"/>
      <c r="K283" s="2174"/>
    </row>
    <row r="284" spans="2:11" ht="16" outlineLevel="1">
      <c r="B284" s="121"/>
      <c r="C284" s="2102" t="s">
        <v>227</v>
      </c>
      <c r="D284" s="122"/>
      <c r="E284" s="122"/>
      <c r="F284" s="122"/>
      <c r="G284" s="122"/>
      <c r="H284" s="122"/>
      <c r="I284" s="122"/>
      <c r="J284" s="122"/>
      <c r="K284" s="120"/>
    </row>
    <row r="285" spans="2:11" ht="16" outlineLevel="1">
      <c r="B285" s="121"/>
      <c r="C285" s="2103" t="s">
        <v>2007</v>
      </c>
      <c r="D285" s="2104">
        <f>D245</f>
        <v>145192</v>
      </c>
      <c r="E285" s="122"/>
      <c r="F285" s="2104">
        <f>F245</f>
        <v>209038</v>
      </c>
      <c r="G285" s="122"/>
      <c r="H285" s="2104">
        <f>H245</f>
        <v>210000</v>
      </c>
      <c r="I285" s="122"/>
      <c r="J285" s="2104">
        <v>230654</v>
      </c>
      <c r="K285" s="195"/>
    </row>
    <row r="286" spans="2:11" ht="16" outlineLevel="1">
      <c r="B286" s="121"/>
      <c r="C286" s="2105" t="s">
        <v>2008</v>
      </c>
      <c r="D286" s="2104">
        <f>D252</f>
        <v>19547</v>
      </c>
      <c r="E286" s="122"/>
      <c r="F286" s="2104">
        <f>F252</f>
        <v>11093</v>
      </c>
      <c r="G286" s="122"/>
      <c r="H286" s="2104">
        <f>H252</f>
        <v>2638</v>
      </c>
      <c r="I286" s="122"/>
      <c r="J286" s="2104">
        <v>23554</v>
      </c>
      <c r="K286" s="195"/>
    </row>
    <row r="287" spans="2:11" ht="16" outlineLevel="1">
      <c r="B287" s="121"/>
      <c r="C287" s="2105" t="s">
        <v>2009</v>
      </c>
      <c r="D287" s="2104">
        <f>D251</f>
        <v>719</v>
      </c>
      <c r="E287" s="122"/>
      <c r="F287" s="2104">
        <f>F251</f>
        <v>0</v>
      </c>
      <c r="G287" s="122"/>
      <c r="H287" s="2104">
        <f>H251</f>
        <v>1050</v>
      </c>
      <c r="I287" s="122"/>
      <c r="J287" s="2104">
        <v>107882</v>
      </c>
      <c r="K287" s="195"/>
    </row>
    <row r="288" spans="2:11" ht="16" outlineLevel="1">
      <c r="B288" s="121"/>
      <c r="C288" s="2105" t="s">
        <v>2010</v>
      </c>
      <c r="D288" s="2104">
        <v>0</v>
      </c>
      <c r="E288" s="122"/>
      <c r="F288" s="2104">
        <v>0</v>
      </c>
      <c r="G288" s="122"/>
      <c r="H288" s="2104">
        <v>0</v>
      </c>
      <c r="I288" s="122"/>
      <c r="J288" s="2104">
        <f>J249</f>
        <v>0</v>
      </c>
      <c r="K288" s="195"/>
    </row>
    <row r="289" spans="2:11" outlineLevel="1">
      <c r="B289" s="121"/>
      <c r="C289" s="2106" t="s">
        <v>228</v>
      </c>
      <c r="D289" s="498"/>
      <c r="E289" s="122"/>
      <c r="F289" s="498"/>
      <c r="G289" s="122"/>
      <c r="H289" s="498"/>
      <c r="I289" s="122"/>
      <c r="J289" s="498"/>
      <c r="K289" s="195"/>
    </row>
    <row r="290" spans="2:11" outlineLevel="1">
      <c r="B290" s="121"/>
      <c r="C290" s="2106" t="s">
        <v>228</v>
      </c>
      <c r="D290" s="498"/>
      <c r="E290" s="122"/>
      <c r="F290" s="498"/>
      <c r="G290" s="122"/>
      <c r="H290" s="498"/>
      <c r="I290" s="122"/>
      <c r="J290" s="498"/>
      <c r="K290" s="195"/>
    </row>
    <row r="291" spans="2:11" ht="16" outlineLevel="1">
      <c r="B291" s="121"/>
      <c r="C291" s="2107" t="s">
        <v>2016</v>
      </c>
      <c r="D291" s="498"/>
      <c r="E291" s="122"/>
      <c r="F291" s="498"/>
      <c r="G291" s="122"/>
      <c r="H291" s="498"/>
      <c r="I291" s="122"/>
      <c r="J291" s="498"/>
      <c r="K291" s="195"/>
    </row>
    <row r="292" spans="2:11" ht="16" outlineLevel="1">
      <c r="B292" s="121"/>
      <c r="C292" s="2108" t="s">
        <v>229</v>
      </c>
      <c r="D292" s="2109"/>
      <c r="E292" s="122"/>
      <c r="F292" s="2109"/>
      <c r="G292" s="122"/>
      <c r="H292" s="2109"/>
      <c r="I292" s="122"/>
      <c r="J292" s="2109"/>
      <c r="K292" s="195"/>
    </row>
    <row r="293" spans="2:11" ht="16" outlineLevel="1">
      <c r="B293" s="121"/>
      <c r="C293" s="2108"/>
      <c r="D293" s="122"/>
      <c r="E293" s="122"/>
      <c r="F293" s="122"/>
      <c r="G293" s="122"/>
      <c r="H293" s="122"/>
      <c r="I293" s="122"/>
      <c r="J293" s="122"/>
      <c r="K293" s="195"/>
    </row>
    <row r="294" spans="2:11" ht="16" outlineLevel="1">
      <c r="B294" s="121"/>
      <c r="C294" s="2108" t="s">
        <v>230</v>
      </c>
      <c r="D294" s="2110">
        <f>D282+SUM(D285:D292)</f>
        <v>951939</v>
      </c>
      <c r="E294" s="2108"/>
      <c r="F294" s="2110">
        <f>F282+SUM(F285:F292)</f>
        <v>813644</v>
      </c>
      <c r="G294" s="2108"/>
      <c r="H294" s="2110">
        <f>H282+SUM(H285:H292)</f>
        <v>677202</v>
      </c>
      <c r="I294" s="2108"/>
      <c r="J294" s="2110">
        <f>J282+SUM(J285:J292)</f>
        <v>1057220</v>
      </c>
      <c r="K294" s="195"/>
    </row>
    <row r="295" spans="2:11" ht="16" outlineLevel="1">
      <c r="B295" s="121"/>
      <c r="C295" s="2108"/>
      <c r="D295" s="122"/>
      <c r="E295" s="122"/>
      <c r="F295" s="122"/>
      <c r="G295" s="122"/>
      <c r="H295" s="122"/>
      <c r="I295" s="122"/>
      <c r="J295" s="122"/>
      <c r="K295" s="195"/>
    </row>
    <row r="296" spans="2:11" ht="16" outlineLevel="1">
      <c r="B296" s="121"/>
      <c r="C296" s="270" t="s">
        <v>2017</v>
      </c>
      <c r="D296" s="498">
        <v>56000</v>
      </c>
      <c r="E296" s="122"/>
      <c r="F296" s="498">
        <v>56000</v>
      </c>
      <c r="G296" s="122"/>
      <c r="H296" s="498">
        <v>56000</v>
      </c>
      <c r="I296" s="122"/>
      <c r="J296" s="498">
        <v>56000</v>
      </c>
      <c r="K296" s="195"/>
    </row>
    <row r="297" spans="2:11" ht="16" outlineLevel="1">
      <c r="B297" s="121"/>
      <c r="C297" s="270" t="s">
        <v>231</v>
      </c>
      <c r="D297" s="2175">
        <f>D296*D227</f>
        <v>672000</v>
      </c>
      <c r="E297" s="122"/>
      <c r="F297" s="2175">
        <f>F296*F227</f>
        <v>672000</v>
      </c>
      <c r="G297" s="122"/>
      <c r="H297" s="2175">
        <f>H296*H227</f>
        <v>672000</v>
      </c>
      <c r="I297" s="122"/>
      <c r="J297" s="2175">
        <f>J296*J227</f>
        <v>560000</v>
      </c>
      <c r="K297" s="195"/>
    </row>
    <row r="298" spans="2:11" outlineLevel="1">
      <c r="B298" s="121"/>
      <c r="C298" s="122"/>
      <c r="D298" s="122"/>
      <c r="E298" s="122"/>
      <c r="F298" s="122"/>
      <c r="G298" s="122"/>
      <c r="H298" s="122"/>
      <c r="I298" s="122"/>
      <c r="J298" s="122"/>
      <c r="K298" s="195"/>
    </row>
    <row r="299" spans="2:11" ht="17" outlineLevel="1" thickBot="1">
      <c r="B299" s="121"/>
      <c r="C299" s="2085" t="s">
        <v>238</v>
      </c>
      <c r="D299" s="2176">
        <f>IFERROR((D294)/D297,0)</f>
        <v>1.4165758928571428</v>
      </c>
      <c r="E299" s="122"/>
      <c r="F299" s="2176">
        <f>IFERROR((F294)/F297,0)</f>
        <v>1.210779761904762</v>
      </c>
      <c r="G299" s="122"/>
      <c r="H299" s="2176">
        <f>IFERROR((H294)/H297,0)</f>
        <v>1.0077410714285715</v>
      </c>
      <c r="I299" s="122"/>
      <c r="J299" s="2176">
        <f>IFERROR((J294)/J297,0)</f>
        <v>1.887892857142857</v>
      </c>
      <c r="K299" s="195"/>
    </row>
    <row r="300" spans="2:11" ht="16" thickBot="1">
      <c r="B300" s="2379" t="s">
        <v>2018</v>
      </c>
      <c r="C300" s="2380"/>
      <c r="D300" s="2380"/>
      <c r="E300" s="494"/>
      <c r="F300" s="494"/>
      <c r="G300" s="494"/>
      <c r="H300" s="494"/>
      <c r="I300" s="494"/>
      <c r="J300" s="494"/>
      <c r="K300" s="495"/>
    </row>
    <row r="301" spans="2:11" ht="15.75" customHeight="1" thickBot="1">
      <c r="B301" s="2177"/>
      <c r="C301" s="2177"/>
      <c r="D301" s="2177"/>
      <c r="E301" s="2178"/>
      <c r="F301" s="2178"/>
      <c r="G301" s="2178"/>
      <c r="H301" s="2178"/>
      <c r="I301" s="2178"/>
      <c r="J301" s="2178"/>
      <c r="K301" s="2178"/>
    </row>
    <row r="302" spans="2:11" ht="15.75" hidden="1" customHeight="1" outlineLevel="1" thickBot="1">
      <c r="B302" s="2304" t="s">
        <v>177</v>
      </c>
      <c r="C302" s="2305"/>
      <c r="D302" s="2305"/>
      <c r="E302" s="2305"/>
      <c r="F302" s="2305"/>
      <c r="G302" s="2305"/>
      <c r="H302" s="2305"/>
      <c r="I302" s="2305"/>
      <c r="J302" s="2305"/>
      <c r="K302" s="2306"/>
    </row>
    <row r="303" spans="2:11" ht="15.75" hidden="1" customHeight="1" outlineLevel="1" thickBot="1">
      <c r="B303" s="2376" t="s">
        <v>2019</v>
      </c>
      <c r="C303" s="2377"/>
      <c r="D303" s="2377"/>
      <c r="E303" s="2377"/>
      <c r="F303" s="2377"/>
      <c r="G303" s="2377"/>
      <c r="H303" s="2377"/>
      <c r="I303" s="2377"/>
      <c r="J303" s="2377"/>
      <c r="K303" s="2378"/>
    </row>
    <row r="304" spans="2:11" ht="15.75" hidden="1" customHeight="1" outlineLevel="1" thickBot="1">
      <c r="B304" s="2077" t="s">
        <v>2001</v>
      </c>
      <c r="C304" s="2169"/>
      <c r="D304" s="237"/>
      <c r="E304" s="237"/>
      <c r="F304" s="237"/>
      <c r="G304" s="237"/>
      <c r="H304" s="237"/>
      <c r="I304" s="237"/>
      <c r="J304" s="237"/>
      <c r="K304" s="263"/>
    </row>
    <row r="305" spans="2:11" ht="15.75" hidden="1" customHeight="1" outlineLevel="1">
      <c r="B305" s="312" t="s">
        <v>182</v>
      </c>
      <c r="C305" s="270"/>
      <c r="D305" s="135">
        <v>43465</v>
      </c>
      <c r="E305" s="239"/>
      <c r="F305" s="135">
        <f>EOMONTH(D305,F306)</f>
        <v>43830</v>
      </c>
      <c r="G305" s="239"/>
      <c r="H305" s="135">
        <f>EOMONTH(F305,H306)</f>
        <v>44196</v>
      </c>
      <c r="I305" s="239"/>
      <c r="J305" s="135">
        <f>EOMONTH(H305,J306)</f>
        <v>44286</v>
      </c>
      <c r="K305" s="235"/>
    </row>
    <row r="306" spans="2:11" ht="15.75" hidden="1" customHeight="1" outlineLevel="1">
      <c r="B306" s="312" t="s">
        <v>183</v>
      </c>
      <c r="C306" s="270"/>
      <c r="D306" s="136">
        <v>12</v>
      </c>
      <c r="E306" s="316"/>
      <c r="F306" s="136">
        <v>12</v>
      </c>
      <c r="G306" s="316"/>
      <c r="H306" s="136">
        <v>12</v>
      </c>
      <c r="I306" s="316"/>
      <c r="J306" s="136">
        <v>3</v>
      </c>
      <c r="K306" s="322"/>
    </row>
    <row r="307" spans="2:11" ht="15.75" hidden="1" customHeight="1" outlineLevel="1">
      <c r="B307" s="312" t="s">
        <v>185</v>
      </c>
      <c r="C307" s="270"/>
      <c r="D307" s="137"/>
      <c r="E307" s="317"/>
      <c r="F307" s="137"/>
      <c r="G307" s="317"/>
      <c r="H307" s="137"/>
      <c r="I307" s="317"/>
      <c r="J307" s="137"/>
      <c r="K307" s="322"/>
    </row>
    <row r="308" spans="2:11" ht="15.75" hidden="1" customHeight="1" outlineLevel="1">
      <c r="B308" s="312" t="s">
        <v>188</v>
      </c>
      <c r="C308" s="270"/>
      <c r="D308" s="137"/>
      <c r="E308" s="317"/>
      <c r="F308" s="137"/>
      <c r="G308" s="317"/>
      <c r="H308" s="137"/>
      <c r="I308" s="317"/>
      <c r="J308" s="137"/>
      <c r="K308" s="322"/>
    </row>
    <row r="309" spans="2:11" ht="15.75" hidden="1" customHeight="1" outlineLevel="1">
      <c r="B309" s="236" t="s">
        <v>189</v>
      </c>
      <c r="C309" s="234"/>
      <c r="D309" s="314"/>
      <c r="E309" s="315"/>
      <c r="F309" s="314"/>
      <c r="G309" s="315"/>
      <c r="H309" s="314"/>
      <c r="I309" s="315"/>
      <c r="J309" s="314"/>
      <c r="K309" s="323"/>
    </row>
    <row r="310" spans="2:11" ht="15.75" hidden="1" customHeight="1" outlineLevel="1">
      <c r="B310" s="269" t="s">
        <v>190</v>
      </c>
      <c r="C310" s="1052" t="s">
        <v>2002</v>
      </c>
      <c r="D310" s="4"/>
      <c r="E310" s="634">
        <f>IF(D$319=0,0,D310/D$319)</f>
        <v>0</v>
      </c>
      <c r="F310" s="4"/>
      <c r="G310" s="634">
        <f>IF(F$319=0,0,F310/F$319)</f>
        <v>0</v>
      </c>
      <c r="H310" s="4"/>
      <c r="I310" s="634">
        <f>IF(H$319=0,0,H310/H$319)</f>
        <v>0</v>
      </c>
      <c r="J310" s="4"/>
      <c r="K310" s="634">
        <f>IF(J$319=0,0,J310/J$319)</f>
        <v>0</v>
      </c>
    </row>
    <row r="311" spans="2:11" ht="17" hidden="1" outlineLevel="1" thickBot="1">
      <c r="B311" s="269" t="s">
        <v>191</v>
      </c>
      <c r="C311" s="2081" t="s">
        <v>2002</v>
      </c>
      <c r="D311" s="5"/>
      <c r="E311" s="634">
        <f t="shared" ref="E311:G321" si="52">IF(D$319=0,0,D311/D$319)</f>
        <v>0</v>
      </c>
      <c r="F311" s="5"/>
      <c r="G311" s="634">
        <f t="shared" si="52"/>
        <v>0</v>
      </c>
      <c r="H311" s="5"/>
      <c r="I311" s="634">
        <f t="shared" ref="I311:I321" si="53">IF(H$319=0,0,H311/H$319)</f>
        <v>0</v>
      </c>
      <c r="J311" s="5"/>
      <c r="K311" s="634">
        <f t="shared" ref="K311:K321" si="54">IF(J$319=0,0,J311/J$319)</f>
        <v>0</v>
      </c>
    </row>
    <row r="312" spans="2:11" ht="17" hidden="1" outlineLevel="2" thickBot="1">
      <c r="B312" s="269" t="s">
        <v>2003</v>
      </c>
      <c r="C312" s="2082" t="s">
        <v>2002</v>
      </c>
      <c r="D312" s="333">
        <f>D310-D311</f>
        <v>0</v>
      </c>
      <c r="E312" s="634">
        <f t="shared" si="52"/>
        <v>0</v>
      </c>
      <c r="F312" s="333">
        <f>F310-F311</f>
        <v>0</v>
      </c>
      <c r="G312" s="634">
        <f t="shared" si="52"/>
        <v>0</v>
      </c>
      <c r="H312" s="333">
        <f>H310-H311</f>
        <v>0</v>
      </c>
      <c r="I312" s="634">
        <f t="shared" si="53"/>
        <v>0</v>
      </c>
      <c r="J312" s="333">
        <f>J310-J311</f>
        <v>0</v>
      </c>
      <c r="K312" s="634">
        <f t="shared" si="54"/>
        <v>0</v>
      </c>
    </row>
    <row r="313" spans="2:11" ht="17" hidden="1" outlineLevel="2" thickBot="1">
      <c r="B313" s="269" t="s">
        <v>190</v>
      </c>
      <c r="C313" s="2083" t="s">
        <v>2004</v>
      </c>
      <c r="D313" s="5"/>
      <c r="E313" s="634">
        <f t="shared" si="52"/>
        <v>0</v>
      </c>
      <c r="F313" s="5"/>
      <c r="G313" s="634">
        <f t="shared" si="52"/>
        <v>0</v>
      </c>
      <c r="H313" s="5"/>
      <c r="I313" s="634">
        <f t="shared" si="53"/>
        <v>0</v>
      </c>
      <c r="J313" s="5"/>
      <c r="K313" s="634">
        <f t="shared" si="54"/>
        <v>0</v>
      </c>
    </row>
    <row r="314" spans="2:11" ht="17" hidden="1" outlineLevel="2" thickBot="1">
      <c r="B314" s="269" t="s">
        <v>191</v>
      </c>
      <c r="C314" s="2083" t="s">
        <v>2004</v>
      </c>
      <c r="D314" s="5"/>
      <c r="E314" s="634">
        <f t="shared" si="52"/>
        <v>0</v>
      </c>
      <c r="F314" s="5"/>
      <c r="G314" s="634">
        <f t="shared" si="52"/>
        <v>0</v>
      </c>
      <c r="H314" s="5"/>
      <c r="I314" s="634">
        <f t="shared" si="53"/>
        <v>0</v>
      </c>
      <c r="J314" s="5"/>
      <c r="K314" s="634">
        <f t="shared" si="54"/>
        <v>0</v>
      </c>
    </row>
    <row r="315" spans="2:11" ht="17" hidden="1" outlineLevel="2" thickBot="1">
      <c r="B315" s="269" t="s">
        <v>2003</v>
      </c>
      <c r="C315" s="2082" t="s">
        <v>2004</v>
      </c>
      <c r="D315" s="333">
        <f>D313-D314</f>
        <v>0</v>
      </c>
      <c r="E315" s="634">
        <f t="shared" si="52"/>
        <v>0</v>
      </c>
      <c r="F315" s="333">
        <f>F313-F314</f>
        <v>0</v>
      </c>
      <c r="G315" s="634">
        <f t="shared" si="52"/>
        <v>0</v>
      </c>
      <c r="H315" s="333">
        <f>H313-H314</f>
        <v>0</v>
      </c>
      <c r="I315" s="634">
        <f t="shared" si="53"/>
        <v>0</v>
      </c>
      <c r="J315" s="333">
        <f>J313-J314</f>
        <v>0</v>
      </c>
      <c r="K315" s="634">
        <f t="shared" si="54"/>
        <v>0</v>
      </c>
    </row>
    <row r="316" spans="2:11" ht="17" hidden="1" outlineLevel="2" thickBot="1">
      <c r="B316" s="269" t="s">
        <v>190</v>
      </c>
      <c r="C316" s="2083" t="s">
        <v>2005</v>
      </c>
      <c r="D316" s="5"/>
      <c r="E316" s="634">
        <f t="shared" si="52"/>
        <v>0</v>
      </c>
      <c r="F316" s="5"/>
      <c r="G316" s="634">
        <f t="shared" si="52"/>
        <v>0</v>
      </c>
      <c r="H316" s="5"/>
      <c r="I316" s="634">
        <f t="shared" si="53"/>
        <v>0</v>
      </c>
      <c r="J316" s="5"/>
      <c r="K316" s="634">
        <f t="shared" si="54"/>
        <v>0</v>
      </c>
    </row>
    <row r="317" spans="2:11" ht="17" hidden="1" outlineLevel="2" thickBot="1">
      <c r="B317" s="269" t="s">
        <v>191</v>
      </c>
      <c r="C317" s="2083" t="s">
        <v>2005</v>
      </c>
      <c r="D317" s="5"/>
      <c r="E317" s="634">
        <f t="shared" si="52"/>
        <v>0</v>
      </c>
      <c r="F317" s="5"/>
      <c r="G317" s="634">
        <f t="shared" si="52"/>
        <v>0</v>
      </c>
      <c r="H317" s="5"/>
      <c r="I317" s="634">
        <f t="shared" si="53"/>
        <v>0</v>
      </c>
      <c r="J317" s="5"/>
      <c r="K317" s="634">
        <f t="shared" si="54"/>
        <v>0</v>
      </c>
    </row>
    <row r="318" spans="2:11" ht="17" hidden="1" outlineLevel="2" thickBot="1">
      <c r="B318" s="2084" t="s">
        <v>2003</v>
      </c>
      <c r="C318" s="2082" t="s">
        <v>2005</v>
      </c>
      <c r="D318" s="333">
        <f>D316-D317</f>
        <v>0</v>
      </c>
      <c r="E318" s="634">
        <f t="shared" si="52"/>
        <v>0</v>
      </c>
      <c r="F318" s="333">
        <f>F316-F317</f>
        <v>0</v>
      </c>
      <c r="G318" s="634">
        <f t="shared" si="52"/>
        <v>0</v>
      </c>
      <c r="H318" s="333">
        <f>H316-H317</f>
        <v>0</v>
      </c>
      <c r="I318" s="634">
        <f t="shared" si="53"/>
        <v>0</v>
      </c>
      <c r="J318" s="333">
        <f>J316-J317</f>
        <v>0</v>
      </c>
      <c r="K318" s="634">
        <f t="shared" si="54"/>
        <v>0</v>
      </c>
    </row>
    <row r="319" spans="2:11" ht="17" hidden="1" outlineLevel="1" collapsed="1" thickBot="1">
      <c r="B319" s="159" t="s">
        <v>2006</v>
      </c>
      <c r="C319" s="2085" t="s">
        <v>194</v>
      </c>
      <c r="D319" s="506">
        <f>D310+D313+D316</f>
        <v>0</v>
      </c>
      <c r="E319" s="634">
        <f t="shared" si="52"/>
        <v>0</v>
      </c>
      <c r="F319" s="506">
        <f>F310+F313+F316</f>
        <v>0</v>
      </c>
      <c r="G319" s="634">
        <f t="shared" si="52"/>
        <v>0</v>
      </c>
      <c r="H319" s="506">
        <f>H310+H313+H316</f>
        <v>0</v>
      </c>
      <c r="I319" s="634">
        <f t="shared" si="53"/>
        <v>0</v>
      </c>
      <c r="J319" s="506">
        <f>J310+J313+J316</f>
        <v>0</v>
      </c>
      <c r="K319" s="634">
        <f t="shared" si="54"/>
        <v>0</v>
      </c>
    </row>
    <row r="320" spans="2:11" ht="17" hidden="1" outlineLevel="1" thickBot="1">
      <c r="B320" s="121"/>
      <c r="C320" s="2085" t="s">
        <v>195</v>
      </c>
      <c r="D320" s="507">
        <f>D311+D314+D317</f>
        <v>0</v>
      </c>
      <c r="E320" s="634">
        <f t="shared" si="52"/>
        <v>0</v>
      </c>
      <c r="F320" s="507">
        <f>F311+F314+F317</f>
        <v>0</v>
      </c>
      <c r="G320" s="634">
        <f t="shared" si="52"/>
        <v>0</v>
      </c>
      <c r="H320" s="507">
        <f>H311+H314+H317</f>
        <v>0</v>
      </c>
      <c r="I320" s="634">
        <f t="shared" si="53"/>
        <v>0</v>
      </c>
      <c r="J320" s="507">
        <f>J311+J314+J317</f>
        <v>0</v>
      </c>
      <c r="K320" s="634">
        <f t="shared" si="54"/>
        <v>0</v>
      </c>
    </row>
    <row r="321" spans="2:11" ht="17" hidden="1" outlineLevel="1" thickBot="1">
      <c r="B321" s="121"/>
      <c r="C321" s="2085" t="s">
        <v>196</v>
      </c>
      <c r="D321" s="508">
        <f>D319-D320</f>
        <v>0</v>
      </c>
      <c r="E321" s="634">
        <f t="shared" si="52"/>
        <v>0</v>
      </c>
      <c r="F321" s="508">
        <f>F319-F320</f>
        <v>0</v>
      </c>
      <c r="G321" s="634">
        <f t="shared" si="52"/>
        <v>0</v>
      </c>
      <c r="H321" s="508">
        <f>H319-H320</f>
        <v>0</v>
      </c>
      <c r="I321" s="634">
        <f t="shared" si="53"/>
        <v>0</v>
      </c>
      <c r="J321" s="508">
        <f>J319-J320</f>
        <v>0</v>
      </c>
      <c r="K321" s="634">
        <f t="shared" si="54"/>
        <v>0</v>
      </c>
    </row>
    <row r="322" spans="2:11" ht="17" hidden="1" outlineLevel="1" thickBot="1">
      <c r="B322" s="121"/>
      <c r="C322" s="2085"/>
      <c r="D322" s="2086"/>
      <c r="E322" s="635"/>
      <c r="F322" s="2086"/>
      <c r="G322" s="635"/>
      <c r="H322" s="2086"/>
      <c r="I322" s="635"/>
      <c r="J322" s="2086"/>
      <c r="K322" s="635"/>
    </row>
    <row r="323" spans="2:11" ht="17" hidden="1" outlineLevel="1" thickBot="1">
      <c r="B323" s="121"/>
      <c r="C323" s="2085" t="s">
        <v>197</v>
      </c>
      <c r="D323" s="509"/>
      <c r="E323" s="634"/>
      <c r="F323" s="509"/>
      <c r="G323" s="634"/>
      <c r="H323" s="509"/>
      <c r="I323" s="634"/>
      <c r="J323" s="509"/>
      <c r="K323" s="634"/>
    </row>
    <row r="324" spans="2:11" ht="17" hidden="1" outlineLevel="1" thickBot="1">
      <c r="B324" s="121"/>
      <c r="C324" s="270" t="s">
        <v>198</v>
      </c>
      <c r="D324" s="5"/>
      <c r="E324" s="634">
        <f t="shared" ref="E324:G361" si="55">IF(D$319=0,0,D324/D$319)</f>
        <v>0</v>
      </c>
      <c r="F324" s="5"/>
      <c r="G324" s="634">
        <f t="shared" si="55"/>
        <v>0</v>
      </c>
      <c r="H324" s="5"/>
      <c r="I324" s="634">
        <f t="shared" ref="I324:I348" si="56">IF(H$319=0,0,H324/H$319)</f>
        <v>0</v>
      </c>
      <c r="J324" s="5"/>
      <c r="K324" s="634">
        <f t="shared" ref="K324:K348" si="57">IF(J$319=0,0,J324/J$319)</f>
        <v>0</v>
      </c>
    </row>
    <row r="325" spans="2:11" ht="17" hidden="1" outlineLevel="1" thickBot="1">
      <c r="B325" s="121"/>
      <c r="C325" s="270" t="s">
        <v>200</v>
      </c>
      <c r="D325" s="5"/>
      <c r="E325" s="634">
        <f t="shared" si="55"/>
        <v>0</v>
      </c>
      <c r="F325" s="5"/>
      <c r="G325" s="634">
        <f t="shared" si="55"/>
        <v>0</v>
      </c>
      <c r="H325" s="5"/>
      <c r="I325" s="634">
        <f t="shared" si="56"/>
        <v>0</v>
      </c>
      <c r="J325" s="5"/>
      <c r="K325" s="634">
        <f t="shared" si="57"/>
        <v>0</v>
      </c>
    </row>
    <row r="326" spans="2:11" ht="17" hidden="1" outlineLevel="1" thickBot="1">
      <c r="B326" s="121"/>
      <c r="C326" s="270" t="s">
        <v>201</v>
      </c>
      <c r="D326" s="5"/>
      <c r="E326" s="634">
        <f t="shared" si="55"/>
        <v>0</v>
      </c>
      <c r="F326" s="5"/>
      <c r="G326" s="634">
        <f t="shared" si="55"/>
        <v>0</v>
      </c>
      <c r="H326" s="5"/>
      <c r="I326" s="634">
        <f t="shared" si="56"/>
        <v>0</v>
      </c>
      <c r="J326" s="5"/>
      <c r="K326" s="634">
        <f t="shared" si="57"/>
        <v>0</v>
      </c>
    </row>
    <row r="327" spans="2:11" ht="17" hidden="1" outlineLevel="1" thickBot="1">
      <c r="B327" s="121"/>
      <c r="C327" s="270" t="s">
        <v>202</v>
      </c>
      <c r="D327" s="5"/>
      <c r="E327" s="634">
        <f t="shared" si="55"/>
        <v>0</v>
      </c>
      <c r="F327" s="5"/>
      <c r="G327" s="634">
        <f t="shared" si="55"/>
        <v>0</v>
      </c>
      <c r="H327" s="5"/>
      <c r="I327" s="634">
        <f t="shared" si="56"/>
        <v>0</v>
      </c>
      <c r="J327" s="5"/>
      <c r="K327" s="634">
        <f t="shared" si="57"/>
        <v>0</v>
      </c>
    </row>
    <row r="328" spans="2:11" ht="17" hidden="1" outlineLevel="1" thickBot="1">
      <c r="B328" s="121"/>
      <c r="C328" s="270" t="s">
        <v>203</v>
      </c>
      <c r="D328" s="5"/>
      <c r="E328" s="634">
        <f t="shared" si="55"/>
        <v>0</v>
      </c>
      <c r="F328" s="5"/>
      <c r="G328" s="634">
        <f t="shared" si="55"/>
        <v>0</v>
      </c>
      <c r="H328" s="5"/>
      <c r="I328" s="634">
        <f t="shared" si="56"/>
        <v>0</v>
      </c>
      <c r="J328" s="5"/>
      <c r="K328" s="634">
        <f t="shared" si="57"/>
        <v>0</v>
      </c>
    </row>
    <row r="329" spans="2:11" ht="17" hidden="1" outlineLevel="1" thickBot="1">
      <c r="B329" s="121"/>
      <c r="C329" s="270" t="s">
        <v>204</v>
      </c>
      <c r="D329" s="5"/>
      <c r="E329" s="634">
        <f t="shared" si="55"/>
        <v>0</v>
      </c>
      <c r="F329" s="5"/>
      <c r="G329" s="634">
        <f t="shared" si="55"/>
        <v>0</v>
      </c>
      <c r="H329" s="5"/>
      <c r="I329" s="634">
        <f t="shared" si="56"/>
        <v>0</v>
      </c>
      <c r="J329" s="5"/>
      <c r="K329" s="634">
        <f t="shared" si="57"/>
        <v>0</v>
      </c>
    </row>
    <row r="330" spans="2:11" ht="17" hidden="1" outlineLevel="1" thickBot="1">
      <c r="B330" s="121"/>
      <c r="C330" s="270" t="s">
        <v>205</v>
      </c>
      <c r="D330" s="5"/>
      <c r="E330" s="634">
        <f t="shared" si="55"/>
        <v>0</v>
      </c>
      <c r="F330" s="5"/>
      <c r="G330" s="634">
        <f t="shared" si="55"/>
        <v>0</v>
      </c>
      <c r="H330" s="5"/>
      <c r="I330" s="634">
        <f t="shared" si="56"/>
        <v>0</v>
      </c>
      <c r="J330" s="5"/>
      <c r="K330" s="634">
        <f t="shared" si="57"/>
        <v>0</v>
      </c>
    </row>
    <row r="331" spans="2:11" ht="17" hidden="1" outlineLevel="1" thickBot="1">
      <c r="B331" s="121"/>
      <c r="C331" s="270" t="s">
        <v>206</v>
      </c>
      <c r="D331" s="5"/>
      <c r="E331" s="634">
        <f t="shared" si="55"/>
        <v>0</v>
      </c>
      <c r="F331" s="5"/>
      <c r="G331" s="634">
        <f t="shared" si="55"/>
        <v>0</v>
      </c>
      <c r="H331" s="5"/>
      <c r="I331" s="634">
        <f t="shared" si="56"/>
        <v>0</v>
      </c>
      <c r="J331" s="5"/>
      <c r="K331" s="634">
        <f t="shared" si="57"/>
        <v>0</v>
      </c>
    </row>
    <row r="332" spans="2:11" ht="17" hidden="1" outlineLevel="2" thickBot="1">
      <c r="B332" s="121"/>
      <c r="C332" s="270" t="s">
        <v>207</v>
      </c>
      <c r="D332" s="5"/>
      <c r="E332" s="634">
        <f t="shared" si="55"/>
        <v>0</v>
      </c>
      <c r="F332" s="5"/>
      <c r="G332" s="634">
        <f t="shared" si="55"/>
        <v>0</v>
      </c>
      <c r="H332" s="5"/>
      <c r="I332" s="634">
        <f t="shared" si="56"/>
        <v>0</v>
      </c>
      <c r="J332" s="5"/>
      <c r="K332" s="634">
        <f t="shared" si="57"/>
        <v>0</v>
      </c>
    </row>
    <row r="333" spans="2:11" ht="17" hidden="1" outlineLevel="2" thickBot="1">
      <c r="B333" s="121"/>
      <c r="C333" s="270" t="s">
        <v>208</v>
      </c>
      <c r="D333" s="5"/>
      <c r="E333" s="634">
        <f t="shared" si="55"/>
        <v>0</v>
      </c>
      <c r="F333" s="5"/>
      <c r="G333" s="634">
        <f t="shared" si="55"/>
        <v>0</v>
      </c>
      <c r="H333" s="5"/>
      <c r="I333" s="634">
        <f t="shared" si="56"/>
        <v>0</v>
      </c>
      <c r="J333" s="5"/>
      <c r="K333" s="634">
        <f t="shared" si="57"/>
        <v>0</v>
      </c>
    </row>
    <row r="334" spans="2:11" ht="17" hidden="1" outlineLevel="2" thickBot="1">
      <c r="B334" s="121"/>
      <c r="C334" s="270" t="s">
        <v>209</v>
      </c>
      <c r="D334" s="5"/>
      <c r="E334" s="634">
        <f t="shared" si="55"/>
        <v>0</v>
      </c>
      <c r="F334" s="5"/>
      <c r="G334" s="634">
        <f t="shared" si="55"/>
        <v>0</v>
      </c>
      <c r="H334" s="5"/>
      <c r="I334" s="634">
        <f t="shared" si="56"/>
        <v>0</v>
      </c>
      <c r="J334" s="5"/>
      <c r="K334" s="634">
        <f t="shared" si="57"/>
        <v>0</v>
      </c>
    </row>
    <row r="335" spans="2:11" ht="17" hidden="1" outlineLevel="2" thickBot="1">
      <c r="B335" s="121"/>
      <c r="C335" s="270" t="s">
        <v>210</v>
      </c>
      <c r="D335" s="5"/>
      <c r="E335" s="634">
        <f t="shared" si="55"/>
        <v>0</v>
      </c>
      <c r="F335" s="5"/>
      <c r="G335" s="634">
        <f t="shared" si="55"/>
        <v>0</v>
      </c>
      <c r="H335" s="5"/>
      <c r="I335" s="634">
        <f t="shared" si="56"/>
        <v>0</v>
      </c>
      <c r="J335" s="5"/>
      <c r="K335" s="634">
        <f t="shared" si="57"/>
        <v>0</v>
      </c>
    </row>
    <row r="336" spans="2:11" ht="17" hidden="1" outlineLevel="2" thickBot="1">
      <c r="B336" s="121"/>
      <c r="C336" s="270" t="s">
        <v>211</v>
      </c>
      <c r="D336" s="5"/>
      <c r="E336" s="634">
        <f t="shared" si="55"/>
        <v>0</v>
      </c>
      <c r="F336" s="5"/>
      <c r="G336" s="634">
        <f t="shared" si="55"/>
        <v>0</v>
      </c>
      <c r="H336" s="5"/>
      <c r="I336" s="634">
        <f t="shared" si="56"/>
        <v>0</v>
      </c>
      <c r="J336" s="5"/>
      <c r="K336" s="634">
        <f t="shared" si="57"/>
        <v>0</v>
      </c>
    </row>
    <row r="337" spans="2:11" ht="17" hidden="1" outlineLevel="2" thickBot="1">
      <c r="B337" s="121"/>
      <c r="C337" s="270" t="s">
        <v>212</v>
      </c>
      <c r="D337" s="5"/>
      <c r="E337" s="634">
        <f t="shared" si="55"/>
        <v>0</v>
      </c>
      <c r="F337" s="5"/>
      <c r="G337" s="634">
        <f t="shared" si="55"/>
        <v>0</v>
      </c>
      <c r="H337" s="5"/>
      <c r="I337" s="634">
        <f t="shared" si="56"/>
        <v>0</v>
      </c>
      <c r="J337" s="5"/>
      <c r="K337" s="634">
        <f t="shared" si="57"/>
        <v>0</v>
      </c>
    </row>
    <row r="338" spans="2:11" ht="17" hidden="1" outlineLevel="2" thickBot="1">
      <c r="B338" s="121"/>
      <c r="C338" s="270" t="s">
        <v>213</v>
      </c>
      <c r="D338" s="5"/>
      <c r="E338" s="634">
        <f t="shared" si="55"/>
        <v>0</v>
      </c>
      <c r="F338" s="5"/>
      <c r="G338" s="634">
        <f t="shared" si="55"/>
        <v>0</v>
      </c>
      <c r="H338" s="5"/>
      <c r="I338" s="634">
        <f t="shared" si="56"/>
        <v>0</v>
      </c>
      <c r="J338" s="5"/>
      <c r="K338" s="634">
        <f t="shared" si="57"/>
        <v>0</v>
      </c>
    </row>
    <row r="339" spans="2:11" ht="17" hidden="1" outlineLevel="2" thickBot="1">
      <c r="B339" s="121"/>
      <c r="C339" s="270" t="s">
        <v>214</v>
      </c>
      <c r="D339" s="5"/>
      <c r="E339" s="634">
        <f t="shared" si="55"/>
        <v>0</v>
      </c>
      <c r="F339" s="5"/>
      <c r="G339" s="634">
        <f t="shared" si="55"/>
        <v>0</v>
      </c>
      <c r="H339" s="5"/>
      <c r="I339" s="634">
        <f t="shared" si="56"/>
        <v>0</v>
      </c>
      <c r="J339" s="5"/>
      <c r="K339" s="634">
        <f t="shared" si="57"/>
        <v>0</v>
      </c>
    </row>
    <row r="340" spans="2:11" ht="17" hidden="1" outlineLevel="2" thickBot="1">
      <c r="B340" s="121"/>
      <c r="C340" s="270" t="s">
        <v>215</v>
      </c>
      <c r="D340" s="5"/>
      <c r="E340" s="634">
        <f t="shared" si="55"/>
        <v>0</v>
      </c>
      <c r="F340" s="5"/>
      <c r="G340" s="634">
        <f t="shared" si="55"/>
        <v>0</v>
      </c>
      <c r="H340" s="5"/>
      <c r="I340" s="634">
        <f t="shared" si="56"/>
        <v>0</v>
      </c>
      <c r="J340" s="5"/>
      <c r="K340" s="634">
        <f t="shared" si="57"/>
        <v>0</v>
      </c>
    </row>
    <row r="341" spans="2:11" ht="17" hidden="1" outlineLevel="2" thickBot="1">
      <c r="B341" s="121"/>
      <c r="C341" s="270" t="s">
        <v>216</v>
      </c>
      <c r="D341" s="5"/>
      <c r="E341" s="634">
        <f t="shared" si="55"/>
        <v>0</v>
      </c>
      <c r="F341" s="5"/>
      <c r="G341" s="634">
        <f t="shared" si="55"/>
        <v>0</v>
      </c>
      <c r="H341" s="5"/>
      <c r="I341" s="634">
        <f t="shared" si="56"/>
        <v>0</v>
      </c>
      <c r="J341" s="5"/>
      <c r="K341" s="634">
        <f t="shared" si="57"/>
        <v>0</v>
      </c>
    </row>
    <row r="342" spans="2:11" ht="17" hidden="1" outlineLevel="2" thickBot="1">
      <c r="B342" s="121"/>
      <c r="C342" s="270" t="s">
        <v>217</v>
      </c>
      <c r="D342" s="5"/>
      <c r="E342" s="634">
        <f t="shared" si="55"/>
        <v>0</v>
      </c>
      <c r="F342" s="5"/>
      <c r="G342" s="634">
        <f t="shared" si="55"/>
        <v>0</v>
      </c>
      <c r="H342" s="5"/>
      <c r="I342" s="634">
        <f t="shared" si="56"/>
        <v>0</v>
      </c>
      <c r="J342" s="5"/>
      <c r="K342" s="634">
        <f t="shared" si="57"/>
        <v>0</v>
      </c>
    </row>
    <row r="343" spans="2:11" ht="17" hidden="1" outlineLevel="2" thickBot="1">
      <c r="B343" s="121"/>
      <c r="C343" s="2097" t="s">
        <v>218</v>
      </c>
      <c r="D343" s="5"/>
      <c r="E343" s="634">
        <f t="shared" si="55"/>
        <v>0</v>
      </c>
      <c r="F343" s="5"/>
      <c r="G343" s="634">
        <f t="shared" si="55"/>
        <v>0</v>
      </c>
      <c r="H343" s="5"/>
      <c r="I343" s="634">
        <f t="shared" si="56"/>
        <v>0</v>
      </c>
      <c r="J343" s="5"/>
      <c r="K343" s="634">
        <f t="shared" si="57"/>
        <v>0</v>
      </c>
    </row>
    <row r="344" spans="2:11" ht="17" hidden="1" outlineLevel="2" thickBot="1">
      <c r="B344" s="121"/>
      <c r="C344" s="2098" t="s">
        <v>218</v>
      </c>
      <c r="D344" s="5"/>
      <c r="E344" s="634">
        <f t="shared" si="55"/>
        <v>0</v>
      </c>
      <c r="F344" s="5"/>
      <c r="G344" s="634">
        <f t="shared" si="55"/>
        <v>0</v>
      </c>
      <c r="H344" s="5"/>
      <c r="I344" s="634">
        <f t="shared" si="56"/>
        <v>0</v>
      </c>
      <c r="J344" s="5"/>
      <c r="K344" s="634">
        <f t="shared" si="57"/>
        <v>0</v>
      </c>
    </row>
    <row r="345" spans="2:11" ht="17" hidden="1" outlineLevel="2" thickBot="1">
      <c r="B345" s="121"/>
      <c r="C345" s="2098" t="s">
        <v>218</v>
      </c>
      <c r="D345" s="5"/>
      <c r="E345" s="634">
        <f t="shared" si="55"/>
        <v>0</v>
      </c>
      <c r="F345" s="5"/>
      <c r="G345" s="634">
        <f t="shared" si="55"/>
        <v>0</v>
      </c>
      <c r="H345" s="5"/>
      <c r="I345" s="634">
        <f t="shared" si="56"/>
        <v>0</v>
      </c>
      <c r="J345" s="5"/>
      <c r="K345" s="634">
        <f t="shared" si="57"/>
        <v>0</v>
      </c>
    </row>
    <row r="346" spans="2:11" ht="17" hidden="1" outlineLevel="1" collapsed="1" thickBot="1">
      <c r="B346" s="159" t="s">
        <v>2006</v>
      </c>
      <c r="C346" s="2098" t="s">
        <v>218</v>
      </c>
      <c r="D346" s="5"/>
      <c r="E346" s="634">
        <f t="shared" si="55"/>
        <v>0</v>
      </c>
      <c r="F346" s="5"/>
      <c r="G346" s="634">
        <f t="shared" si="55"/>
        <v>0</v>
      </c>
      <c r="H346" s="5"/>
      <c r="I346" s="634">
        <f t="shared" si="56"/>
        <v>0</v>
      </c>
      <c r="J346" s="5"/>
      <c r="K346" s="634">
        <f t="shared" si="57"/>
        <v>0</v>
      </c>
    </row>
    <row r="347" spans="2:11" ht="17" hidden="1" outlineLevel="1" thickBot="1">
      <c r="B347" s="121"/>
      <c r="C347" s="2100" t="s">
        <v>218</v>
      </c>
      <c r="D347" s="5"/>
      <c r="E347" s="634">
        <f t="shared" si="55"/>
        <v>0</v>
      </c>
      <c r="F347" s="5"/>
      <c r="G347" s="634">
        <f t="shared" si="55"/>
        <v>0</v>
      </c>
      <c r="H347" s="5"/>
      <c r="I347" s="634">
        <f t="shared" si="56"/>
        <v>0</v>
      </c>
      <c r="J347" s="5"/>
      <c r="K347" s="634">
        <f t="shared" si="57"/>
        <v>0</v>
      </c>
    </row>
    <row r="348" spans="2:11" ht="17" hidden="1" outlineLevel="1" thickBot="1">
      <c r="B348" s="121"/>
      <c r="C348" s="2085" t="s">
        <v>219</v>
      </c>
      <c r="D348" s="510">
        <f>SUM(D324:D347)</f>
        <v>0</v>
      </c>
      <c r="E348" s="634">
        <f t="shared" si="55"/>
        <v>0</v>
      </c>
      <c r="F348" s="510">
        <f>SUM(F324:F347)</f>
        <v>0</v>
      </c>
      <c r="G348" s="634">
        <f t="shared" si="55"/>
        <v>0</v>
      </c>
      <c r="H348" s="510">
        <f>SUM(H324:H347)</f>
        <v>0</v>
      </c>
      <c r="I348" s="634">
        <f t="shared" si="56"/>
        <v>0</v>
      </c>
      <c r="J348" s="510">
        <f>SUM(J324:J347)</f>
        <v>0</v>
      </c>
      <c r="K348" s="634">
        <f t="shared" si="57"/>
        <v>0</v>
      </c>
    </row>
    <row r="349" spans="2:11" ht="17" hidden="1" outlineLevel="1" thickBot="1">
      <c r="B349" s="121"/>
      <c r="C349" s="2085"/>
      <c r="D349" s="511"/>
      <c r="E349" s="635"/>
      <c r="F349" s="511"/>
      <c r="G349" s="635"/>
      <c r="H349" s="511"/>
      <c r="I349" s="635"/>
      <c r="J349" s="511"/>
      <c r="K349" s="635"/>
    </row>
    <row r="350" spans="2:11" ht="17" hidden="1" outlineLevel="1" thickBot="1">
      <c r="B350" s="121"/>
      <c r="C350" s="2085" t="s">
        <v>220</v>
      </c>
      <c r="D350" s="510">
        <f>D321-D348</f>
        <v>0</v>
      </c>
      <c r="E350" s="634">
        <f t="shared" si="55"/>
        <v>0</v>
      </c>
      <c r="F350" s="510">
        <f>F321-F348</f>
        <v>0</v>
      </c>
      <c r="G350" s="634">
        <f t="shared" si="55"/>
        <v>0</v>
      </c>
      <c r="H350" s="510">
        <f>H321-H348</f>
        <v>0</v>
      </c>
      <c r="I350" s="634">
        <f t="shared" ref="I350" si="58">IF(H$319=0,0,H350/H$319)</f>
        <v>0</v>
      </c>
      <c r="J350" s="510">
        <f>J321-J348</f>
        <v>0</v>
      </c>
      <c r="K350" s="634">
        <f t="shared" ref="K350" si="59">IF(J$319=0,0,J350/J$319)</f>
        <v>0</v>
      </c>
    </row>
    <row r="351" spans="2:11" ht="17" hidden="1" outlineLevel="1" thickBot="1">
      <c r="B351" s="121"/>
      <c r="C351" s="2085"/>
      <c r="D351" s="512"/>
      <c r="E351" s="635"/>
      <c r="F351" s="512"/>
      <c r="G351" s="635"/>
      <c r="H351" s="512"/>
      <c r="I351" s="635"/>
      <c r="J351" s="512"/>
      <c r="K351" s="635"/>
    </row>
    <row r="352" spans="2:11" ht="17" hidden="1" outlineLevel="1" thickBot="1">
      <c r="B352" s="121"/>
      <c r="C352" s="2097" t="s">
        <v>221</v>
      </c>
      <c r="D352" s="5"/>
      <c r="E352" s="634">
        <f t="shared" si="55"/>
        <v>0</v>
      </c>
      <c r="F352" s="5"/>
      <c r="G352" s="634">
        <f t="shared" si="55"/>
        <v>0</v>
      </c>
      <c r="H352" s="5"/>
      <c r="I352" s="634">
        <f t="shared" ref="I352:I356" si="60">IF(H$319=0,0,H352/H$319)</f>
        <v>0</v>
      </c>
      <c r="J352" s="5"/>
      <c r="K352" s="634">
        <f t="shared" ref="K352:K356" si="61">IF(J$319=0,0,J352/J$319)</f>
        <v>0</v>
      </c>
    </row>
    <row r="353" spans="2:11" ht="17" hidden="1" outlineLevel="1" thickBot="1">
      <c r="B353" s="121"/>
      <c r="C353" s="2098" t="s">
        <v>221</v>
      </c>
      <c r="D353" s="5"/>
      <c r="E353" s="634">
        <f t="shared" si="55"/>
        <v>0</v>
      </c>
      <c r="F353" s="5"/>
      <c r="G353" s="634">
        <f t="shared" si="55"/>
        <v>0</v>
      </c>
      <c r="H353" s="5"/>
      <c r="I353" s="634">
        <f t="shared" si="60"/>
        <v>0</v>
      </c>
      <c r="J353" s="5"/>
      <c r="K353" s="634">
        <f t="shared" si="61"/>
        <v>0</v>
      </c>
    </row>
    <row r="354" spans="2:11" ht="17" hidden="1" outlineLevel="1" thickBot="1">
      <c r="B354" s="121"/>
      <c r="C354" s="2098" t="s">
        <v>222</v>
      </c>
      <c r="D354" s="5"/>
      <c r="E354" s="634">
        <f t="shared" si="55"/>
        <v>0</v>
      </c>
      <c r="F354" s="5"/>
      <c r="G354" s="634">
        <f t="shared" si="55"/>
        <v>0</v>
      </c>
      <c r="H354" s="5"/>
      <c r="I354" s="634">
        <f t="shared" si="60"/>
        <v>0</v>
      </c>
      <c r="J354" s="5"/>
      <c r="K354" s="634">
        <f t="shared" si="61"/>
        <v>0</v>
      </c>
    </row>
    <row r="355" spans="2:11" ht="17" hidden="1" outlineLevel="1" thickBot="1">
      <c r="B355" s="121"/>
      <c r="C355" s="2100" t="s">
        <v>222</v>
      </c>
      <c r="D355" s="5"/>
      <c r="E355" s="634">
        <f t="shared" si="55"/>
        <v>0</v>
      </c>
      <c r="F355" s="5"/>
      <c r="G355" s="634">
        <f t="shared" si="55"/>
        <v>0</v>
      </c>
      <c r="H355" s="5"/>
      <c r="I355" s="634">
        <f t="shared" si="60"/>
        <v>0</v>
      </c>
      <c r="J355" s="5"/>
      <c r="K355" s="634">
        <f t="shared" si="61"/>
        <v>0</v>
      </c>
    </row>
    <row r="356" spans="2:11" ht="17" hidden="1" outlineLevel="1" thickBot="1">
      <c r="B356" s="121"/>
      <c r="C356" s="2085" t="s">
        <v>223</v>
      </c>
      <c r="D356" s="510">
        <f>SUM(D352:D355)</f>
        <v>0</v>
      </c>
      <c r="E356" s="634">
        <f t="shared" si="55"/>
        <v>0</v>
      </c>
      <c r="F356" s="510">
        <f>SUM(F352:F355)</f>
        <v>0</v>
      </c>
      <c r="G356" s="634">
        <f t="shared" si="55"/>
        <v>0</v>
      </c>
      <c r="H356" s="510">
        <f>SUM(H352:H355)</f>
        <v>0</v>
      </c>
      <c r="I356" s="634">
        <f t="shared" si="60"/>
        <v>0</v>
      </c>
      <c r="J356" s="510">
        <f>SUM(J352:J355)</f>
        <v>0</v>
      </c>
      <c r="K356" s="634">
        <f t="shared" si="61"/>
        <v>0</v>
      </c>
    </row>
    <row r="357" spans="2:11" ht="17" hidden="1" outlineLevel="1" thickBot="1">
      <c r="B357" s="121"/>
      <c r="C357" s="2085"/>
      <c r="D357" s="511"/>
      <c r="E357" s="635"/>
      <c r="F357" s="511"/>
      <c r="G357" s="635"/>
      <c r="H357" s="511"/>
      <c r="I357" s="635"/>
      <c r="J357" s="511"/>
      <c r="K357" s="635"/>
    </row>
    <row r="358" spans="2:11" ht="17" hidden="1" outlineLevel="1" thickBot="1">
      <c r="B358" s="121"/>
      <c r="C358" s="2085" t="s">
        <v>224</v>
      </c>
      <c r="D358" s="510">
        <f>D321-D348+D356</f>
        <v>0</v>
      </c>
      <c r="E358" s="634">
        <f t="shared" si="55"/>
        <v>0</v>
      </c>
      <c r="F358" s="510">
        <f>F321-F348+F356</f>
        <v>0</v>
      </c>
      <c r="G358" s="634">
        <f t="shared" si="55"/>
        <v>0</v>
      </c>
      <c r="H358" s="510">
        <f>H321-H348+H356</f>
        <v>0</v>
      </c>
      <c r="I358" s="634">
        <f t="shared" ref="I358:I359" si="62">IF(H$319=0,0,H358/H$319)</f>
        <v>0</v>
      </c>
      <c r="J358" s="510">
        <f>J321-J348+J356</f>
        <v>0</v>
      </c>
      <c r="K358" s="634">
        <f t="shared" ref="K358:K359" si="63">IF(J$319=0,0,J358/J$319)</f>
        <v>0</v>
      </c>
    </row>
    <row r="359" spans="2:11" ht="17" hidden="1" outlineLevel="1" thickBot="1">
      <c r="B359" s="121"/>
      <c r="C359" s="2085" t="s">
        <v>225</v>
      </c>
      <c r="D359" s="510">
        <v>0</v>
      </c>
      <c r="E359" s="634">
        <f t="shared" si="55"/>
        <v>0</v>
      </c>
      <c r="F359" s="510">
        <v>0</v>
      </c>
      <c r="G359" s="634">
        <f t="shared" si="55"/>
        <v>0</v>
      </c>
      <c r="H359" s="510">
        <v>0</v>
      </c>
      <c r="I359" s="634">
        <f t="shared" si="62"/>
        <v>0</v>
      </c>
      <c r="J359" s="510">
        <v>0</v>
      </c>
      <c r="K359" s="634">
        <f t="shared" si="63"/>
        <v>0</v>
      </c>
    </row>
    <row r="360" spans="2:11" ht="17" hidden="1" outlineLevel="1" thickBot="1">
      <c r="B360" s="121"/>
      <c r="C360" s="2101"/>
      <c r="D360" s="281"/>
      <c r="E360" s="634"/>
      <c r="F360" s="281"/>
      <c r="G360" s="634"/>
      <c r="H360" s="281"/>
      <c r="I360" s="634"/>
      <c r="J360" s="281"/>
      <c r="K360" s="634"/>
    </row>
    <row r="361" spans="2:11" ht="17" hidden="1" outlineLevel="1" thickBot="1">
      <c r="B361" s="121"/>
      <c r="C361" s="2085" t="s">
        <v>226</v>
      </c>
      <c r="D361" s="510">
        <f>D358-D359</f>
        <v>0</v>
      </c>
      <c r="E361" s="634">
        <f t="shared" si="55"/>
        <v>0</v>
      </c>
      <c r="F361" s="510">
        <f>F358-F359</f>
        <v>0</v>
      </c>
      <c r="G361" s="634">
        <f t="shared" si="55"/>
        <v>0</v>
      </c>
      <c r="H361" s="510">
        <f>H358-H359</f>
        <v>0</v>
      </c>
      <c r="I361" s="634">
        <f t="shared" ref="I361" si="64">IF(H$319=0,0,H361/H$319)</f>
        <v>0</v>
      </c>
      <c r="J361" s="510">
        <f>J358-J359</f>
        <v>0</v>
      </c>
      <c r="K361" s="634">
        <f t="shared" ref="K361" si="65">IF(J$319=0,0,J361/J$319)</f>
        <v>0</v>
      </c>
    </row>
    <row r="362" spans="2:11" ht="17" hidden="1" outlineLevel="1" thickBot="1">
      <c r="B362" s="121"/>
      <c r="C362" s="270"/>
      <c r="D362" s="241"/>
      <c r="E362" s="321"/>
      <c r="F362" s="241"/>
      <c r="G362" s="321"/>
      <c r="H362" s="241"/>
      <c r="I362" s="321"/>
      <c r="J362" s="241"/>
      <c r="K362" s="2174"/>
    </row>
    <row r="363" spans="2:11" ht="17" hidden="1" outlineLevel="1" thickBot="1">
      <c r="B363" s="121"/>
      <c r="C363" s="2102" t="s">
        <v>227</v>
      </c>
      <c r="D363" s="122"/>
      <c r="E363" s="122"/>
      <c r="F363" s="122"/>
      <c r="G363" s="122"/>
      <c r="H363" s="122"/>
      <c r="I363" s="122"/>
      <c r="J363" s="122"/>
      <c r="K363" s="120"/>
    </row>
    <row r="364" spans="2:11" ht="17" hidden="1" outlineLevel="1" thickBot="1">
      <c r="B364" s="121"/>
      <c r="C364" s="2103" t="s">
        <v>2007</v>
      </c>
      <c r="D364" s="2104">
        <f>D324</f>
        <v>0</v>
      </c>
      <c r="E364" s="122"/>
      <c r="F364" s="2104">
        <f>F324</f>
        <v>0</v>
      </c>
      <c r="G364" s="122"/>
      <c r="H364" s="2104">
        <f>H324</f>
        <v>0</v>
      </c>
      <c r="I364" s="122"/>
      <c r="J364" s="2104">
        <f>J324</f>
        <v>0</v>
      </c>
      <c r="K364" s="195"/>
    </row>
    <row r="365" spans="2:11" ht="17" hidden="1" outlineLevel="1" thickBot="1">
      <c r="B365" s="121"/>
      <c r="C365" s="2105" t="s">
        <v>2008</v>
      </c>
      <c r="D365" s="2104">
        <f>D331</f>
        <v>0</v>
      </c>
      <c r="E365" s="122"/>
      <c r="F365" s="2104">
        <f>F331</f>
        <v>0</v>
      </c>
      <c r="G365" s="122"/>
      <c r="H365" s="2104">
        <f>H331</f>
        <v>0</v>
      </c>
      <c r="I365" s="122"/>
      <c r="J365" s="2104">
        <f>J331</f>
        <v>0</v>
      </c>
      <c r="K365" s="195"/>
    </row>
    <row r="366" spans="2:11" ht="17" hidden="1" outlineLevel="1" thickBot="1">
      <c r="B366" s="121"/>
      <c r="C366" s="2105" t="s">
        <v>2009</v>
      </c>
      <c r="D366" s="2104">
        <f>D330</f>
        <v>0</v>
      </c>
      <c r="E366" s="122"/>
      <c r="F366" s="2104">
        <f>F330</f>
        <v>0</v>
      </c>
      <c r="G366" s="122"/>
      <c r="H366" s="2104">
        <f>H330</f>
        <v>0</v>
      </c>
      <c r="I366" s="122"/>
      <c r="J366" s="2104">
        <f>J330</f>
        <v>0</v>
      </c>
      <c r="K366" s="195"/>
    </row>
    <row r="367" spans="2:11" ht="17" hidden="1" outlineLevel="1" thickBot="1">
      <c r="B367" s="121"/>
      <c r="C367" s="2105" t="s">
        <v>2010</v>
      </c>
      <c r="D367" s="2104">
        <f>D328</f>
        <v>0</v>
      </c>
      <c r="E367" s="122"/>
      <c r="F367" s="2104">
        <f>F328</f>
        <v>0</v>
      </c>
      <c r="G367" s="122"/>
      <c r="H367" s="2104">
        <f>H328</f>
        <v>0</v>
      </c>
      <c r="I367" s="122"/>
      <c r="J367" s="2104">
        <f>J328</f>
        <v>0</v>
      </c>
      <c r="K367" s="195"/>
    </row>
    <row r="368" spans="2:11" ht="16" hidden="1" outlineLevel="1" thickBot="1">
      <c r="B368" s="121"/>
      <c r="C368" s="2106" t="s">
        <v>228</v>
      </c>
      <c r="D368" s="498"/>
      <c r="E368" s="122"/>
      <c r="F368" s="498"/>
      <c r="G368" s="122"/>
      <c r="H368" s="498"/>
      <c r="I368" s="122"/>
      <c r="J368" s="498"/>
      <c r="K368" s="195"/>
    </row>
    <row r="369" spans="2:11" ht="16" hidden="1" outlineLevel="1" thickBot="1">
      <c r="B369" s="121"/>
      <c r="C369" s="2106" t="s">
        <v>228</v>
      </c>
      <c r="D369" s="498"/>
      <c r="E369" s="122"/>
      <c r="F369" s="498"/>
      <c r="G369" s="122"/>
      <c r="H369" s="498"/>
      <c r="I369" s="122"/>
      <c r="J369" s="498"/>
      <c r="K369" s="195"/>
    </row>
    <row r="370" spans="2:11" ht="17" hidden="1" outlineLevel="1" thickBot="1">
      <c r="B370" s="121"/>
      <c r="C370" s="2107" t="s">
        <v>2016</v>
      </c>
      <c r="D370" s="498"/>
      <c r="E370" s="122"/>
      <c r="F370" s="498"/>
      <c r="G370" s="122"/>
      <c r="H370" s="498"/>
      <c r="I370" s="122"/>
      <c r="J370" s="498"/>
      <c r="K370" s="195"/>
    </row>
    <row r="371" spans="2:11" ht="17" hidden="1" outlineLevel="1" thickBot="1">
      <c r="B371" s="121"/>
      <c r="C371" s="2108" t="s">
        <v>229</v>
      </c>
      <c r="D371" s="2109"/>
      <c r="E371" s="122"/>
      <c r="F371" s="2109"/>
      <c r="G371" s="122"/>
      <c r="H371" s="2109"/>
      <c r="I371" s="122"/>
      <c r="J371" s="2109"/>
      <c r="K371" s="195"/>
    </row>
    <row r="372" spans="2:11" ht="17" hidden="1" outlineLevel="1" thickBot="1">
      <c r="B372" s="121"/>
      <c r="C372" s="2108"/>
      <c r="D372" s="122"/>
      <c r="E372" s="122"/>
      <c r="F372" s="122"/>
      <c r="G372" s="122"/>
      <c r="H372" s="122"/>
      <c r="I372" s="122"/>
      <c r="J372" s="122"/>
      <c r="K372" s="195"/>
    </row>
    <row r="373" spans="2:11" ht="17" hidden="1" outlineLevel="1" thickBot="1">
      <c r="B373" s="121"/>
      <c r="C373" s="2108" t="s">
        <v>230</v>
      </c>
      <c r="D373" s="2110">
        <f>D361+SUM(D364:D371)</f>
        <v>0</v>
      </c>
      <c r="E373" s="2108"/>
      <c r="F373" s="2110">
        <f>F361+SUM(F364:F371)</f>
        <v>0</v>
      </c>
      <c r="G373" s="2108"/>
      <c r="H373" s="2110">
        <f>H361+SUM(H364:H371)</f>
        <v>0</v>
      </c>
      <c r="I373" s="2108"/>
      <c r="J373" s="2110">
        <f>J361+SUM(J364:J371)</f>
        <v>0</v>
      </c>
      <c r="K373" s="195"/>
    </row>
    <row r="374" spans="2:11" ht="17" hidden="1" outlineLevel="1" thickBot="1">
      <c r="B374" s="121"/>
      <c r="C374" s="2108"/>
      <c r="D374" s="122"/>
      <c r="E374" s="122"/>
      <c r="F374" s="122"/>
      <c r="G374" s="122"/>
      <c r="H374" s="122"/>
      <c r="I374" s="122"/>
      <c r="J374" s="122"/>
      <c r="K374" s="195"/>
    </row>
    <row r="375" spans="2:11" ht="17" hidden="1" outlineLevel="1" thickBot="1">
      <c r="B375" s="121"/>
      <c r="C375" s="270" t="s">
        <v>2017</v>
      </c>
      <c r="D375" s="498"/>
      <c r="E375" s="122"/>
      <c r="F375" s="498"/>
      <c r="G375" s="122"/>
      <c r="H375" s="498"/>
      <c r="I375" s="122"/>
      <c r="J375" s="498"/>
      <c r="K375" s="195"/>
    </row>
    <row r="376" spans="2:11" ht="17" hidden="1" outlineLevel="1" thickBot="1">
      <c r="B376" s="121"/>
      <c r="C376" s="270" t="s">
        <v>231</v>
      </c>
      <c r="D376" s="2175">
        <f>D375*D306</f>
        <v>0</v>
      </c>
      <c r="E376" s="122"/>
      <c r="F376" s="2175">
        <f>F375*F306</f>
        <v>0</v>
      </c>
      <c r="G376" s="122"/>
      <c r="H376" s="2175">
        <f>H375*H306</f>
        <v>0</v>
      </c>
      <c r="I376" s="122"/>
      <c r="J376" s="2175">
        <f>J375*J306</f>
        <v>0</v>
      </c>
      <c r="K376" s="195"/>
    </row>
    <row r="377" spans="2:11" ht="16" hidden="1" outlineLevel="1" thickBot="1">
      <c r="B377" s="121"/>
      <c r="C377" s="122"/>
      <c r="D377" s="122"/>
      <c r="E377" s="122"/>
      <c r="F377" s="122"/>
      <c r="G377" s="122"/>
      <c r="H377" s="122"/>
      <c r="I377" s="122"/>
      <c r="J377" s="122"/>
      <c r="K377" s="195"/>
    </row>
    <row r="378" spans="2:11" ht="17" hidden="1" outlineLevel="1" thickBot="1">
      <c r="B378" s="121"/>
      <c r="C378" s="2085" t="s">
        <v>238</v>
      </c>
      <c r="D378" s="2176">
        <f>IFERROR((D373)/D376,0)</f>
        <v>0</v>
      </c>
      <c r="E378" s="122"/>
      <c r="F378" s="2176">
        <f>IFERROR((F373)/F376,0)</f>
        <v>0</v>
      </c>
      <c r="G378" s="122"/>
      <c r="H378" s="2176">
        <f>IFERROR((H373)/H376,0)</f>
        <v>0</v>
      </c>
      <c r="I378" s="122"/>
      <c r="J378" s="2176">
        <f>IFERROR((J373)/J376,0)</f>
        <v>0</v>
      </c>
      <c r="K378" s="195"/>
    </row>
    <row r="379" spans="2:11" ht="16" collapsed="1" thickBot="1">
      <c r="B379" s="2379" t="s">
        <v>2020</v>
      </c>
      <c r="C379" s="2380"/>
      <c r="D379" s="2380"/>
      <c r="E379" s="494"/>
      <c r="F379" s="494"/>
      <c r="G379" s="494"/>
      <c r="H379" s="494"/>
      <c r="I379" s="494"/>
      <c r="J379" s="494"/>
      <c r="K379" s="495"/>
    </row>
    <row r="380" spans="2:11" ht="16" thickBot="1">
      <c r="B380" s="2177"/>
      <c r="C380" s="2177"/>
      <c r="D380" s="2177"/>
      <c r="E380" s="2178"/>
      <c r="F380" s="2178"/>
      <c r="G380" s="2178"/>
      <c r="H380" s="2178"/>
      <c r="I380" s="2178"/>
      <c r="J380" s="2178"/>
      <c r="K380" s="2178"/>
    </row>
    <row r="381" spans="2:11" ht="17" hidden="1" outlineLevel="1" thickBot="1">
      <c r="B381" s="2304" t="s">
        <v>177</v>
      </c>
      <c r="C381" s="2305"/>
      <c r="D381" s="2305"/>
      <c r="E381" s="2305"/>
      <c r="F381" s="2305"/>
      <c r="G381" s="2305"/>
      <c r="H381" s="2305"/>
      <c r="I381" s="2305"/>
      <c r="J381" s="2305"/>
      <c r="K381" s="2306"/>
    </row>
    <row r="382" spans="2:11" ht="17" hidden="1" outlineLevel="1" thickBot="1">
      <c r="B382" s="2383" t="s">
        <v>2021</v>
      </c>
      <c r="C382" s="2385"/>
      <c r="D382" s="2385"/>
      <c r="E382" s="2385"/>
      <c r="F382" s="2385"/>
      <c r="G382" s="2385"/>
      <c r="H382" s="2385"/>
      <c r="I382" s="2385"/>
      <c r="J382" s="2385"/>
      <c r="K382" s="2386"/>
    </row>
    <row r="383" spans="2:11" ht="17" hidden="1" outlineLevel="1" thickBot="1">
      <c r="B383" s="2077" t="s">
        <v>2001</v>
      </c>
      <c r="C383" s="2078"/>
      <c r="D383" s="237"/>
      <c r="E383" s="237"/>
      <c r="F383" s="237"/>
      <c r="G383" s="237"/>
      <c r="H383" s="237"/>
      <c r="I383" s="237"/>
      <c r="J383" s="237"/>
      <c r="K383" s="263"/>
    </row>
    <row r="384" spans="2:11" ht="17" hidden="1" outlineLevel="1" thickBot="1">
      <c r="B384" s="312" t="s">
        <v>182</v>
      </c>
      <c r="C384" s="270"/>
      <c r="D384" s="135">
        <v>43465</v>
      </c>
      <c r="E384" s="239"/>
      <c r="F384" s="135">
        <f>EOMONTH(D384,F385)</f>
        <v>43830</v>
      </c>
      <c r="G384" s="239"/>
      <c r="H384" s="135">
        <f>EOMONTH(F384,H385)</f>
        <v>44196</v>
      </c>
      <c r="I384" s="239"/>
      <c r="J384" s="135">
        <f>EOMONTH(H384,J385)</f>
        <v>44286</v>
      </c>
      <c r="K384" s="235"/>
    </row>
    <row r="385" spans="2:11" ht="17" hidden="1" outlineLevel="1" thickBot="1">
      <c r="B385" s="312" t="s">
        <v>183</v>
      </c>
      <c r="C385" s="270"/>
      <c r="D385" s="136">
        <v>12</v>
      </c>
      <c r="E385" s="316"/>
      <c r="F385" s="136">
        <v>12</v>
      </c>
      <c r="G385" s="316"/>
      <c r="H385" s="136">
        <v>12</v>
      </c>
      <c r="I385" s="316"/>
      <c r="J385" s="136">
        <v>3</v>
      </c>
      <c r="K385" s="322"/>
    </row>
    <row r="386" spans="2:11" ht="17" hidden="1" outlineLevel="1" thickBot="1">
      <c r="B386" s="312" t="s">
        <v>185</v>
      </c>
      <c r="C386" s="270"/>
      <c r="D386" s="137"/>
      <c r="E386" s="317"/>
      <c r="F386" s="137"/>
      <c r="G386" s="317"/>
      <c r="H386" s="137"/>
      <c r="I386" s="317"/>
      <c r="J386" s="137"/>
      <c r="K386" s="322"/>
    </row>
    <row r="387" spans="2:11" ht="17" hidden="1" outlineLevel="1" thickBot="1">
      <c r="B387" s="312" t="s">
        <v>188</v>
      </c>
      <c r="C387" s="270"/>
      <c r="D387" s="137"/>
      <c r="E387" s="317"/>
      <c r="F387" s="137"/>
      <c r="G387" s="317"/>
      <c r="H387" s="137"/>
      <c r="I387" s="317"/>
      <c r="J387" s="137"/>
      <c r="K387" s="322"/>
    </row>
    <row r="388" spans="2:11" ht="17" hidden="1" outlineLevel="1" thickBot="1">
      <c r="B388" s="236" t="s">
        <v>189</v>
      </c>
      <c r="C388" s="234"/>
      <c r="D388" s="314"/>
      <c r="E388" s="315"/>
      <c r="F388" s="314"/>
      <c r="G388" s="315"/>
      <c r="H388" s="314"/>
      <c r="I388" s="315"/>
      <c r="J388" s="314"/>
      <c r="K388" s="323"/>
    </row>
    <row r="389" spans="2:11" ht="17" hidden="1" outlineLevel="1" thickBot="1">
      <c r="B389" s="269" t="s">
        <v>190</v>
      </c>
      <c r="C389" s="1052" t="s">
        <v>2002</v>
      </c>
      <c r="D389" s="4"/>
      <c r="E389" s="634">
        <f>IF(D$398=0,0,D389/D$398)</f>
        <v>0</v>
      </c>
      <c r="F389" s="4"/>
      <c r="G389" s="634">
        <f>IF(F$398=0,0,F389/F$398)</f>
        <v>0</v>
      </c>
      <c r="H389" s="4"/>
      <c r="I389" s="634">
        <f>IF(H$398=0,0,H389/H$398)</f>
        <v>0</v>
      </c>
      <c r="J389" s="4"/>
      <c r="K389" s="634">
        <f>IF(J$398=0,0,J389/J$398)</f>
        <v>0</v>
      </c>
    </row>
    <row r="390" spans="2:11" ht="17" hidden="1" outlineLevel="1" thickBot="1">
      <c r="B390" s="269" t="s">
        <v>191</v>
      </c>
      <c r="C390" s="2081" t="s">
        <v>2002</v>
      </c>
      <c r="D390" s="5"/>
      <c r="E390" s="634">
        <f t="shared" ref="E390:G400" si="66">IF(D$398=0,0,D390/D$398)</f>
        <v>0</v>
      </c>
      <c r="F390" s="5"/>
      <c r="G390" s="634">
        <f t="shared" si="66"/>
        <v>0</v>
      </c>
      <c r="H390" s="5"/>
      <c r="I390" s="634">
        <f t="shared" ref="I390:I400" si="67">IF(H$398=0,0,H390/H$398)</f>
        <v>0</v>
      </c>
      <c r="J390" s="5"/>
      <c r="K390" s="634">
        <f t="shared" ref="K390:K400" si="68">IF(J$398=0,0,J390/J$398)</f>
        <v>0</v>
      </c>
    </row>
    <row r="391" spans="2:11" ht="17" hidden="1" outlineLevel="2" thickBot="1">
      <c r="B391" s="269" t="s">
        <v>2003</v>
      </c>
      <c r="C391" s="2082" t="s">
        <v>2002</v>
      </c>
      <c r="D391" s="333">
        <f>D389-D390</f>
        <v>0</v>
      </c>
      <c r="E391" s="634">
        <f t="shared" si="66"/>
        <v>0</v>
      </c>
      <c r="F391" s="333">
        <f>F389-F390</f>
        <v>0</v>
      </c>
      <c r="G391" s="634">
        <f t="shared" si="66"/>
        <v>0</v>
      </c>
      <c r="H391" s="333">
        <f>H389-H390</f>
        <v>0</v>
      </c>
      <c r="I391" s="634">
        <f t="shared" si="67"/>
        <v>0</v>
      </c>
      <c r="J391" s="333">
        <f>J389-J390</f>
        <v>0</v>
      </c>
      <c r="K391" s="634">
        <f t="shared" si="68"/>
        <v>0</v>
      </c>
    </row>
    <row r="392" spans="2:11" ht="17" hidden="1" outlineLevel="2" thickBot="1">
      <c r="B392" s="269" t="s">
        <v>190</v>
      </c>
      <c r="C392" s="2083" t="s">
        <v>2004</v>
      </c>
      <c r="D392" s="5"/>
      <c r="E392" s="634">
        <f t="shared" si="66"/>
        <v>0</v>
      </c>
      <c r="F392" s="5"/>
      <c r="G392" s="634">
        <f t="shared" si="66"/>
        <v>0</v>
      </c>
      <c r="H392" s="5"/>
      <c r="I392" s="634">
        <f t="shared" si="67"/>
        <v>0</v>
      </c>
      <c r="J392" s="5"/>
      <c r="K392" s="634">
        <f t="shared" si="68"/>
        <v>0</v>
      </c>
    </row>
    <row r="393" spans="2:11" ht="17" hidden="1" outlineLevel="2" thickBot="1">
      <c r="B393" s="269" t="s">
        <v>191</v>
      </c>
      <c r="C393" s="2083" t="s">
        <v>2004</v>
      </c>
      <c r="D393" s="5"/>
      <c r="E393" s="634">
        <f t="shared" si="66"/>
        <v>0</v>
      </c>
      <c r="F393" s="5"/>
      <c r="G393" s="634">
        <f t="shared" si="66"/>
        <v>0</v>
      </c>
      <c r="H393" s="5"/>
      <c r="I393" s="634">
        <f t="shared" si="67"/>
        <v>0</v>
      </c>
      <c r="J393" s="5"/>
      <c r="K393" s="634">
        <f t="shared" si="68"/>
        <v>0</v>
      </c>
    </row>
    <row r="394" spans="2:11" ht="17" hidden="1" outlineLevel="2" thickBot="1">
      <c r="B394" s="269" t="s">
        <v>2003</v>
      </c>
      <c r="C394" s="2082" t="s">
        <v>2004</v>
      </c>
      <c r="D394" s="333">
        <f>D392-D393</f>
        <v>0</v>
      </c>
      <c r="E394" s="634">
        <f t="shared" si="66"/>
        <v>0</v>
      </c>
      <c r="F394" s="333">
        <f>F392-F393</f>
        <v>0</v>
      </c>
      <c r="G394" s="634">
        <f t="shared" si="66"/>
        <v>0</v>
      </c>
      <c r="H394" s="333">
        <f>H392-H393</f>
        <v>0</v>
      </c>
      <c r="I394" s="634">
        <f t="shared" si="67"/>
        <v>0</v>
      </c>
      <c r="J394" s="333">
        <f>J392-J393</f>
        <v>0</v>
      </c>
      <c r="K394" s="634">
        <f t="shared" si="68"/>
        <v>0</v>
      </c>
    </row>
    <row r="395" spans="2:11" ht="17" hidden="1" outlineLevel="2" thickBot="1">
      <c r="B395" s="269" t="s">
        <v>190</v>
      </c>
      <c r="C395" s="2083" t="s">
        <v>2005</v>
      </c>
      <c r="D395" s="5"/>
      <c r="E395" s="634">
        <f t="shared" si="66"/>
        <v>0</v>
      </c>
      <c r="F395" s="5"/>
      <c r="G395" s="634">
        <f t="shared" si="66"/>
        <v>0</v>
      </c>
      <c r="H395" s="5"/>
      <c r="I395" s="634">
        <f t="shared" si="67"/>
        <v>0</v>
      </c>
      <c r="J395" s="5"/>
      <c r="K395" s="634">
        <f t="shared" si="68"/>
        <v>0</v>
      </c>
    </row>
    <row r="396" spans="2:11" ht="17" hidden="1" outlineLevel="2" thickBot="1">
      <c r="B396" s="269" t="s">
        <v>191</v>
      </c>
      <c r="C396" s="2083" t="s">
        <v>2005</v>
      </c>
      <c r="D396" s="5"/>
      <c r="E396" s="634">
        <f t="shared" si="66"/>
        <v>0</v>
      </c>
      <c r="F396" s="5"/>
      <c r="G396" s="634">
        <f t="shared" si="66"/>
        <v>0</v>
      </c>
      <c r="H396" s="5"/>
      <c r="I396" s="634">
        <f t="shared" si="67"/>
        <v>0</v>
      </c>
      <c r="J396" s="5"/>
      <c r="K396" s="634">
        <f t="shared" si="68"/>
        <v>0</v>
      </c>
    </row>
    <row r="397" spans="2:11" ht="17" hidden="1" outlineLevel="2" thickBot="1">
      <c r="B397" s="2084" t="s">
        <v>2003</v>
      </c>
      <c r="C397" s="2082" t="s">
        <v>2005</v>
      </c>
      <c r="D397" s="333">
        <f>D395-D396</f>
        <v>0</v>
      </c>
      <c r="E397" s="634">
        <f t="shared" si="66"/>
        <v>0</v>
      </c>
      <c r="F397" s="333">
        <f>F395-F396</f>
        <v>0</v>
      </c>
      <c r="G397" s="634">
        <f t="shared" si="66"/>
        <v>0</v>
      </c>
      <c r="H397" s="333">
        <f>H395-H396</f>
        <v>0</v>
      </c>
      <c r="I397" s="634">
        <f t="shared" si="67"/>
        <v>0</v>
      </c>
      <c r="J397" s="333">
        <f>J395-J396</f>
        <v>0</v>
      </c>
      <c r="K397" s="634">
        <f t="shared" si="68"/>
        <v>0</v>
      </c>
    </row>
    <row r="398" spans="2:11" ht="17" hidden="1" outlineLevel="1" collapsed="1" thickBot="1">
      <c r="B398" s="159" t="s">
        <v>2006</v>
      </c>
      <c r="C398" s="2085" t="s">
        <v>194</v>
      </c>
      <c r="D398" s="506">
        <f>D389+D392+D395</f>
        <v>0</v>
      </c>
      <c r="E398" s="634">
        <f t="shared" si="66"/>
        <v>0</v>
      </c>
      <c r="F398" s="506">
        <f>F389+F392+F395</f>
        <v>0</v>
      </c>
      <c r="G398" s="634">
        <f t="shared" si="66"/>
        <v>0</v>
      </c>
      <c r="H398" s="506">
        <f>H389+H392+H395</f>
        <v>0</v>
      </c>
      <c r="I398" s="634">
        <f t="shared" si="67"/>
        <v>0</v>
      </c>
      <c r="J398" s="506">
        <f>J389+J392+J395</f>
        <v>0</v>
      </c>
      <c r="K398" s="634">
        <f t="shared" si="68"/>
        <v>0</v>
      </c>
    </row>
    <row r="399" spans="2:11" ht="17" hidden="1" outlineLevel="1" thickBot="1">
      <c r="B399" s="121"/>
      <c r="C399" s="2085" t="s">
        <v>195</v>
      </c>
      <c r="D399" s="507">
        <f>D390+D393+D396</f>
        <v>0</v>
      </c>
      <c r="E399" s="634">
        <f t="shared" si="66"/>
        <v>0</v>
      </c>
      <c r="F399" s="507">
        <f>F390+F393+F396</f>
        <v>0</v>
      </c>
      <c r="G399" s="634">
        <f t="shared" si="66"/>
        <v>0</v>
      </c>
      <c r="H399" s="507">
        <f>H390+H393+H396</f>
        <v>0</v>
      </c>
      <c r="I399" s="634">
        <f t="shared" si="67"/>
        <v>0</v>
      </c>
      <c r="J399" s="507">
        <f>J390+J393+J396</f>
        <v>0</v>
      </c>
      <c r="K399" s="634">
        <f t="shared" si="68"/>
        <v>0</v>
      </c>
    </row>
    <row r="400" spans="2:11" ht="17" hidden="1" outlineLevel="1" thickBot="1">
      <c r="B400" s="121"/>
      <c r="C400" s="2085" t="s">
        <v>196</v>
      </c>
      <c r="D400" s="508">
        <f>D398-D399</f>
        <v>0</v>
      </c>
      <c r="E400" s="634">
        <f t="shared" si="66"/>
        <v>0</v>
      </c>
      <c r="F400" s="508">
        <f>F398-F399</f>
        <v>0</v>
      </c>
      <c r="G400" s="634">
        <f t="shared" si="66"/>
        <v>0</v>
      </c>
      <c r="H400" s="508">
        <f>H398-H399</f>
        <v>0</v>
      </c>
      <c r="I400" s="634">
        <f t="shared" si="67"/>
        <v>0</v>
      </c>
      <c r="J400" s="508">
        <f>J398-J399</f>
        <v>0</v>
      </c>
      <c r="K400" s="634">
        <f t="shared" si="68"/>
        <v>0</v>
      </c>
    </row>
    <row r="401" spans="2:11" ht="17" hidden="1" outlineLevel="1" thickBot="1">
      <c r="B401" s="121"/>
      <c r="C401" s="2085"/>
      <c r="D401" s="2086"/>
      <c r="E401" s="635"/>
      <c r="F401" s="2086"/>
      <c r="G401" s="635"/>
      <c r="H401" s="2086"/>
      <c r="I401" s="635"/>
      <c r="J401" s="2086"/>
      <c r="K401" s="635"/>
    </row>
    <row r="402" spans="2:11" ht="17" hidden="1" outlineLevel="1" thickBot="1">
      <c r="B402" s="121"/>
      <c r="C402" s="2085" t="s">
        <v>197</v>
      </c>
      <c r="D402" s="509"/>
      <c r="E402" s="634"/>
      <c r="F402" s="509"/>
      <c r="G402" s="634"/>
      <c r="H402" s="509"/>
      <c r="I402" s="634"/>
      <c r="J402" s="509"/>
      <c r="K402" s="634"/>
    </row>
    <row r="403" spans="2:11" ht="17" hidden="1" outlineLevel="1" thickBot="1">
      <c r="B403" s="121"/>
      <c r="C403" s="270" t="s">
        <v>198</v>
      </c>
      <c r="D403" s="5"/>
      <c r="E403" s="634">
        <f t="shared" ref="E403:G440" si="69">IF(D$398=0,0,D403/D$398)</f>
        <v>0</v>
      </c>
      <c r="F403" s="5"/>
      <c r="G403" s="634">
        <f t="shared" si="69"/>
        <v>0</v>
      </c>
      <c r="H403" s="5"/>
      <c r="I403" s="634">
        <f t="shared" ref="I403:I427" si="70">IF(H$398=0,0,H403/H$398)</f>
        <v>0</v>
      </c>
      <c r="J403" s="5"/>
      <c r="K403" s="634">
        <f t="shared" ref="K403:K427" si="71">IF(J$398=0,0,J403/J$398)</f>
        <v>0</v>
      </c>
    </row>
    <row r="404" spans="2:11" ht="17" hidden="1" outlineLevel="1" thickBot="1">
      <c r="B404" s="121"/>
      <c r="C404" s="270" t="s">
        <v>200</v>
      </c>
      <c r="D404" s="5"/>
      <c r="E404" s="634">
        <f t="shared" si="69"/>
        <v>0</v>
      </c>
      <c r="F404" s="5"/>
      <c r="G404" s="634">
        <f t="shared" si="69"/>
        <v>0</v>
      </c>
      <c r="H404" s="5"/>
      <c r="I404" s="634">
        <f t="shared" si="70"/>
        <v>0</v>
      </c>
      <c r="J404" s="5"/>
      <c r="K404" s="634">
        <f t="shared" si="71"/>
        <v>0</v>
      </c>
    </row>
    <row r="405" spans="2:11" ht="17" hidden="1" outlineLevel="1" thickBot="1">
      <c r="B405" s="121"/>
      <c r="C405" s="270" t="s">
        <v>201</v>
      </c>
      <c r="D405" s="5"/>
      <c r="E405" s="634">
        <f t="shared" si="69"/>
        <v>0</v>
      </c>
      <c r="F405" s="5"/>
      <c r="G405" s="634">
        <f t="shared" si="69"/>
        <v>0</v>
      </c>
      <c r="H405" s="5"/>
      <c r="I405" s="634">
        <f t="shared" si="70"/>
        <v>0</v>
      </c>
      <c r="J405" s="5"/>
      <c r="K405" s="634">
        <f t="shared" si="71"/>
        <v>0</v>
      </c>
    </row>
    <row r="406" spans="2:11" ht="17" hidden="1" outlineLevel="1" thickBot="1">
      <c r="B406" s="121"/>
      <c r="C406" s="270" t="s">
        <v>202</v>
      </c>
      <c r="D406" s="5"/>
      <c r="E406" s="634">
        <f t="shared" si="69"/>
        <v>0</v>
      </c>
      <c r="F406" s="5"/>
      <c r="G406" s="634">
        <f t="shared" si="69"/>
        <v>0</v>
      </c>
      <c r="H406" s="5"/>
      <c r="I406" s="634">
        <f t="shared" si="70"/>
        <v>0</v>
      </c>
      <c r="J406" s="5"/>
      <c r="K406" s="634">
        <f t="shared" si="71"/>
        <v>0</v>
      </c>
    </row>
    <row r="407" spans="2:11" ht="17" hidden="1" outlineLevel="1" thickBot="1">
      <c r="B407" s="121"/>
      <c r="C407" s="270" t="s">
        <v>203</v>
      </c>
      <c r="D407" s="5"/>
      <c r="E407" s="634">
        <f t="shared" si="69"/>
        <v>0</v>
      </c>
      <c r="F407" s="5"/>
      <c r="G407" s="634">
        <f t="shared" si="69"/>
        <v>0</v>
      </c>
      <c r="H407" s="5"/>
      <c r="I407" s="634">
        <f t="shared" si="70"/>
        <v>0</v>
      </c>
      <c r="J407" s="5"/>
      <c r="K407" s="634">
        <f t="shared" si="71"/>
        <v>0</v>
      </c>
    </row>
    <row r="408" spans="2:11" ht="17" hidden="1" outlineLevel="1" thickBot="1">
      <c r="B408" s="121"/>
      <c r="C408" s="270" t="s">
        <v>204</v>
      </c>
      <c r="D408" s="5"/>
      <c r="E408" s="634">
        <f t="shared" si="69"/>
        <v>0</v>
      </c>
      <c r="F408" s="5"/>
      <c r="G408" s="634">
        <f t="shared" si="69"/>
        <v>0</v>
      </c>
      <c r="H408" s="5"/>
      <c r="I408" s="634">
        <f t="shared" si="70"/>
        <v>0</v>
      </c>
      <c r="J408" s="5"/>
      <c r="K408" s="634">
        <f t="shared" si="71"/>
        <v>0</v>
      </c>
    </row>
    <row r="409" spans="2:11" ht="17" hidden="1" outlineLevel="1" thickBot="1">
      <c r="B409" s="121"/>
      <c r="C409" s="270" t="s">
        <v>205</v>
      </c>
      <c r="D409" s="5"/>
      <c r="E409" s="634">
        <f t="shared" si="69"/>
        <v>0</v>
      </c>
      <c r="F409" s="5"/>
      <c r="G409" s="634">
        <f t="shared" si="69"/>
        <v>0</v>
      </c>
      <c r="H409" s="5"/>
      <c r="I409" s="634">
        <f t="shared" si="70"/>
        <v>0</v>
      </c>
      <c r="J409" s="5"/>
      <c r="K409" s="634">
        <f t="shared" si="71"/>
        <v>0</v>
      </c>
    </row>
    <row r="410" spans="2:11" ht="17" hidden="1" outlineLevel="1" thickBot="1">
      <c r="B410" s="121"/>
      <c r="C410" s="270" t="s">
        <v>206</v>
      </c>
      <c r="D410" s="5"/>
      <c r="E410" s="634">
        <f t="shared" si="69"/>
        <v>0</v>
      </c>
      <c r="F410" s="5"/>
      <c r="G410" s="634">
        <f t="shared" si="69"/>
        <v>0</v>
      </c>
      <c r="H410" s="5"/>
      <c r="I410" s="634">
        <f t="shared" si="70"/>
        <v>0</v>
      </c>
      <c r="J410" s="5"/>
      <c r="K410" s="634">
        <f t="shared" si="71"/>
        <v>0</v>
      </c>
    </row>
    <row r="411" spans="2:11" ht="17" hidden="1" outlineLevel="2" thickBot="1">
      <c r="B411" s="121"/>
      <c r="C411" s="270" t="s">
        <v>207</v>
      </c>
      <c r="D411" s="5"/>
      <c r="E411" s="634">
        <f t="shared" si="69"/>
        <v>0</v>
      </c>
      <c r="F411" s="5"/>
      <c r="G411" s="634">
        <f t="shared" si="69"/>
        <v>0</v>
      </c>
      <c r="H411" s="5"/>
      <c r="I411" s="634">
        <f t="shared" si="70"/>
        <v>0</v>
      </c>
      <c r="J411" s="5"/>
      <c r="K411" s="634">
        <f t="shared" si="71"/>
        <v>0</v>
      </c>
    </row>
    <row r="412" spans="2:11" ht="17" hidden="1" outlineLevel="2" thickBot="1">
      <c r="B412" s="121"/>
      <c r="C412" s="270" t="s">
        <v>208</v>
      </c>
      <c r="D412" s="5"/>
      <c r="E412" s="634">
        <f t="shared" si="69"/>
        <v>0</v>
      </c>
      <c r="F412" s="5"/>
      <c r="G412" s="634">
        <f t="shared" si="69"/>
        <v>0</v>
      </c>
      <c r="H412" s="5"/>
      <c r="I412" s="634">
        <f t="shared" si="70"/>
        <v>0</v>
      </c>
      <c r="J412" s="5"/>
      <c r="K412" s="634">
        <f t="shared" si="71"/>
        <v>0</v>
      </c>
    </row>
    <row r="413" spans="2:11" ht="17" hidden="1" outlineLevel="2" thickBot="1">
      <c r="B413" s="121"/>
      <c r="C413" s="270" t="s">
        <v>209</v>
      </c>
      <c r="D413" s="5"/>
      <c r="E413" s="634">
        <f t="shared" si="69"/>
        <v>0</v>
      </c>
      <c r="F413" s="5"/>
      <c r="G413" s="634">
        <f t="shared" si="69"/>
        <v>0</v>
      </c>
      <c r="H413" s="5"/>
      <c r="I413" s="634">
        <f t="shared" si="70"/>
        <v>0</v>
      </c>
      <c r="J413" s="5"/>
      <c r="K413" s="634">
        <f t="shared" si="71"/>
        <v>0</v>
      </c>
    </row>
    <row r="414" spans="2:11" ht="17" hidden="1" outlineLevel="2" thickBot="1">
      <c r="B414" s="121"/>
      <c r="C414" s="270" t="s">
        <v>210</v>
      </c>
      <c r="D414" s="5"/>
      <c r="E414" s="634">
        <f t="shared" si="69"/>
        <v>0</v>
      </c>
      <c r="F414" s="5"/>
      <c r="G414" s="634">
        <f t="shared" si="69"/>
        <v>0</v>
      </c>
      <c r="H414" s="5"/>
      <c r="I414" s="634">
        <f t="shared" si="70"/>
        <v>0</v>
      </c>
      <c r="J414" s="5"/>
      <c r="K414" s="634">
        <f t="shared" si="71"/>
        <v>0</v>
      </c>
    </row>
    <row r="415" spans="2:11" ht="17" hidden="1" outlineLevel="2" thickBot="1">
      <c r="B415" s="121"/>
      <c r="C415" s="270" t="s">
        <v>211</v>
      </c>
      <c r="D415" s="5"/>
      <c r="E415" s="634">
        <f t="shared" si="69"/>
        <v>0</v>
      </c>
      <c r="F415" s="5"/>
      <c r="G415" s="634">
        <f t="shared" si="69"/>
        <v>0</v>
      </c>
      <c r="H415" s="5"/>
      <c r="I415" s="634">
        <f t="shared" si="70"/>
        <v>0</v>
      </c>
      <c r="J415" s="5"/>
      <c r="K415" s="634">
        <f t="shared" si="71"/>
        <v>0</v>
      </c>
    </row>
    <row r="416" spans="2:11" ht="17" hidden="1" outlineLevel="2" thickBot="1">
      <c r="B416" s="121"/>
      <c r="C416" s="270" t="s">
        <v>212</v>
      </c>
      <c r="D416" s="5"/>
      <c r="E416" s="634">
        <f t="shared" si="69"/>
        <v>0</v>
      </c>
      <c r="F416" s="5"/>
      <c r="G416" s="634">
        <f t="shared" si="69"/>
        <v>0</v>
      </c>
      <c r="H416" s="5"/>
      <c r="I416" s="634">
        <f t="shared" si="70"/>
        <v>0</v>
      </c>
      <c r="J416" s="5"/>
      <c r="K416" s="634">
        <f t="shared" si="71"/>
        <v>0</v>
      </c>
    </row>
    <row r="417" spans="2:11" ht="17" hidden="1" outlineLevel="2" thickBot="1">
      <c r="B417" s="121"/>
      <c r="C417" s="270" t="s">
        <v>213</v>
      </c>
      <c r="D417" s="5"/>
      <c r="E417" s="634">
        <f t="shared" si="69"/>
        <v>0</v>
      </c>
      <c r="F417" s="5"/>
      <c r="G417" s="634">
        <f t="shared" si="69"/>
        <v>0</v>
      </c>
      <c r="H417" s="5"/>
      <c r="I417" s="634">
        <f t="shared" si="70"/>
        <v>0</v>
      </c>
      <c r="J417" s="5"/>
      <c r="K417" s="634">
        <f t="shared" si="71"/>
        <v>0</v>
      </c>
    </row>
    <row r="418" spans="2:11" ht="17" hidden="1" outlineLevel="2" thickBot="1">
      <c r="B418" s="121"/>
      <c r="C418" s="270" t="s">
        <v>214</v>
      </c>
      <c r="D418" s="5"/>
      <c r="E418" s="634">
        <f t="shared" si="69"/>
        <v>0</v>
      </c>
      <c r="F418" s="5"/>
      <c r="G418" s="634">
        <f t="shared" si="69"/>
        <v>0</v>
      </c>
      <c r="H418" s="5"/>
      <c r="I418" s="634">
        <f t="shared" si="70"/>
        <v>0</v>
      </c>
      <c r="J418" s="5"/>
      <c r="K418" s="634">
        <f t="shared" si="71"/>
        <v>0</v>
      </c>
    </row>
    <row r="419" spans="2:11" ht="17" hidden="1" outlineLevel="2" thickBot="1">
      <c r="B419" s="121"/>
      <c r="C419" s="270" t="s">
        <v>215</v>
      </c>
      <c r="D419" s="5"/>
      <c r="E419" s="634">
        <f t="shared" si="69"/>
        <v>0</v>
      </c>
      <c r="F419" s="5"/>
      <c r="G419" s="634">
        <f t="shared" si="69"/>
        <v>0</v>
      </c>
      <c r="H419" s="5"/>
      <c r="I419" s="634">
        <f t="shared" si="70"/>
        <v>0</v>
      </c>
      <c r="J419" s="5"/>
      <c r="K419" s="634">
        <f t="shared" si="71"/>
        <v>0</v>
      </c>
    </row>
    <row r="420" spans="2:11" ht="17" hidden="1" outlineLevel="2" thickBot="1">
      <c r="B420" s="121"/>
      <c r="C420" s="270" t="s">
        <v>216</v>
      </c>
      <c r="D420" s="5"/>
      <c r="E420" s="634">
        <f t="shared" si="69"/>
        <v>0</v>
      </c>
      <c r="F420" s="5"/>
      <c r="G420" s="634">
        <f t="shared" si="69"/>
        <v>0</v>
      </c>
      <c r="H420" s="5"/>
      <c r="I420" s="634">
        <f t="shared" si="70"/>
        <v>0</v>
      </c>
      <c r="J420" s="5"/>
      <c r="K420" s="634">
        <f t="shared" si="71"/>
        <v>0</v>
      </c>
    </row>
    <row r="421" spans="2:11" ht="17" hidden="1" outlineLevel="2" thickBot="1">
      <c r="B421" s="121"/>
      <c r="C421" s="270" t="s">
        <v>217</v>
      </c>
      <c r="D421" s="5"/>
      <c r="E421" s="634">
        <f t="shared" si="69"/>
        <v>0</v>
      </c>
      <c r="F421" s="5"/>
      <c r="G421" s="634">
        <f t="shared" si="69"/>
        <v>0</v>
      </c>
      <c r="H421" s="5"/>
      <c r="I421" s="634">
        <f t="shared" si="70"/>
        <v>0</v>
      </c>
      <c r="J421" s="5"/>
      <c r="K421" s="634">
        <f t="shared" si="71"/>
        <v>0</v>
      </c>
    </row>
    <row r="422" spans="2:11" ht="17" hidden="1" outlineLevel="2" thickBot="1">
      <c r="B422" s="121"/>
      <c r="C422" s="2097" t="s">
        <v>218</v>
      </c>
      <c r="D422" s="5"/>
      <c r="E422" s="634">
        <f t="shared" si="69"/>
        <v>0</v>
      </c>
      <c r="F422" s="5"/>
      <c r="G422" s="634">
        <f t="shared" si="69"/>
        <v>0</v>
      </c>
      <c r="H422" s="5"/>
      <c r="I422" s="634">
        <f t="shared" si="70"/>
        <v>0</v>
      </c>
      <c r="J422" s="5"/>
      <c r="K422" s="634">
        <f t="shared" si="71"/>
        <v>0</v>
      </c>
    </row>
    <row r="423" spans="2:11" ht="17" hidden="1" outlineLevel="2" thickBot="1">
      <c r="B423" s="121"/>
      <c r="C423" s="2098" t="s">
        <v>218</v>
      </c>
      <c r="D423" s="5"/>
      <c r="E423" s="634">
        <f t="shared" si="69"/>
        <v>0</v>
      </c>
      <c r="F423" s="5"/>
      <c r="G423" s="634">
        <f t="shared" si="69"/>
        <v>0</v>
      </c>
      <c r="H423" s="5"/>
      <c r="I423" s="634">
        <f t="shared" si="70"/>
        <v>0</v>
      </c>
      <c r="J423" s="5"/>
      <c r="K423" s="634">
        <f t="shared" si="71"/>
        <v>0</v>
      </c>
    </row>
    <row r="424" spans="2:11" ht="17" hidden="1" outlineLevel="2" thickBot="1">
      <c r="B424" s="121"/>
      <c r="C424" s="2098" t="s">
        <v>218</v>
      </c>
      <c r="D424" s="5"/>
      <c r="E424" s="634">
        <f t="shared" si="69"/>
        <v>0</v>
      </c>
      <c r="F424" s="5"/>
      <c r="G424" s="634">
        <f t="shared" si="69"/>
        <v>0</v>
      </c>
      <c r="H424" s="5"/>
      <c r="I424" s="634">
        <f t="shared" si="70"/>
        <v>0</v>
      </c>
      <c r="J424" s="5"/>
      <c r="K424" s="634">
        <f t="shared" si="71"/>
        <v>0</v>
      </c>
    </row>
    <row r="425" spans="2:11" ht="17" hidden="1" outlineLevel="1" collapsed="1" thickBot="1">
      <c r="B425" s="159" t="s">
        <v>2006</v>
      </c>
      <c r="C425" s="2098" t="s">
        <v>218</v>
      </c>
      <c r="D425" s="5"/>
      <c r="E425" s="634">
        <f t="shared" si="69"/>
        <v>0</v>
      </c>
      <c r="F425" s="5"/>
      <c r="G425" s="634">
        <f t="shared" si="69"/>
        <v>0</v>
      </c>
      <c r="H425" s="5"/>
      <c r="I425" s="634">
        <f t="shared" si="70"/>
        <v>0</v>
      </c>
      <c r="J425" s="5"/>
      <c r="K425" s="634">
        <f t="shared" si="71"/>
        <v>0</v>
      </c>
    </row>
    <row r="426" spans="2:11" ht="17" hidden="1" outlineLevel="1" thickBot="1">
      <c r="B426" s="121"/>
      <c r="C426" s="2100" t="s">
        <v>218</v>
      </c>
      <c r="D426" s="5"/>
      <c r="E426" s="634">
        <f t="shared" si="69"/>
        <v>0</v>
      </c>
      <c r="F426" s="5"/>
      <c r="G426" s="634">
        <f t="shared" si="69"/>
        <v>0</v>
      </c>
      <c r="H426" s="5"/>
      <c r="I426" s="634">
        <f t="shared" si="70"/>
        <v>0</v>
      </c>
      <c r="J426" s="5"/>
      <c r="K426" s="634">
        <f t="shared" si="71"/>
        <v>0</v>
      </c>
    </row>
    <row r="427" spans="2:11" ht="17" hidden="1" outlineLevel="1" thickBot="1">
      <c r="B427" s="121"/>
      <c r="C427" s="2085" t="s">
        <v>219</v>
      </c>
      <c r="D427" s="510">
        <f>SUM(D403:D426)</f>
        <v>0</v>
      </c>
      <c r="E427" s="634">
        <f t="shared" si="69"/>
        <v>0</v>
      </c>
      <c r="F427" s="510">
        <f>SUM(F403:F426)</f>
        <v>0</v>
      </c>
      <c r="G427" s="634">
        <f t="shared" si="69"/>
        <v>0</v>
      </c>
      <c r="H427" s="510">
        <f>SUM(H403:H426)</f>
        <v>0</v>
      </c>
      <c r="I427" s="634">
        <f t="shared" si="70"/>
        <v>0</v>
      </c>
      <c r="J427" s="510">
        <f>SUM(J403:J426)</f>
        <v>0</v>
      </c>
      <c r="K427" s="634">
        <f t="shared" si="71"/>
        <v>0</v>
      </c>
    </row>
    <row r="428" spans="2:11" ht="17" hidden="1" outlineLevel="1" thickBot="1">
      <c r="B428" s="121"/>
      <c r="C428" s="2085"/>
      <c r="D428" s="511"/>
      <c r="E428" s="635"/>
      <c r="F428" s="511"/>
      <c r="G428" s="635"/>
      <c r="H428" s="511"/>
      <c r="I428" s="635"/>
      <c r="J428" s="511"/>
      <c r="K428" s="635"/>
    </row>
    <row r="429" spans="2:11" ht="17" hidden="1" outlineLevel="1" thickBot="1">
      <c r="B429" s="121"/>
      <c r="C429" s="2085" t="s">
        <v>220</v>
      </c>
      <c r="D429" s="510">
        <f>D400-D427</f>
        <v>0</v>
      </c>
      <c r="E429" s="634">
        <f t="shared" si="69"/>
        <v>0</v>
      </c>
      <c r="F429" s="510">
        <f>F400-F427</f>
        <v>0</v>
      </c>
      <c r="G429" s="634">
        <f t="shared" si="69"/>
        <v>0</v>
      </c>
      <c r="H429" s="510">
        <f>H400-H427</f>
        <v>0</v>
      </c>
      <c r="I429" s="634">
        <f t="shared" ref="I429" si="72">IF(H$398=0,0,H429/H$398)</f>
        <v>0</v>
      </c>
      <c r="J429" s="510">
        <f>J400-J427</f>
        <v>0</v>
      </c>
      <c r="K429" s="634">
        <f t="shared" ref="K429" si="73">IF(J$398=0,0,J429/J$398)</f>
        <v>0</v>
      </c>
    </row>
    <row r="430" spans="2:11" ht="17" hidden="1" outlineLevel="1" thickBot="1">
      <c r="B430" s="121"/>
      <c r="C430" s="2085"/>
      <c r="D430" s="512"/>
      <c r="E430" s="635"/>
      <c r="F430" s="512"/>
      <c r="G430" s="635"/>
      <c r="H430" s="512"/>
      <c r="I430" s="635"/>
      <c r="J430" s="512"/>
      <c r="K430" s="635"/>
    </row>
    <row r="431" spans="2:11" ht="17" hidden="1" outlineLevel="1" thickBot="1">
      <c r="B431" s="121"/>
      <c r="C431" s="2097" t="s">
        <v>221</v>
      </c>
      <c r="D431" s="5"/>
      <c r="E431" s="634">
        <f t="shared" si="69"/>
        <v>0</v>
      </c>
      <c r="F431" s="5"/>
      <c r="G431" s="634">
        <f t="shared" si="69"/>
        <v>0</v>
      </c>
      <c r="H431" s="5"/>
      <c r="I431" s="634">
        <f t="shared" ref="I431:I435" si="74">IF(H$398=0,0,H431/H$398)</f>
        <v>0</v>
      </c>
      <c r="J431" s="5"/>
      <c r="K431" s="634">
        <f t="shared" ref="K431:K435" si="75">IF(J$398=0,0,J431/J$398)</f>
        <v>0</v>
      </c>
    </row>
    <row r="432" spans="2:11" ht="17" hidden="1" outlineLevel="1" thickBot="1">
      <c r="B432" s="121"/>
      <c r="C432" s="2098" t="s">
        <v>221</v>
      </c>
      <c r="D432" s="5"/>
      <c r="E432" s="634">
        <f t="shared" si="69"/>
        <v>0</v>
      </c>
      <c r="F432" s="5"/>
      <c r="G432" s="634">
        <f t="shared" si="69"/>
        <v>0</v>
      </c>
      <c r="H432" s="5"/>
      <c r="I432" s="634">
        <f t="shared" si="74"/>
        <v>0</v>
      </c>
      <c r="J432" s="5"/>
      <c r="K432" s="634">
        <f t="shared" si="75"/>
        <v>0</v>
      </c>
    </row>
    <row r="433" spans="2:11" ht="17" hidden="1" outlineLevel="1" thickBot="1">
      <c r="B433" s="121"/>
      <c r="C433" s="2098" t="s">
        <v>222</v>
      </c>
      <c r="D433" s="5"/>
      <c r="E433" s="634">
        <f t="shared" si="69"/>
        <v>0</v>
      </c>
      <c r="F433" s="5"/>
      <c r="G433" s="634">
        <f t="shared" si="69"/>
        <v>0</v>
      </c>
      <c r="H433" s="5"/>
      <c r="I433" s="634">
        <f t="shared" si="74"/>
        <v>0</v>
      </c>
      <c r="J433" s="5"/>
      <c r="K433" s="634">
        <f t="shared" si="75"/>
        <v>0</v>
      </c>
    </row>
    <row r="434" spans="2:11" ht="17" hidden="1" outlineLevel="1" thickBot="1">
      <c r="B434" s="121"/>
      <c r="C434" s="2100" t="s">
        <v>222</v>
      </c>
      <c r="D434" s="5"/>
      <c r="E434" s="634">
        <f t="shared" si="69"/>
        <v>0</v>
      </c>
      <c r="F434" s="5"/>
      <c r="G434" s="634">
        <f t="shared" si="69"/>
        <v>0</v>
      </c>
      <c r="H434" s="5"/>
      <c r="I434" s="634">
        <f t="shared" si="74"/>
        <v>0</v>
      </c>
      <c r="J434" s="5"/>
      <c r="K434" s="634">
        <f t="shared" si="75"/>
        <v>0</v>
      </c>
    </row>
    <row r="435" spans="2:11" ht="17" hidden="1" outlineLevel="1" thickBot="1">
      <c r="B435" s="121"/>
      <c r="C435" s="2085" t="s">
        <v>223</v>
      </c>
      <c r="D435" s="510">
        <f>SUM(D431:D434)</f>
        <v>0</v>
      </c>
      <c r="E435" s="634">
        <f t="shared" si="69"/>
        <v>0</v>
      </c>
      <c r="F435" s="510">
        <f>SUM(F431:F434)</f>
        <v>0</v>
      </c>
      <c r="G435" s="634">
        <f t="shared" si="69"/>
        <v>0</v>
      </c>
      <c r="H435" s="510">
        <f>SUM(H431:H434)</f>
        <v>0</v>
      </c>
      <c r="I435" s="634">
        <f t="shared" si="74"/>
        <v>0</v>
      </c>
      <c r="J435" s="510">
        <f>SUM(J431:J434)</f>
        <v>0</v>
      </c>
      <c r="K435" s="634">
        <f t="shared" si="75"/>
        <v>0</v>
      </c>
    </row>
    <row r="436" spans="2:11" ht="17" hidden="1" outlineLevel="1" thickBot="1">
      <c r="B436" s="121"/>
      <c r="C436" s="2085"/>
      <c r="D436" s="511"/>
      <c r="E436" s="635"/>
      <c r="F436" s="511"/>
      <c r="G436" s="635"/>
      <c r="H436" s="511"/>
      <c r="I436" s="635"/>
      <c r="J436" s="511"/>
      <c r="K436" s="635"/>
    </row>
    <row r="437" spans="2:11" ht="17" hidden="1" outlineLevel="1" thickBot="1">
      <c r="B437" s="121"/>
      <c r="C437" s="2085" t="s">
        <v>224</v>
      </c>
      <c r="D437" s="510">
        <f>D400-D427+D435</f>
        <v>0</v>
      </c>
      <c r="E437" s="634">
        <f t="shared" si="69"/>
        <v>0</v>
      </c>
      <c r="F437" s="510">
        <f>F400-F427+F435</f>
        <v>0</v>
      </c>
      <c r="G437" s="634">
        <f t="shared" si="69"/>
        <v>0</v>
      </c>
      <c r="H437" s="510">
        <f>H400-H427+H435</f>
        <v>0</v>
      </c>
      <c r="I437" s="634">
        <f t="shared" ref="I437:I438" si="76">IF(H$398=0,0,H437/H$398)</f>
        <v>0</v>
      </c>
      <c r="J437" s="510">
        <f>J400-J427+J435</f>
        <v>0</v>
      </c>
      <c r="K437" s="634">
        <f t="shared" ref="K437:K438" si="77">IF(J$398=0,0,J437/J$398)</f>
        <v>0</v>
      </c>
    </row>
    <row r="438" spans="2:11" ht="17" hidden="1" outlineLevel="1" thickBot="1">
      <c r="B438" s="121"/>
      <c r="C438" s="2085" t="s">
        <v>225</v>
      </c>
      <c r="D438" s="510">
        <v>0</v>
      </c>
      <c r="E438" s="634">
        <f t="shared" si="69"/>
        <v>0</v>
      </c>
      <c r="F438" s="510">
        <v>0</v>
      </c>
      <c r="G438" s="634">
        <f t="shared" si="69"/>
        <v>0</v>
      </c>
      <c r="H438" s="510">
        <v>0</v>
      </c>
      <c r="I438" s="634">
        <f t="shared" si="76"/>
        <v>0</v>
      </c>
      <c r="J438" s="510">
        <v>0</v>
      </c>
      <c r="K438" s="634">
        <f t="shared" si="77"/>
        <v>0</v>
      </c>
    </row>
    <row r="439" spans="2:11" ht="17" hidden="1" outlineLevel="1" thickBot="1">
      <c r="B439" s="121"/>
      <c r="C439" s="2101"/>
      <c r="D439" s="281"/>
      <c r="E439" s="634"/>
      <c r="F439" s="281"/>
      <c r="G439" s="634"/>
      <c r="H439" s="281"/>
      <c r="I439" s="634"/>
      <c r="J439" s="281"/>
      <c r="K439" s="634"/>
    </row>
    <row r="440" spans="2:11" ht="17" hidden="1" outlineLevel="1" thickBot="1">
      <c r="B440" s="121"/>
      <c r="C440" s="2085" t="s">
        <v>226</v>
      </c>
      <c r="D440" s="510">
        <f>D437-D438</f>
        <v>0</v>
      </c>
      <c r="E440" s="634">
        <f t="shared" si="69"/>
        <v>0</v>
      </c>
      <c r="F440" s="510">
        <f>F437-F438</f>
        <v>0</v>
      </c>
      <c r="G440" s="634">
        <f t="shared" si="69"/>
        <v>0</v>
      </c>
      <c r="H440" s="510">
        <f>H437-H438</f>
        <v>0</v>
      </c>
      <c r="I440" s="634">
        <f t="shared" ref="I440" si="78">IF(H$398=0,0,H440/H$398)</f>
        <v>0</v>
      </c>
      <c r="J440" s="510">
        <f>J437-J438</f>
        <v>0</v>
      </c>
      <c r="K440" s="634">
        <f t="shared" ref="K440" si="79">IF(J$398=0,0,J440/J$398)</f>
        <v>0</v>
      </c>
    </row>
    <row r="441" spans="2:11" ht="17" hidden="1" outlineLevel="1" thickBot="1">
      <c r="B441" s="121"/>
      <c r="C441" s="270"/>
      <c r="D441" s="241"/>
      <c r="E441" s="321"/>
      <c r="F441" s="241"/>
      <c r="G441" s="321"/>
      <c r="H441" s="241"/>
      <c r="I441" s="321"/>
      <c r="J441" s="241"/>
      <c r="K441" s="326"/>
    </row>
    <row r="442" spans="2:11" ht="17" hidden="1" outlineLevel="1" thickBot="1">
      <c r="B442" s="121"/>
      <c r="C442" s="2102" t="s">
        <v>227</v>
      </c>
      <c r="D442" s="122"/>
      <c r="E442" s="122"/>
      <c r="F442" s="122"/>
      <c r="G442" s="122"/>
      <c r="H442" s="122"/>
      <c r="I442" s="122"/>
      <c r="J442" s="122"/>
      <c r="K442" s="120"/>
    </row>
    <row r="443" spans="2:11" ht="17" hidden="1" outlineLevel="1" thickBot="1">
      <c r="B443" s="121"/>
      <c r="C443" s="2103" t="s">
        <v>2007</v>
      </c>
      <c r="D443" s="2104">
        <f>D403</f>
        <v>0</v>
      </c>
      <c r="E443" s="122"/>
      <c r="F443" s="2104">
        <f>F403</f>
        <v>0</v>
      </c>
      <c r="G443" s="122"/>
      <c r="H443" s="2104">
        <f>H403</f>
        <v>0</v>
      </c>
      <c r="I443" s="122"/>
      <c r="J443" s="2104">
        <f>J403</f>
        <v>0</v>
      </c>
      <c r="K443" s="195"/>
    </row>
    <row r="444" spans="2:11" ht="17" hidden="1" outlineLevel="1" thickBot="1">
      <c r="B444" s="121"/>
      <c r="C444" s="2105" t="s">
        <v>2008</v>
      </c>
      <c r="D444" s="2104">
        <f>D410</f>
        <v>0</v>
      </c>
      <c r="E444" s="122"/>
      <c r="F444" s="2104">
        <f>F410</f>
        <v>0</v>
      </c>
      <c r="G444" s="122"/>
      <c r="H444" s="2104">
        <f>H410</f>
        <v>0</v>
      </c>
      <c r="I444" s="122"/>
      <c r="J444" s="2104">
        <f>J410</f>
        <v>0</v>
      </c>
      <c r="K444" s="195"/>
    </row>
    <row r="445" spans="2:11" ht="17" hidden="1" outlineLevel="1" thickBot="1">
      <c r="B445" s="121"/>
      <c r="C445" s="2105" t="s">
        <v>2009</v>
      </c>
      <c r="D445" s="2104">
        <f>D409</f>
        <v>0</v>
      </c>
      <c r="E445" s="122"/>
      <c r="F445" s="2104">
        <f>F409</f>
        <v>0</v>
      </c>
      <c r="G445" s="122"/>
      <c r="H445" s="2104">
        <f>H409</f>
        <v>0</v>
      </c>
      <c r="I445" s="122"/>
      <c r="J445" s="2104">
        <f>J409</f>
        <v>0</v>
      </c>
      <c r="K445" s="195"/>
    </row>
    <row r="446" spans="2:11" ht="17" hidden="1" outlineLevel="1" thickBot="1">
      <c r="B446" s="121"/>
      <c r="C446" s="2105" t="s">
        <v>2010</v>
      </c>
      <c r="D446" s="2104">
        <f>D407</f>
        <v>0</v>
      </c>
      <c r="E446" s="122"/>
      <c r="F446" s="2104">
        <f>F407</f>
        <v>0</v>
      </c>
      <c r="G446" s="122"/>
      <c r="H446" s="2104">
        <f>H407</f>
        <v>0</v>
      </c>
      <c r="I446" s="122"/>
      <c r="J446" s="2104">
        <f>J407</f>
        <v>0</v>
      </c>
      <c r="K446" s="195"/>
    </row>
    <row r="447" spans="2:11" ht="16" hidden="1" outlineLevel="1" thickBot="1">
      <c r="B447" s="121"/>
      <c r="C447" s="2106" t="s">
        <v>228</v>
      </c>
      <c r="D447" s="498"/>
      <c r="E447" s="122"/>
      <c r="F447" s="498"/>
      <c r="G447" s="122"/>
      <c r="H447" s="498"/>
      <c r="I447" s="122"/>
      <c r="J447" s="498"/>
      <c r="K447" s="195"/>
    </row>
    <row r="448" spans="2:11" ht="16" hidden="1" outlineLevel="1" thickBot="1">
      <c r="B448" s="121"/>
      <c r="C448" s="2106" t="s">
        <v>228</v>
      </c>
      <c r="D448" s="498"/>
      <c r="E448" s="122"/>
      <c r="F448" s="498"/>
      <c r="G448" s="122"/>
      <c r="H448" s="498"/>
      <c r="I448" s="122"/>
      <c r="J448" s="498"/>
      <c r="K448" s="195"/>
    </row>
    <row r="449" spans="2:11" ht="17" hidden="1" outlineLevel="1" thickBot="1">
      <c r="B449" s="121"/>
      <c r="C449" s="2107" t="s">
        <v>2016</v>
      </c>
      <c r="D449" s="498"/>
      <c r="E449" s="122"/>
      <c r="F449" s="498"/>
      <c r="G449" s="122"/>
      <c r="H449" s="498"/>
      <c r="I449" s="122"/>
      <c r="J449" s="498"/>
      <c r="K449" s="195"/>
    </row>
    <row r="450" spans="2:11" ht="17" hidden="1" outlineLevel="1" thickBot="1">
      <c r="B450" s="121"/>
      <c r="C450" s="2108" t="s">
        <v>229</v>
      </c>
      <c r="D450" s="2109"/>
      <c r="E450" s="122"/>
      <c r="F450" s="2109"/>
      <c r="G450" s="122"/>
      <c r="H450" s="2109"/>
      <c r="I450" s="122"/>
      <c r="J450" s="2109"/>
      <c r="K450" s="195"/>
    </row>
    <row r="451" spans="2:11" ht="17" hidden="1" outlineLevel="1" thickBot="1">
      <c r="B451" s="121"/>
      <c r="C451" s="2108"/>
      <c r="D451" s="122"/>
      <c r="E451" s="122"/>
      <c r="F451" s="122"/>
      <c r="G451" s="122"/>
      <c r="H451" s="122"/>
      <c r="I451" s="122"/>
      <c r="J451" s="122"/>
      <c r="K451" s="195"/>
    </row>
    <row r="452" spans="2:11" ht="17" hidden="1" outlineLevel="1" thickBot="1">
      <c r="B452" s="121"/>
      <c r="C452" s="2108" t="s">
        <v>230</v>
      </c>
      <c r="D452" s="2110">
        <f>D440+SUM(D443:D450)</f>
        <v>0</v>
      </c>
      <c r="E452" s="2108"/>
      <c r="F452" s="2110">
        <f>F440+SUM(F443:F450)</f>
        <v>0</v>
      </c>
      <c r="G452" s="2108"/>
      <c r="H452" s="2110">
        <f>H440+SUM(H443:H450)</f>
        <v>0</v>
      </c>
      <c r="I452" s="2108"/>
      <c r="J452" s="2110">
        <f>J440+SUM(J443:J450)</f>
        <v>0</v>
      </c>
      <c r="K452" s="195"/>
    </row>
    <row r="453" spans="2:11" ht="17" hidden="1" outlineLevel="1" thickBot="1">
      <c r="B453" s="121"/>
      <c r="C453" s="2108"/>
      <c r="D453" s="122"/>
      <c r="E453" s="122"/>
      <c r="F453" s="122"/>
      <c r="G453" s="122"/>
      <c r="H453" s="122"/>
      <c r="I453" s="122"/>
      <c r="J453" s="122"/>
      <c r="K453" s="195"/>
    </row>
    <row r="454" spans="2:11" ht="17" hidden="1" outlineLevel="1" thickBot="1">
      <c r="B454" s="121"/>
      <c r="C454" s="270" t="s">
        <v>2017</v>
      </c>
      <c r="D454" s="498"/>
      <c r="E454" s="122"/>
      <c r="F454" s="498"/>
      <c r="G454" s="122"/>
      <c r="H454" s="498"/>
      <c r="I454" s="122"/>
      <c r="J454" s="498"/>
      <c r="K454" s="195"/>
    </row>
    <row r="455" spans="2:11" ht="17" hidden="1" outlineLevel="1" thickBot="1">
      <c r="B455" s="121"/>
      <c r="C455" s="270" t="s">
        <v>231</v>
      </c>
      <c r="D455" s="2175">
        <f>D454*D385</f>
        <v>0</v>
      </c>
      <c r="E455" s="122"/>
      <c r="F455" s="2175">
        <f>F454*F385</f>
        <v>0</v>
      </c>
      <c r="G455" s="122"/>
      <c r="H455" s="2175">
        <f>H454*H385</f>
        <v>0</v>
      </c>
      <c r="I455" s="122"/>
      <c r="J455" s="2175">
        <f>J454*J385</f>
        <v>0</v>
      </c>
      <c r="K455" s="195"/>
    </row>
    <row r="456" spans="2:11" ht="16" hidden="1" outlineLevel="1" thickBot="1">
      <c r="B456" s="121"/>
      <c r="C456" s="122"/>
      <c r="D456" s="122"/>
      <c r="E456" s="122"/>
      <c r="F456" s="122"/>
      <c r="G456" s="122"/>
      <c r="H456" s="122"/>
      <c r="I456" s="122"/>
      <c r="J456" s="122"/>
      <c r="K456" s="195"/>
    </row>
    <row r="457" spans="2:11" ht="17" hidden="1" outlineLevel="1" thickBot="1">
      <c r="B457" s="121"/>
      <c r="C457" s="2085" t="s">
        <v>238</v>
      </c>
      <c r="D457" s="2176">
        <f>IFERROR((D452)/D455,0)</f>
        <v>0</v>
      </c>
      <c r="E457" s="122"/>
      <c r="F457" s="2176">
        <f>IFERROR((F452)/F455,0)</f>
        <v>0</v>
      </c>
      <c r="G457" s="122"/>
      <c r="H457" s="2176">
        <f>IFERROR((H452)/H455,0)</f>
        <v>0</v>
      </c>
      <c r="I457" s="122"/>
      <c r="J457" s="2176">
        <f>IFERROR((J452)/J455,0)</f>
        <v>0</v>
      </c>
      <c r="K457" s="195"/>
    </row>
    <row r="458" spans="2:11" ht="16" collapsed="1" thickBot="1">
      <c r="B458" s="2379" t="s">
        <v>2022</v>
      </c>
      <c r="C458" s="2380"/>
      <c r="D458" s="2380"/>
      <c r="E458" s="494"/>
      <c r="F458" s="494"/>
      <c r="G458" s="494"/>
      <c r="H458" s="494"/>
      <c r="I458" s="494"/>
      <c r="J458" s="494"/>
      <c r="K458" s="495"/>
    </row>
    <row r="459" spans="2:11" ht="16" thickBot="1">
      <c r="B459" s="2177"/>
      <c r="C459" s="2177"/>
      <c r="D459" s="2177"/>
      <c r="E459" s="2178"/>
      <c r="F459" s="2178"/>
      <c r="G459" s="2178"/>
      <c r="H459" s="2178"/>
      <c r="I459" s="2178"/>
      <c r="J459" s="2178"/>
      <c r="K459" s="2178"/>
    </row>
    <row r="460" spans="2:11" ht="17" hidden="1" outlineLevel="1" thickBot="1">
      <c r="B460" s="2304" t="s">
        <v>177</v>
      </c>
      <c r="C460" s="2305"/>
      <c r="D460" s="2305"/>
      <c r="E460" s="2305"/>
      <c r="F460" s="2305"/>
      <c r="G460" s="2305"/>
      <c r="H460" s="2305"/>
      <c r="I460" s="2305"/>
      <c r="J460" s="2305"/>
      <c r="K460" s="2306"/>
    </row>
    <row r="461" spans="2:11" ht="17" hidden="1" outlineLevel="1" thickBot="1">
      <c r="B461" s="2383" t="s">
        <v>2023</v>
      </c>
      <c r="C461" s="2385"/>
      <c r="D461" s="2385"/>
      <c r="E461" s="2385"/>
      <c r="F461" s="2385"/>
      <c r="G461" s="2385"/>
      <c r="H461" s="2385"/>
      <c r="I461" s="2385"/>
      <c r="J461" s="2385"/>
      <c r="K461" s="2386"/>
    </row>
    <row r="462" spans="2:11" ht="17" hidden="1" outlineLevel="1" thickBot="1">
      <c r="B462" s="2077" t="s">
        <v>2001</v>
      </c>
      <c r="C462" s="2078"/>
      <c r="D462" s="237"/>
      <c r="E462" s="237"/>
      <c r="F462" s="237"/>
      <c r="G462" s="237"/>
      <c r="H462" s="237"/>
      <c r="I462" s="237"/>
      <c r="J462" s="237"/>
      <c r="K462" s="263"/>
    </row>
    <row r="463" spans="2:11" ht="17" hidden="1" outlineLevel="1" thickBot="1">
      <c r="B463" s="312" t="s">
        <v>182</v>
      </c>
      <c r="C463" s="270"/>
      <c r="D463" s="135">
        <v>43465</v>
      </c>
      <c r="E463" s="239"/>
      <c r="F463" s="135">
        <f>EOMONTH(D463,F464)</f>
        <v>43830</v>
      </c>
      <c r="G463" s="239"/>
      <c r="H463" s="135">
        <f>EOMONTH(F463,H464)</f>
        <v>44196</v>
      </c>
      <c r="I463" s="239"/>
      <c r="J463" s="135">
        <f>EOMONTH(H463,J464)</f>
        <v>44286</v>
      </c>
      <c r="K463" s="235"/>
    </row>
    <row r="464" spans="2:11" ht="17" hidden="1" outlineLevel="1" thickBot="1">
      <c r="B464" s="312" t="s">
        <v>183</v>
      </c>
      <c r="C464" s="270"/>
      <c r="D464" s="136">
        <v>12</v>
      </c>
      <c r="E464" s="316"/>
      <c r="F464" s="136">
        <v>12</v>
      </c>
      <c r="G464" s="316"/>
      <c r="H464" s="136">
        <v>12</v>
      </c>
      <c r="I464" s="316"/>
      <c r="J464" s="136">
        <v>3</v>
      </c>
      <c r="K464" s="322"/>
    </row>
    <row r="465" spans="2:11" ht="17" hidden="1" outlineLevel="1" thickBot="1">
      <c r="B465" s="312" t="s">
        <v>185</v>
      </c>
      <c r="C465" s="270"/>
      <c r="D465" s="137"/>
      <c r="E465" s="317"/>
      <c r="F465" s="137"/>
      <c r="G465" s="317"/>
      <c r="H465" s="137"/>
      <c r="I465" s="317"/>
      <c r="J465" s="137"/>
      <c r="K465" s="322"/>
    </row>
    <row r="466" spans="2:11" ht="17" hidden="1" outlineLevel="1" thickBot="1">
      <c r="B466" s="312" t="s">
        <v>188</v>
      </c>
      <c r="C466" s="270"/>
      <c r="D466" s="137"/>
      <c r="E466" s="317"/>
      <c r="F466" s="137"/>
      <c r="G466" s="317"/>
      <c r="H466" s="137"/>
      <c r="I466" s="317"/>
      <c r="J466" s="137"/>
      <c r="K466" s="322"/>
    </row>
    <row r="467" spans="2:11" ht="17" hidden="1" outlineLevel="1" thickBot="1">
      <c r="B467" s="236" t="s">
        <v>189</v>
      </c>
      <c r="C467" s="234"/>
      <c r="D467" s="314"/>
      <c r="E467" s="315"/>
      <c r="F467" s="314"/>
      <c r="G467" s="315"/>
      <c r="H467" s="314"/>
      <c r="I467" s="315"/>
      <c r="J467" s="314"/>
      <c r="K467" s="323"/>
    </row>
    <row r="468" spans="2:11" ht="17" hidden="1" outlineLevel="1" thickBot="1">
      <c r="B468" s="269" t="s">
        <v>190</v>
      </c>
      <c r="C468" s="1052" t="s">
        <v>2002</v>
      </c>
      <c r="D468" s="4"/>
      <c r="E468" s="634">
        <f>IF(D$477=0,0,D468/D$477)</f>
        <v>0</v>
      </c>
      <c r="F468" s="4"/>
      <c r="G468" s="634">
        <f>IF(F$477=0,0,F468/F$477)</f>
        <v>0</v>
      </c>
      <c r="H468" s="4"/>
      <c r="I468" s="634">
        <f>IF(H$477=0,0,H468/H$477)</f>
        <v>0</v>
      </c>
      <c r="J468" s="4"/>
      <c r="K468" s="634">
        <f>IF(J$477=0,0,J468/J$477)</f>
        <v>0</v>
      </c>
    </row>
    <row r="469" spans="2:11" ht="17" hidden="1" outlineLevel="1" thickBot="1">
      <c r="B469" s="269" t="s">
        <v>191</v>
      </c>
      <c r="C469" s="2083" t="s">
        <v>2002</v>
      </c>
      <c r="D469" s="5"/>
      <c r="E469" s="634">
        <f t="shared" ref="E469:G479" si="80">IF(D$477=0,0,D469/D$477)</f>
        <v>0</v>
      </c>
      <c r="F469" s="5"/>
      <c r="G469" s="634">
        <f t="shared" si="80"/>
        <v>0</v>
      </c>
      <c r="H469" s="5"/>
      <c r="I469" s="634">
        <f t="shared" ref="I469:I479" si="81">IF(H$477=0,0,H469/H$477)</f>
        <v>0</v>
      </c>
      <c r="J469" s="5"/>
      <c r="K469" s="634">
        <f t="shared" ref="K469:K479" si="82">IF(J$477=0,0,J469/J$477)</f>
        <v>0</v>
      </c>
    </row>
    <row r="470" spans="2:11" ht="17" hidden="1" outlineLevel="2" thickBot="1">
      <c r="B470" s="269" t="s">
        <v>2003</v>
      </c>
      <c r="C470" s="2082" t="s">
        <v>2002</v>
      </c>
      <c r="D470" s="333">
        <f>D468-D469</f>
        <v>0</v>
      </c>
      <c r="E470" s="634">
        <f t="shared" si="80"/>
        <v>0</v>
      </c>
      <c r="F470" s="333">
        <f>F468-F469</f>
        <v>0</v>
      </c>
      <c r="G470" s="634">
        <f t="shared" si="80"/>
        <v>0</v>
      </c>
      <c r="H470" s="333">
        <f>H468-H469</f>
        <v>0</v>
      </c>
      <c r="I470" s="634">
        <f t="shared" si="81"/>
        <v>0</v>
      </c>
      <c r="J470" s="333">
        <f>J468-J469</f>
        <v>0</v>
      </c>
      <c r="K470" s="634">
        <f t="shared" si="82"/>
        <v>0</v>
      </c>
    </row>
    <row r="471" spans="2:11" ht="17" hidden="1" outlineLevel="2" thickBot="1">
      <c r="B471" s="269" t="s">
        <v>190</v>
      </c>
      <c r="C471" s="2083" t="s">
        <v>2004</v>
      </c>
      <c r="D471" s="5"/>
      <c r="E471" s="634">
        <f t="shared" si="80"/>
        <v>0</v>
      </c>
      <c r="F471" s="5"/>
      <c r="G471" s="634">
        <f t="shared" si="80"/>
        <v>0</v>
      </c>
      <c r="H471" s="5"/>
      <c r="I471" s="634">
        <f t="shared" si="81"/>
        <v>0</v>
      </c>
      <c r="J471" s="5"/>
      <c r="K471" s="634">
        <f t="shared" si="82"/>
        <v>0</v>
      </c>
    </row>
    <row r="472" spans="2:11" ht="17" hidden="1" outlineLevel="2" thickBot="1">
      <c r="B472" s="269" t="s">
        <v>191</v>
      </c>
      <c r="C472" s="2083" t="s">
        <v>2004</v>
      </c>
      <c r="D472" s="5"/>
      <c r="E472" s="634">
        <f t="shared" si="80"/>
        <v>0</v>
      </c>
      <c r="F472" s="5"/>
      <c r="G472" s="634">
        <f t="shared" si="80"/>
        <v>0</v>
      </c>
      <c r="H472" s="5"/>
      <c r="I472" s="634">
        <f t="shared" si="81"/>
        <v>0</v>
      </c>
      <c r="J472" s="5"/>
      <c r="K472" s="634">
        <f t="shared" si="82"/>
        <v>0</v>
      </c>
    </row>
    <row r="473" spans="2:11" ht="17" hidden="1" outlineLevel="2" thickBot="1">
      <c r="B473" s="269" t="s">
        <v>2003</v>
      </c>
      <c r="C473" s="2082" t="s">
        <v>2004</v>
      </c>
      <c r="D473" s="333">
        <f>D471-D472</f>
        <v>0</v>
      </c>
      <c r="E473" s="634">
        <f t="shared" si="80"/>
        <v>0</v>
      </c>
      <c r="F473" s="333">
        <f>F471-F472</f>
        <v>0</v>
      </c>
      <c r="G473" s="634">
        <f t="shared" si="80"/>
        <v>0</v>
      </c>
      <c r="H473" s="333">
        <f>H471-H472</f>
        <v>0</v>
      </c>
      <c r="I473" s="634">
        <f t="shared" si="81"/>
        <v>0</v>
      </c>
      <c r="J473" s="333">
        <f>J471-J472</f>
        <v>0</v>
      </c>
      <c r="K473" s="634">
        <f t="shared" si="82"/>
        <v>0</v>
      </c>
    </row>
    <row r="474" spans="2:11" ht="17" hidden="1" outlineLevel="2" thickBot="1">
      <c r="B474" s="269" t="s">
        <v>190</v>
      </c>
      <c r="C474" s="2083" t="s">
        <v>2005</v>
      </c>
      <c r="D474" s="5"/>
      <c r="E474" s="634">
        <f t="shared" si="80"/>
        <v>0</v>
      </c>
      <c r="F474" s="5"/>
      <c r="G474" s="634">
        <f t="shared" si="80"/>
        <v>0</v>
      </c>
      <c r="H474" s="5"/>
      <c r="I474" s="634">
        <f t="shared" si="81"/>
        <v>0</v>
      </c>
      <c r="J474" s="5"/>
      <c r="K474" s="634">
        <f t="shared" si="82"/>
        <v>0</v>
      </c>
    </row>
    <row r="475" spans="2:11" ht="17" hidden="1" outlineLevel="2" thickBot="1">
      <c r="B475" s="269" t="s">
        <v>191</v>
      </c>
      <c r="C475" s="2083" t="s">
        <v>2005</v>
      </c>
      <c r="D475" s="5"/>
      <c r="E475" s="634">
        <f t="shared" si="80"/>
        <v>0</v>
      </c>
      <c r="F475" s="5"/>
      <c r="G475" s="634">
        <f t="shared" si="80"/>
        <v>0</v>
      </c>
      <c r="H475" s="5"/>
      <c r="I475" s="634">
        <f t="shared" si="81"/>
        <v>0</v>
      </c>
      <c r="J475" s="5"/>
      <c r="K475" s="634">
        <f t="shared" si="82"/>
        <v>0</v>
      </c>
    </row>
    <row r="476" spans="2:11" ht="17" hidden="1" outlineLevel="2" thickBot="1">
      <c r="B476" s="2084" t="s">
        <v>2003</v>
      </c>
      <c r="C476" s="2082" t="s">
        <v>2005</v>
      </c>
      <c r="D476" s="333">
        <f>D474-D475</f>
        <v>0</v>
      </c>
      <c r="E476" s="634">
        <f t="shared" si="80"/>
        <v>0</v>
      </c>
      <c r="F476" s="333">
        <f>F474-F475</f>
        <v>0</v>
      </c>
      <c r="G476" s="634">
        <f t="shared" si="80"/>
        <v>0</v>
      </c>
      <c r="H476" s="333">
        <f>H474-H475</f>
        <v>0</v>
      </c>
      <c r="I476" s="634">
        <f t="shared" si="81"/>
        <v>0</v>
      </c>
      <c r="J476" s="333">
        <f>J474-J475</f>
        <v>0</v>
      </c>
      <c r="K476" s="634">
        <f t="shared" si="82"/>
        <v>0</v>
      </c>
    </row>
    <row r="477" spans="2:11" ht="17" hidden="1" outlineLevel="1" collapsed="1" thickBot="1">
      <c r="B477" s="159" t="s">
        <v>2006</v>
      </c>
      <c r="C477" s="2085" t="s">
        <v>194</v>
      </c>
      <c r="D477" s="506">
        <f>D468+D471+D474</f>
        <v>0</v>
      </c>
      <c r="E477" s="634">
        <f t="shared" si="80"/>
        <v>0</v>
      </c>
      <c r="F477" s="506">
        <f>F468+F471+F474</f>
        <v>0</v>
      </c>
      <c r="G477" s="634">
        <f t="shared" si="80"/>
        <v>0</v>
      </c>
      <c r="H477" s="506">
        <f>H468+H471+H474</f>
        <v>0</v>
      </c>
      <c r="I477" s="634">
        <f t="shared" si="81"/>
        <v>0</v>
      </c>
      <c r="J477" s="506">
        <f>J468+J471+J474</f>
        <v>0</v>
      </c>
      <c r="K477" s="634">
        <f t="shared" si="82"/>
        <v>0</v>
      </c>
    </row>
    <row r="478" spans="2:11" ht="17" hidden="1" outlineLevel="1" thickBot="1">
      <c r="B478" s="121"/>
      <c r="C478" s="2085" t="s">
        <v>195</v>
      </c>
      <c r="D478" s="507">
        <f>D469+D472+D475</f>
        <v>0</v>
      </c>
      <c r="E478" s="634">
        <f t="shared" si="80"/>
        <v>0</v>
      </c>
      <c r="F478" s="507">
        <f>F469+F472+F475</f>
        <v>0</v>
      </c>
      <c r="G478" s="634">
        <f t="shared" si="80"/>
        <v>0</v>
      </c>
      <c r="H478" s="507">
        <f>H469+H472+H475</f>
        <v>0</v>
      </c>
      <c r="I478" s="634">
        <f t="shared" si="81"/>
        <v>0</v>
      </c>
      <c r="J478" s="507">
        <f>J469+J472+J475</f>
        <v>0</v>
      </c>
      <c r="K478" s="634">
        <f t="shared" si="82"/>
        <v>0</v>
      </c>
    </row>
    <row r="479" spans="2:11" ht="17" hidden="1" outlineLevel="1" thickBot="1">
      <c r="B479" s="121"/>
      <c r="C479" s="2085" t="s">
        <v>196</v>
      </c>
      <c r="D479" s="508">
        <f>D477-D478</f>
        <v>0</v>
      </c>
      <c r="E479" s="634">
        <f t="shared" si="80"/>
        <v>0</v>
      </c>
      <c r="F479" s="508">
        <f>F477-F478</f>
        <v>0</v>
      </c>
      <c r="G479" s="634">
        <f t="shared" si="80"/>
        <v>0</v>
      </c>
      <c r="H479" s="508">
        <f>H477-H478</f>
        <v>0</v>
      </c>
      <c r="I479" s="634">
        <f t="shared" si="81"/>
        <v>0</v>
      </c>
      <c r="J479" s="508">
        <f>J477-J478</f>
        <v>0</v>
      </c>
      <c r="K479" s="634">
        <f t="shared" si="82"/>
        <v>0</v>
      </c>
    </row>
    <row r="480" spans="2:11" ht="17" hidden="1" outlineLevel="1" thickBot="1">
      <c r="B480" s="121"/>
      <c r="C480" s="2085"/>
      <c r="D480" s="2086"/>
      <c r="E480" s="635"/>
      <c r="F480" s="2086"/>
      <c r="G480" s="635"/>
      <c r="H480" s="2086"/>
      <c r="I480" s="635"/>
      <c r="J480" s="2086"/>
      <c r="K480" s="635"/>
    </row>
    <row r="481" spans="2:11" ht="17" hidden="1" outlineLevel="1" thickBot="1">
      <c r="B481" s="121"/>
      <c r="C481" s="2085" t="s">
        <v>197</v>
      </c>
      <c r="D481" s="509"/>
      <c r="E481" s="634"/>
      <c r="F481" s="509"/>
      <c r="G481" s="634"/>
      <c r="H481" s="509"/>
      <c r="I481" s="634"/>
      <c r="J481" s="509"/>
      <c r="K481" s="634"/>
    </row>
    <row r="482" spans="2:11" ht="17" hidden="1" outlineLevel="1" thickBot="1">
      <c r="B482" s="121"/>
      <c r="C482" s="270" t="s">
        <v>198</v>
      </c>
      <c r="D482" s="5"/>
      <c r="E482" s="634">
        <f t="shared" ref="E482:G519" si="83">IF(D$477=0,0,D482/D$477)</f>
        <v>0</v>
      </c>
      <c r="F482" s="5"/>
      <c r="G482" s="634">
        <f t="shared" si="83"/>
        <v>0</v>
      </c>
      <c r="H482" s="5"/>
      <c r="I482" s="634">
        <f t="shared" ref="I482:I506" si="84">IF(H$477=0,0,H482/H$477)</f>
        <v>0</v>
      </c>
      <c r="J482" s="5"/>
      <c r="K482" s="634">
        <f t="shared" ref="K482:K506" si="85">IF(J$477=0,0,J482/J$477)</f>
        <v>0</v>
      </c>
    </row>
    <row r="483" spans="2:11" ht="17" hidden="1" outlineLevel="1" thickBot="1">
      <c r="B483" s="121"/>
      <c r="C483" s="270" t="s">
        <v>200</v>
      </c>
      <c r="D483" s="5"/>
      <c r="E483" s="634">
        <f t="shared" si="83"/>
        <v>0</v>
      </c>
      <c r="F483" s="5"/>
      <c r="G483" s="634">
        <f t="shared" si="83"/>
        <v>0</v>
      </c>
      <c r="H483" s="5"/>
      <c r="I483" s="634">
        <f t="shared" si="84"/>
        <v>0</v>
      </c>
      <c r="J483" s="5"/>
      <c r="K483" s="634">
        <f t="shared" si="85"/>
        <v>0</v>
      </c>
    </row>
    <row r="484" spans="2:11" ht="17" hidden="1" outlineLevel="1" thickBot="1">
      <c r="B484" s="121"/>
      <c r="C484" s="270" t="s">
        <v>201</v>
      </c>
      <c r="D484" s="5"/>
      <c r="E484" s="634">
        <f t="shared" si="83"/>
        <v>0</v>
      </c>
      <c r="F484" s="5"/>
      <c r="G484" s="634">
        <f t="shared" si="83"/>
        <v>0</v>
      </c>
      <c r="H484" s="5"/>
      <c r="I484" s="634">
        <f t="shared" si="84"/>
        <v>0</v>
      </c>
      <c r="J484" s="5"/>
      <c r="K484" s="634">
        <f t="shared" si="85"/>
        <v>0</v>
      </c>
    </row>
    <row r="485" spans="2:11" ht="17" hidden="1" outlineLevel="1" thickBot="1">
      <c r="B485" s="121"/>
      <c r="C485" s="270" t="s">
        <v>202</v>
      </c>
      <c r="D485" s="5"/>
      <c r="E485" s="634">
        <f t="shared" si="83"/>
        <v>0</v>
      </c>
      <c r="F485" s="5"/>
      <c r="G485" s="634">
        <f t="shared" si="83"/>
        <v>0</v>
      </c>
      <c r="H485" s="5"/>
      <c r="I485" s="634">
        <f t="shared" si="84"/>
        <v>0</v>
      </c>
      <c r="J485" s="5"/>
      <c r="K485" s="634">
        <f t="shared" si="85"/>
        <v>0</v>
      </c>
    </row>
    <row r="486" spans="2:11" ht="17" hidden="1" outlineLevel="1" thickBot="1">
      <c r="B486" s="121"/>
      <c r="C486" s="270" t="s">
        <v>203</v>
      </c>
      <c r="D486" s="5"/>
      <c r="E486" s="634">
        <f t="shared" si="83"/>
        <v>0</v>
      </c>
      <c r="F486" s="5"/>
      <c r="G486" s="634">
        <f t="shared" si="83"/>
        <v>0</v>
      </c>
      <c r="H486" s="5"/>
      <c r="I486" s="634">
        <f t="shared" si="84"/>
        <v>0</v>
      </c>
      <c r="J486" s="5"/>
      <c r="K486" s="634">
        <f t="shared" si="85"/>
        <v>0</v>
      </c>
    </row>
    <row r="487" spans="2:11" ht="17" hidden="1" outlineLevel="1" thickBot="1">
      <c r="B487" s="121"/>
      <c r="C487" s="270" t="s">
        <v>204</v>
      </c>
      <c r="D487" s="5"/>
      <c r="E487" s="634">
        <f t="shared" si="83"/>
        <v>0</v>
      </c>
      <c r="F487" s="5"/>
      <c r="G487" s="634">
        <f t="shared" si="83"/>
        <v>0</v>
      </c>
      <c r="H487" s="5"/>
      <c r="I487" s="634">
        <f t="shared" si="84"/>
        <v>0</v>
      </c>
      <c r="J487" s="5"/>
      <c r="K487" s="634">
        <f t="shared" si="85"/>
        <v>0</v>
      </c>
    </row>
    <row r="488" spans="2:11" ht="17" hidden="1" outlineLevel="1" thickBot="1">
      <c r="B488" s="121"/>
      <c r="C488" s="270" t="s">
        <v>205</v>
      </c>
      <c r="D488" s="5"/>
      <c r="E488" s="634">
        <f t="shared" si="83"/>
        <v>0</v>
      </c>
      <c r="F488" s="5"/>
      <c r="G488" s="634">
        <f t="shared" si="83"/>
        <v>0</v>
      </c>
      <c r="H488" s="5"/>
      <c r="I488" s="634">
        <f t="shared" si="84"/>
        <v>0</v>
      </c>
      <c r="J488" s="5"/>
      <c r="K488" s="634">
        <f t="shared" si="85"/>
        <v>0</v>
      </c>
    </row>
    <row r="489" spans="2:11" ht="17" hidden="1" outlineLevel="1" thickBot="1">
      <c r="B489" s="121"/>
      <c r="C489" s="270" t="s">
        <v>206</v>
      </c>
      <c r="D489" s="5"/>
      <c r="E489" s="634">
        <f t="shared" si="83"/>
        <v>0</v>
      </c>
      <c r="F489" s="5"/>
      <c r="G489" s="634">
        <f t="shared" si="83"/>
        <v>0</v>
      </c>
      <c r="H489" s="5"/>
      <c r="I489" s="634">
        <f t="shared" si="84"/>
        <v>0</v>
      </c>
      <c r="J489" s="5"/>
      <c r="K489" s="634">
        <f t="shared" si="85"/>
        <v>0</v>
      </c>
    </row>
    <row r="490" spans="2:11" ht="17" hidden="1" outlineLevel="2" thickBot="1">
      <c r="B490" s="121"/>
      <c r="C490" s="270" t="s">
        <v>207</v>
      </c>
      <c r="D490" s="5"/>
      <c r="E490" s="634">
        <f t="shared" si="83"/>
        <v>0</v>
      </c>
      <c r="F490" s="5"/>
      <c r="G490" s="634">
        <f t="shared" si="83"/>
        <v>0</v>
      </c>
      <c r="H490" s="5"/>
      <c r="I490" s="634">
        <f t="shared" si="84"/>
        <v>0</v>
      </c>
      <c r="J490" s="5"/>
      <c r="K490" s="634">
        <f t="shared" si="85"/>
        <v>0</v>
      </c>
    </row>
    <row r="491" spans="2:11" ht="17" hidden="1" outlineLevel="2" thickBot="1">
      <c r="B491" s="121"/>
      <c r="C491" s="270" t="s">
        <v>208</v>
      </c>
      <c r="D491" s="5"/>
      <c r="E491" s="634">
        <f t="shared" si="83"/>
        <v>0</v>
      </c>
      <c r="F491" s="5"/>
      <c r="G491" s="634">
        <f t="shared" si="83"/>
        <v>0</v>
      </c>
      <c r="H491" s="5"/>
      <c r="I491" s="634">
        <f t="shared" si="84"/>
        <v>0</v>
      </c>
      <c r="J491" s="5"/>
      <c r="K491" s="634">
        <f t="shared" si="85"/>
        <v>0</v>
      </c>
    </row>
    <row r="492" spans="2:11" ht="17" hidden="1" outlineLevel="2" thickBot="1">
      <c r="B492" s="121"/>
      <c r="C492" s="270" t="s">
        <v>209</v>
      </c>
      <c r="D492" s="5"/>
      <c r="E492" s="634">
        <f t="shared" si="83"/>
        <v>0</v>
      </c>
      <c r="F492" s="5"/>
      <c r="G492" s="634">
        <f t="shared" si="83"/>
        <v>0</v>
      </c>
      <c r="H492" s="5"/>
      <c r="I492" s="634">
        <f t="shared" si="84"/>
        <v>0</v>
      </c>
      <c r="J492" s="5"/>
      <c r="K492" s="634">
        <f t="shared" si="85"/>
        <v>0</v>
      </c>
    </row>
    <row r="493" spans="2:11" ht="17" hidden="1" outlineLevel="2" thickBot="1">
      <c r="B493" s="121"/>
      <c r="C493" s="270" t="s">
        <v>210</v>
      </c>
      <c r="D493" s="5"/>
      <c r="E493" s="634">
        <f t="shared" si="83"/>
        <v>0</v>
      </c>
      <c r="F493" s="5"/>
      <c r="G493" s="634">
        <f t="shared" si="83"/>
        <v>0</v>
      </c>
      <c r="H493" s="5"/>
      <c r="I493" s="634">
        <f t="shared" si="84"/>
        <v>0</v>
      </c>
      <c r="J493" s="5"/>
      <c r="K493" s="634">
        <f t="shared" si="85"/>
        <v>0</v>
      </c>
    </row>
    <row r="494" spans="2:11" ht="17" hidden="1" outlineLevel="2" thickBot="1">
      <c r="B494" s="121"/>
      <c r="C494" s="270" t="s">
        <v>211</v>
      </c>
      <c r="D494" s="5"/>
      <c r="E494" s="634">
        <f t="shared" si="83"/>
        <v>0</v>
      </c>
      <c r="F494" s="5"/>
      <c r="G494" s="634">
        <f t="shared" si="83"/>
        <v>0</v>
      </c>
      <c r="H494" s="5"/>
      <c r="I494" s="634">
        <f t="shared" si="84"/>
        <v>0</v>
      </c>
      <c r="J494" s="5"/>
      <c r="K494" s="634">
        <f t="shared" si="85"/>
        <v>0</v>
      </c>
    </row>
    <row r="495" spans="2:11" ht="17" hidden="1" outlineLevel="2" thickBot="1">
      <c r="B495" s="121"/>
      <c r="C495" s="270" t="s">
        <v>212</v>
      </c>
      <c r="D495" s="5"/>
      <c r="E495" s="634">
        <f t="shared" si="83"/>
        <v>0</v>
      </c>
      <c r="F495" s="5"/>
      <c r="G495" s="634">
        <f t="shared" si="83"/>
        <v>0</v>
      </c>
      <c r="H495" s="5"/>
      <c r="I495" s="634">
        <f t="shared" si="84"/>
        <v>0</v>
      </c>
      <c r="J495" s="5"/>
      <c r="K495" s="634">
        <f t="shared" si="85"/>
        <v>0</v>
      </c>
    </row>
    <row r="496" spans="2:11" ht="17" hidden="1" outlineLevel="2" thickBot="1">
      <c r="B496" s="121"/>
      <c r="C496" s="270" t="s">
        <v>213</v>
      </c>
      <c r="D496" s="5"/>
      <c r="E496" s="634">
        <f t="shared" si="83"/>
        <v>0</v>
      </c>
      <c r="F496" s="5"/>
      <c r="G496" s="634">
        <f t="shared" si="83"/>
        <v>0</v>
      </c>
      <c r="H496" s="5"/>
      <c r="I496" s="634">
        <f t="shared" si="84"/>
        <v>0</v>
      </c>
      <c r="J496" s="5"/>
      <c r="K496" s="634">
        <f t="shared" si="85"/>
        <v>0</v>
      </c>
    </row>
    <row r="497" spans="2:11" ht="17" hidden="1" outlineLevel="2" thickBot="1">
      <c r="B497" s="121"/>
      <c r="C497" s="270" t="s">
        <v>214</v>
      </c>
      <c r="D497" s="5"/>
      <c r="E497" s="634">
        <f t="shared" si="83"/>
        <v>0</v>
      </c>
      <c r="F497" s="5"/>
      <c r="G497" s="634">
        <f t="shared" si="83"/>
        <v>0</v>
      </c>
      <c r="H497" s="5"/>
      <c r="I497" s="634">
        <f t="shared" si="84"/>
        <v>0</v>
      </c>
      <c r="J497" s="5"/>
      <c r="K497" s="634">
        <f t="shared" si="85"/>
        <v>0</v>
      </c>
    </row>
    <row r="498" spans="2:11" ht="17" hidden="1" outlineLevel="2" thickBot="1">
      <c r="B498" s="121"/>
      <c r="C498" s="270" t="s">
        <v>215</v>
      </c>
      <c r="D498" s="5"/>
      <c r="E498" s="634">
        <f t="shared" si="83"/>
        <v>0</v>
      </c>
      <c r="F498" s="5"/>
      <c r="G498" s="634">
        <f t="shared" si="83"/>
        <v>0</v>
      </c>
      <c r="H498" s="5"/>
      <c r="I498" s="634">
        <f t="shared" si="84"/>
        <v>0</v>
      </c>
      <c r="J498" s="5"/>
      <c r="K498" s="634">
        <f t="shared" si="85"/>
        <v>0</v>
      </c>
    </row>
    <row r="499" spans="2:11" ht="17" hidden="1" outlineLevel="2" thickBot="1">
      <c r="B499" s="121"/>
      <c r="C499" s="270" t="s">
        <v>216</v>
      </c>
      <c r="D499" s="5"/>
      <c r="E499" s="634">
        <f t="shared" si="83"/>
        <v>0</v>
      </c>
      <c r="F499" s="5"/>
      <c r="G499" s="634">
        <f t="shared" si="83"/>
        <v>0</v>
      </c>
      <c r="H499" s="5"/>
      <c r="I499" s="634">
        <f t="shared" si="84"/>
        <v>0</v>
      </c>
      <c r="J499" s="5"/>
      <c r="K499" s="634">
        <f t="shared" si="85"/>
        <v>0</v>
      </c>
    </row>
    <row r="500" spans="2:11" ht="17" hidden="1" outlineLevel="2" thickBot="1">
      <c r="B500" s="121"/>
      <c r="C500" s="270" t="s">
        <v>217</v>
      </c>
      <c r="D500" s="5"/>
      <c r="E500" s="634">
        <f t="shared" si="83"/>
        <v>0</v>
      </c>
      <c r="F500" s="5"/>
      <c r="G500" s="634">
        <f t="shared" si="83"/>
        <v>0</v>
      </c>
      <c r="H500" s="5"/>
      <c r="I500" s="634">
        <f t="shared" si="84"/>
        <v>0</v>
      </c>
      <c r="J500" s="5"/>
      <c r="K500" s="634">
        <f t="shared" si="85"/>
        <v>0</v>
      </c>
    </row>
    <row r="501" spans="2:11" ht="17" hidden="1" outlineLevel="2" thickBot="1">
      <c r="B501" s="121"/>
      <c r="C501" s="2097" t="s">
        <v>218</v>
      </c>
      <c r="D501" s="5"/>
      <c r="E501" s="634">
        <f t="shared" si="83"/>
        <v>0</v>
      </c>
      <c r="F501" s="5"/>
      <c r="G501" s="634">
        <f t="shared" si="83"/>
        <v>0</v>
      </c>
      <c r="H501" s="5"/>
      <c r="I501" s="634">
        <f t="shared" si="84"/>
        <v>0</v>
      </c>
      <c r="J501" s="5"/>
      <c r="K501" s="634">
        <f t="shared" si="85"/>
        <v>0</v>
      </c>
    </row>
    <row r="502" spans="2:11" ht="17" hidden="1" outlineLevel="2" thickBot="1">
      <c r="B502" s="121"/>
      <c r="C502" s="2098" t="s">
        <v>218</v>
      </c>
      <c r="D502" s="5"/>
      <c r="E502" s="634">
        <f t="shared" si="83"/>
        <v>0</v>
      </c>
      <c r="F502" s="5"/>
      <c r="G502" s="634">
        <f t="shared" si="83"/>
        <v>0</v>
      </c>
      <c r="H502" s="5"/>
      <c r="I502" s="634">
        <f t="shared" si="84"/>
        <v>0</v>
      </c>
      <c r="J502" s="5"/>
      <c r="K502" s="634">
        <f t="shared" si="85"/>
        <v>0</v>
      </c>
    </row>
    <row r="503" spans="2:11" ht="17" hidden="1" outlineLevel="2" thickBot="1">
      <c r="B503" s="121"/>
      <c r="C503" s="2098" t="s">
        <v>218</v>
      </c>
      <c r="D503" s="5"/>
      <c r="E503" s="634">
        <f t="shared" si="83"/>
        <v>0</v>
      </c>
      <c r="F503" s="5"/>
      <c r="G503" s="634">
        <f t="shared" si="83"/>
        <v>0</v>
      </c>
      <c r="H503" s="5"/>
      <c r="I503" s="634">
        <f t="shared" si="84"/>
        <v>0</v>
      </c>
      <c r="J503" s="5"/>
      <c r="K503" s="634">
        <f t="shared" si="85"/>
        <v>0</v>
      </c>
    </row>
    <row r="504" spans="2:11" ht="17" hidden="1" outlineLevel="1" collapsed="1" thickBot="1">
      <c r="B504" s="159" t="s">
        <v>2006</v>
      </c>
      <c r="C504" s="2098" t="s">
        <v>218</v>
      </c>
      <c r="D504" s="5"/>
      <c r="E504" s="634">
        <f t="shared" si="83"/>
        <v>0</v>
      </c>
      <c r="F504" s="5"/>
      <c r="G504" s="634">
        <f t="shared" si="83"/>
        <v>0</v>
      </c>
      <c r="H504" s="5"/>
      <c r="I504" s="634">
        <f t="shared" si="84"/>
        <v>0</v>
      </c>
      <c r="J504" s="5"/>
      <c r="K504" s="634">
        <f t="shared" si="85"/>
        <v>0</v>
      </c>
    </row>
    <row r="505" spans="2:11" ht="17" hidden="1" outlineLevel="1" thickBot="1">
      <c r="B505" s="121"/>
      <c r="C505" s="2100" t="s">
        <v>218</v>
      </c>
      <c r="D505" s="5"/>
      <c r="E505" s="634">
        <f t="shared" si="83"/>
        <v>0</v>
      </c>
      <c r="F505" s="5"/>
      <c r="G505" s="634">
        <f t="shared" si="83"/>
        <v>0</v>
      </c>
      <c r="H505" s="5"/>
      <c r="I505" s="634">
        <f t="shared" si="84"/>
        <v>0</v>
      </c>
      <c r="J505" s="5"/>
      <c r="K505" s="634">
        <f t="shared" si="85"/>
        <v>0</v>
      </c>
    </row>
    <row r="506" spans="2:11" ht="17" hidden="1" outlineLevel="1" thickBot="1">
      <c r="B506" s="121"/>
      <c r="C506" s="2085" t="s">
        <v>219</v>
      </c>
      <c r="D506" s="510">
        <f>SUM(D482:D505)</f>
        <v>0</v>
      </c>
      <c r="E506" s="634">
        <f t="shared" si="83"/>
        <v>0</v>
      </c>
      <c r="F506" s="510">
        <f>SUM(F482:F505)</f>
        <v>0</v>
      </c>
      <c r="G506" s="634">
        <f t="shared" si="83"/>
        <v>0</v>
      </c>
      <c r="H506" s="510">
        <f>SUM(H482:H505)</f>
        <v>0</v>
      </c>
      <c r="I506" s="634">
        <f t="shared" si="84"/>
        <v>0</v>
      </c>
      <c r="J506" s="510">
        <f>SUM(J482:J505)</f>
        <v>0</v>
      </c>
      <c r="K506" s="634">
        <f t="shared" si="85"/>
        <v>0</v>
      </c>
    </row>
    <row r="507" spans="2:11" ht="17" hidden="1" outlineLevel="1" thickBot="1">
      <c r="B507" s="121"/>
      <c r="C507" s="2085"/>
      <c r="D507" s="511"/>
      <c r="E507" s="635"/>
      <c r="F507" s="511"/>
      <c r="G507" s="635"/>
      <c r="H507" s="511"/>
      <c r="I507" s="635"/>
      <c r="J507" s="511"/>
      <c r="K507" s="635"/>
    </row>
    <row r="508" spans="2:11" ht="17" hidden="1" outlineLevel="1" thickBot="1">
      <c r="B508" s="121"/>
      <c r="C508" s="2085" t="s">
        <v>220</v>
      </c>
      <c r="D508" s="510">
        <f>D479-D506</f>
        <v>0</v>
      </c>
      <c r="E508" s="634">
        <f t="shared" si="83"/>
        <v>0</v>
      </c>
      <c r="F508" s="510">
        <f>F479-F506</f>
        <v>0</v>
      </c>
      <c r="G508" s="634">
        <f t="shared" si="83"/>
        <v>0</v>
      </c>
      <c r="H508" s="510">
        <f>H479-H506</f>
        <v>0</v>
      </c>
      <c r="I508" s="634">
        <f t="shared" ref="I508" si="86">IF(H$477=0,0,H508/H$477)</f>
        <v>0</v>
      </c>
      <c r="J508" s="510">
        <f>J479-J506</f>
        <v>0</v>
      </c>
      <c r="K508" s="634">
        <f t="shared" ref="K508" si="87">IF(J$477=0,0,J508/J$477)</f>
        <v>0</v>
      </c>
    </row>
    <row r="509" spans="2:11" ht="17" hidden="1" outlineLevel="1" thickBot="1">
      <c r="B509" s="121"/>
      <c r="C509" s="2085"/>
      <c r="D509" s="512"/>
      <c r="E509" s="635"/>
      <c r="F509" s="512"/>
      <c r="G509" s="635"/>
      <c r="H509" s="512"/>
      <c r="I509" s="635"/>
      <c r="J509" s="512"/>
      <c r="K509" s="635"/>
    </row>
    <row r="510" spans="2:11" ht="17" hidden="1" outlineLevel="1" thickBot="1">
      <c r="B510" s="121"/>
      <c r="C510" s="2097" t="s">
        <v>221</v>
      </c>
      <c r="D510" s="5"/>
      <c r="E510" s="634">
        <f t="shared" si="83"/>
        <v>0</v>
      </c>
      <c r="F510" s="5"/>
      <c r="G510" s="634">
        <f t="shared" si="83"/>
        <v>0</v>
      </c>
      <c r="H510" s="5"/>
      <c r="I510" s="634">
        <f t="shared" ref="I510:I514" si="88">IF(H$477=0,0,H510/H$477)</f>
        <v>0</v>
      </c>
      <c r="J510" s="5"/>
      <c r="K510" s="634">
        <f t="shared" ref="K510:K514" si="89">IF(J$477=0,0,J510/J$477)</f>
        <v>0</v>
      </c>
    </row>
    <row r="511" spans="2:11" ht="17" hidden="1" outlineLevel="1" thickBot="1">
      <c r="B511" s="121"/>
      <c r="C511" s="2098" t="s">
        <v>221</v>
      </c>
      <c r="D511" s="5"/>
      <c r="E511" s="634">
        <f t="shared" si="83"/>
        <v>0</v>
      </c>
      <c r="F511" s="5"/>
      <c r="G511" s="634">
        <f t="shared" si="83"/>
        <v>0</v>
      </c>
      <c r="H511" s="5"/>
      <c r="I511" s="634">
        <f t="shared" si="88"/>
        <v>0</v>
      </c>
      <c r="J511" s="5"/>
      <c r="K511" s="634">
        <f t="shared" si="89"/>
        <v>0</v>
      </c>
    </row>
    <row r="512" spans="2:11" ht="17" hidden="1" outlineLevel="1" thickBot="1">
      <c r="B512" s="121"/>
      <c r="C512" s="2098" t="s">
        <v>222</v>
      </c>
      <c r="D512" s="5"/>
      <c r="E512" s="634">
        <f t="shared" si="83"/>
        <v>0</v>
      </c>
      <c r="F512" s="5"/>
      <c r="G512" s="634">
        <f t="shared" si="83"/>
        <v>0</v>
      </c>
      <c r="H512" s="5"/>
      <c r="I512" s="634">
        <f t="shared" si="88"/>
        <v>0</v>
      </c>
      <c r="J512" s="5"/>
      <c r="K512" s="634">
        <f t="shared" si="89"/>
        <v>0</v>
      </c>
    </row>
    <row r="513" spans="2:11" ht="17" hidden="1" outlineLevel="1" thickBot="1">
      <c r="B513" s="121"/>
      <c r="C513" s="2100" t="s">
        <v>222</v>
      </c>
      <c r="D513" s="5"/>
      <c r="E513" s="634">
        <f t="shared" si="83"/>
        <v>0</v>
      </c>
      <c r="F513" s="5"/>
      <c r="G513" s="634">
        <f t="shared" si="83"/>
        <v>0</v>
      </c>
      <c r="H513" s="5"/>
      <c r="I513" s="634">
        <f t="shared" si="88"/>
        <v>0</v>
      </c>
      <c r="J513" s="5"/>
      <c r="K513" s="634">
        <f t="shared" si="89"/>
        <v>0</v>
      </c>
    </row>
    <row r="514" spans="2:11" ht="17" hidden="1" outlineLevel="1" thickBot="1">
      <c r="B514" s="121"/>
      <c r="C514" s="2085" t="s">
        <v>223</v>
      </c>
      <c r="D514" s="510">
        <f>SUM(D510:D513)</f>
        <v>0</v>
      </c>
      <c r="E514" s="634">
        <f t="shared" si="83"/>
        <v>0</v>
      </c>
      <c r="F514" s="510">
        <f>SUM(F510:F513)</f>
        <v>0</v>
      </c>
      <c r="G514" s="634">
        <f t="shared" si="83"/>
        <v>0</v>
      </c>
      <c r="H514" s="510">
        <f>SUM(H510:H513)</f>
        <v>0</v>
      </c>
      <c r="I514" s="634">
        <f t="shared" si="88"/>
        <v>0</v>
      </c>
      <c r="J514" s="510">
        <f>SUM(J510:J513)</f>
        <v>0</v>
      </c>
      <c r="K514" s="634">
        <f t="shared" si="89"/>
        <v>0</v>
      </c>
    </row>
    <row r="515" spans="2:11" ht="17" hidden="1" outlineLevel="1" thickBot="1">
      <c r="B515" s="121"/>
      <c r="C515" s="2085"/>
      <c r="D515" s="511"/>
      <c r="E515" s="635"/>
      <c r="F515" s="511"/>
      <c r="G515" s="635"/>
      <c r="H515" s="511"/>
      <c r="I515" s="635"/>
      <c r="J515" s="511"/>
      <c r="K515" s="635"/>
    </row>
    <row r="516" spans="2:11" ht="17" hidden="1" outlineLevel="1" thickBot="1">
      <c r="B516" s="121"/>
      <c r="C516" s="2085" t="s">
        <v>224</v>
      </c>
      <c r="D516" s="510">
        <f>D479-D506+D514</f>
        <v>0</v>
      </c>
      <c r="E516" s="634">
        <f t="shared" si="83"/>
        <v>0</v>
      </c>
      <c r="F516" s="510">
        <f>F479-F506+F514</f>
        <v>0</v>
      </c>
      <c r="G516" s="634">
        <f t="shared" si="83"/>
        <v>0</v>
      </c>
      <c r="H516" s="510">
        <f>H479-H506+H514</f>
        <v>0</v>
      </c>
      <c r="I516" s="634">
        <f t="shared" ref="I516:I517" si="90">IF(H$477=0,0,H516/H$477)</f>
        <v>0</v>
      </c>
      <c r="J516" s="510">
        <f>J479-J506+J514</f>
        <v>0</v>
      </c>
      <c r="K516" s="634">
        <f t="shared" ref="K516:K517" si="91">IF(J$477=0,0,J516/J$477)</f>
        <v>0</v>
      </c>
    </row>
    <row r="517" spans="2:11" ht="17" hidden="1" outlineLevel="1" thickBot="1">
      <c r="B517" s="121"/>
      <c r="C517" s="2085" t="s">
        <v>225</v>
      </c>
      <c r="D517" s="510">
        <v>0</v>
      </c>
      <c r="E517" s="634">
        <f t="shared" si="83"/>
        <v>0</v>
      </c>
      <c r="F517" s="510">
        <v>0</v>
      </c>
      <c r="G517" s="634">
        <f t="shared" si="83"/>
        <v>0</v>
      </c>
      <c r="H517" s="510">
        <v>0</v>
      </c>
      <c r="I517" s="634">
        <f t="shared" si="90"/>
        <v>0</v>
      </c>
      <c r="J517" s="510">
        <v>0</v>
      </c>
      <c r="K517" s="634">
        <f t="shared" si="91"/>
        <v>0</v>
      </c>
    </row>
    <row r="518" spans="2:11" ht="17" hidden="1" outlineLevel="1" thickBot="1">
      <c r="B518" s="121"/>
      <c r="C518" s="2101"/>
      <c r="D518" s="281"/>
      <c r="E518" s="634"/>
      <c r="F518" s="281"/>
      <c r="G518" s="634"/>
      <c r="H518" s="281"/>
      <c r="I518" s="634"/>
      <c r="J518" s="281"/>
      <c r="K518" s="634"/>
    </row>
    <row r="519" spans="2:11" ht="17" hidden="1" outlineLevel="1" thickBot="1">
      <c r="B519" s="121"/>
      <c r="C519" s="2085" t="s">
        <v>226</v>
      </c>
      <c r="D519" s="510">
        <f>D516-D517</f>
        <v>0</v>
      </c>
      <c r="E519" s="634">
        <f t="shared" si="83"/>
        <v>0</v>
      </c>
      <c r="F519" s="510">
        <f>F516-F517</f>
        <v>0</v>
      </c>
      <c r="G519" s="634">
        <f t="shared" si="83"/>
        <v>0</v>
      </c>
      <c r="H519" s="510">
        <f>H516-H517</f>
        <v>0</v>
      </c>
      <c r="I519" s="634">
        <f t="shared" ref="I519" si="92">IF(H$477=0,0,H519/H$477)</f>
        <v>0</v>
      </c>
      <c r="J519" s="510">
        <f>J516-J517</f>
        <v>0</v>
      </c>
      <c r="K519" s="634">
        <f t="shared" ref="K519" si="93">IF(J$477=0,0,J519/J$477)</f>
        <v>0</v>
      </c>
    </row>
    <row r="520" spans="2:11" ht="17" hidden="1" outlineLevel="1" thickBot="1">
      <c r="B520" s="121"/>
      <c r="C520" s="270"/>
      <c r="D520" s="241"/>
      <c r="E520" s="321"/>
      <c r="F520" s="241"/>
      <c r="G520" s="321"/>
      <c r="H520" s="241"/>
      <c r="I520" s="321"/>
      <c r="J520" s="241"/>
      <c r="K520" s="2174"/>
    </row>
    <row r="521" spans="2:11" ht="17" hidden="1" outlineLevel="1" thickBot="1">
      <c r="B521" s="121"/>
      <c r="C521" s="2102" t="s">
        <v>227</v>
      </c>
      <c r="D521" s="122"/>
      <c r="E521" s="122"/>
      <c r="F521" s="122"/>
      <c r="G521" s="122"/>
      <c r="H521" s="122"/>
      <c r="I521" s="122"/>
      <c r="J521" s="122"/>
      <c r="K521" s="120"/>
    </row>
    <row r="522" spans="2:11" ht="17" hidden="1" outlineLevel="1" thickBot="1">
      <c r="B522" s="121"/>
      <c r="C522" s="2103" t="s">
        <v>2007</v>
      </c>
      <c r="D522" s="2104">
        <f>D482</f>
        <v>0</v>
      </c>
      <c r="E522" s="122"/>
      <c r="F522" s="2104">
        <f>F482</f>
        <v>0</v>
      </c>
      <c r="G522" s="122"/>
      <c r="H522" s="2104">
        <f>H482</f>
        <v>0</v>
      </c>
      <c r="I522" s="122"/>
      <c r="J522" s="2104">
        <f>J482</f>
        <v>0</v>
      </c>
      <c r="K522" s="195"/>
    </row>
    <row r="523" spans="2:11" ht="17" hidden="1" outlineLevel="1" thickBot="1">
      <c r="B523" s="121"/>
      <c r="C523" s="2105" t="s">
        <v>2008</v>
      </c>
      <c r="D523" s="2104">
        <f>D489</f>
        <v>0</v>
      </c>
      <c r="E523" s="122"/>
      <c r="F523" s="2104">
        <f>F489</f>
        <v>0</v>
      </c>
      <c r="G523" s="122"/>
      <c r="H523" s="2104">
        <f>H489</f>
        <v>0</v>
      </c>
      <c r="I523" s="122"/>
      <c r="J523" s="2104">
        <f>J489</f>
        <v>0</v>
      </c>
      <c r="K523" s="195"/>
    </row>
    <row r="524" spans="2:11" ht="17" hidden="1" outlineLevel="1" thickBot="1">
      <c r="B524" s="121"/>
      <c r="C524" s="2105" t="s">
        <v>2009</v>
      </c>
      <c r="D524" s="2104">
        <f>D488</f>
        <v>0</v>
      </c>
      <c r="E524" s="122"/>
      <c r="F524" s="2104">
        <f>F488</f>
        <v>0</v>
      </c>
      <c r="G524" s="122"/>
      <c r="H524" s="2104">
        <f>H488</f>
        <v>0</v>
      </c>
      <c r="I524" s="122"/>
      <c r="J524" s="2104">
        <f>J488</f>
        <v>0</v>
      </c>
      <c r="K524" s="195"/>
    </row>
    <row r="525" spans="2:11" ht="17" hidden="1" outlineLevel="1" thickBot="1">
      <c r="B525" s="121"/>
      <c r="C525" s="2105" t="s">
        <v>2010</v>
      </c>
      <c r="D525" s="2104">
        <f>D486</f>
        <v>0</v>
      </c>
      <c r="E525" s="122"/>
      <c r="F525" s="2104">
        <f>F486</f>
        <v>0</v>
      </c>
      <c r="G525" s="122"/>
      <c r="H525" s="2104">
        <f>H486</f>
        <v>0</v>
      </c>
      <c r="I525" s="122"/>
      <c r="J525" s="2104">
        <f>J486</f>
        <v>0</v>
      </c>
      <c r="K525" s="195"/>
    </row>
    <row r="526" spans="2:11" ht="16" hidden="1" outlineLevel="1" thickBot="1">
      <c r="B526" s="121"/>
      <c r="C526" s="2106" t="s">
        <v>228</v>
      </c>
      <c r="D526" s="498"/>
      <c r="E526" s="122"/>
      <c r="F526" s="498"/>
      <c r="G526" s="122"/>
      <c r="H526" s="498"/>
      <c r="I526" s="122"/>
      <c r="J526" s="498"/>
      <c r="K526" s="195"/>
    </row>
    <row r="527" spans="2:11" ht="16" hidden="1" outlineLevel="1" thickBot="1">
      <c r="B527" s="121"/>
      <c r="C527" s="2106" t="s">
        <v>228</v>
      </c>
      <c r="D527" s="498"/>
      <c r="E527" s="122"/>
      <c r="F527" s="498"/>
      <c r="G527" s="122"/>
      <c r="H527" s="498"/>
      <c r="I527" s="122"/>
      <c r="J527" s="498"/>
      <c r="K527" s="195"/>
    </row>
    <row r="528" spans="2:11" ht="17" hidden="1" outlineLevel="1" thickBot="1">
      <c r="B528" s="121"/>
      <c r="C528" s="2107" t="s">
        <v>2016</v>
      </c>
      <c r="D528" s="498"/>
      <c r="E528" s="122"/>
      <c r="F528" s="498"/>
      <c r="G528" s="122"/>
      <c r="H528" s="498"/>
      <c r="I528" s="122"/>
      <c r="J528" s="498"/>
      <c r="K528" s="195"/>
    </row>
    <row r="529" spans="2:11" ht="17" hidden="1" outlineLevel="1" thickBot="1">
      <c r="B529" s="121"/>
      <c r="C529" s="2108" t="s">
        <v>229</v>
      </c>
      <c r="D529" s="2109"/>
      <c r="E529" s="122"/>
      <c r="F529" s="2109"/>
      <c r="G529" s="122"/>
      <c r="H529" s="2109"/>
      <c r="I529" s="122"/>
      <c r="J529" s="2109"/>
      <c r="K529" s="195"/>
    </row>
    <row r="530" spans="2:11" ht="17" hidden="1" outlineLevel="1" thickBot="1">
      <c r="B530" s="121"/>
      <c r="C530" s="2108"/>
      <c r="D530" s="122"/>
      <c r="E530" s="122"/>
      <c r="F530" s="122"/>
      <c r="G530" s="122"/>
      <c r="H530" s="122"/>
      <c r="I530" s="122"/>
      <c r="J530" s="122"/>
      <c r="K530" s="195"/>
    </row>
    <row r="531" spans="2:11" ht="17" hidden="1" outlineLevel="1" thickBot="1">
      <c r="B531" s="121"/>
      <c r="C531" s="2108" t="s">
        <v>230</v>
      </c>
      <c r="D531" s="2110">
        <f>D519+SUM(D522:D529)</f>
        <v>0</v>
      </c>
      <c r="E531" s="2108"/>
      <c r="F531" s="2110">
        <f>F519+SUM(F522:F529)</f>
        <v>0</v>
      </c>
      <c r="G531" s="2108"/>
      <c r="H531" s="2110">
        <f>H519+SUM(H522:H529)</f>
        <v>0</v>
      </c>
      <c r="I531" s="2108"/>
      <c r="J531" s="2110">
        <f>J519+SUM(J522:J529)</f>
        <v>0</v>
      </c>
      <c r="K531" s="195"/>
    </row>
    <row r="532" spans="2:11" ht="17" hidden="1" outlineLevel="1" thickBot="1">
      <c r="B532" s="121"/>
      <c r="C532" s="2108"/>
      <c r="D532" s="122"/>
      <c r="E532" s="122"/>
      <c r="F532" s="122"/>
      <c r="G532" s="122"/>
      <c r="H532" s="122"/>
      <c r="I532" s="122"/>
      <c r="J532" s="122"/>
      <c r="K532" s="195"/>
    </row>
    <row r="533" spans="2:11" ht="17" hidden="1" outlineLevel="1" thickBot="1">
      <c r="B533" s="121"/>
      <c r="C533" s="270" t="s">
        <v>2017</v>
      </c>
      <c r="D533" s="498"/>
      <c r="E533" s="122"/>
      <c r="F533" s="498"/>
      <c r="G533" s="122"/>
      <c r="H533" s="498"/>
      <c r="I533" s="122"/>
      <c r="J533" s="498"/>
      <c r="K533" s="195"/>
    </row>
    <row r="534" spans="2:11" ht="17" hidden="1" outlineLevel="1" thickBot="1">
      <c r="B534" s="121"/>
      <c r="C534" s="270" t="s">
        <v>231</v>
      </c>
      <c r="D534" s="2175">
        <f>D533*D464</f>
        <v>0</v>
      </c>
      <c r="E534" s="122"/>
      <c r="F534" s="2175">
        <f>F533*F464</f>
        <v>0</v>
      </c>
      <c r="G534" s="122"/>
      <c r="H534" s="2175">
        <f>H533*H464</f>
        <v>0</v>
      </c>
      <c r="I534" s="122"/>
      <c r="J534" s="2175">
        <f>J533*J464</f>
        <v>0</v>
      </c>
      <c r="K534" s="195"/>
    </row>
    <row r="535" spans="2:11" ht="16" hidden="1" outlineLevel="1" thickBot="1">
      <c r="B535" s="121"/>
      <c r="C535" s="122"/>
      <c r="D535" s="122"/>
      <c r="E535" s="122"/>
      <c r="F535" s="122"/>
      <c r="G535" s="122"/>
      <c r="H535" s="122"/>
      <c r="I535" s="122"/>
      <c r="J535" s="122"/>
      <c r="K535" s="195"/>
    </row>
    <row r="536" spans="2:11" ht="17" hidden="1" outlineLevel="1" thickBot="1">
      <c r="B536" s="121"/>
      <c r="C536" s="2085" t="s">
        <v>238</v>
      </c>
      <c r="D536" s="2176">
        <f>IFERROR((D531)/D534,0)</f>
        <v>0</v>
      </c>
      <c r="E536" s="122"/>
      <c r="F536" s="2176">
        <f>IFERROR((F531)/F534,0)</f>
        <v>0</v>
      </c>
      <c r="G536" s="122"/>
      <c r="H536" s="2176">
        <f>IFERROR((H531)/H534,0)</f>
        <v>0</v>
      </c>
      <c r="I536" s="122"/>
      <c r="J536" s="2176">
        <f>IFERROR((J531)/J534,0)</f>
        <v>0</v>
      </c>
      <c r="K536" s="195"/>
    </row>
    <row r="537" spans="2:11" ht="16" collapsed="1" thickBot="1">
      <c r="B537" s="2379" t="s">
        <v>2024</v>
      </c>
      <c r="C537" s="2380"/>
      <c r="D537" s="2380"/>
      <c r="E537" s="494"/>
      <c r="F537" s="494"/>
      <c r="G537" s="494"/>
      <c r="H537" s="494"/>
      <c r="I537" s="494"/>
      <c r="J537" s="494"/>
      <c r="K537" s="495"/>
    </row>
    <row r="538" spans="2:11" ht="16" thickBot="1">
      <c r="B538" s="2177"/>
      <c r="C538" s="2177"/>
      <c r="D538" s="2177"/>
      <c r="E538" s="2178"/>
      <c r="F538" s="2178"/>
      <c r="G538" s="2178"/>
      <c r="H538" s="2178"/>
      <c r="I538" s="2178"/>
      <c r="J538" s="2178"/>
      <c r="K538" s="2178"/>
    </row>
    <row r="539" spans="2:11" ht="17" hidden="1" outlineLevel="1" thickBot="1">
      <c r="B539" s="2304" t="s">
        <v>177</v>
      </c>
      <c r="C539" s="2305"/>
      <c r="D539" s="2305"/>
      <c r="E539" s="2305"/>
      <c r="F539" s="2305"/>
      <c r="G539" s="2305"/>
      <c r="H539" s="2305"/>
      <c r="I539" s="2305"/>
      <c r="J539" s="2305"/>
      <c r="K539" s="2306"/>
    </row>
    <row r="540" spans="2:11" ht="17" hidden="1" outlineLevel="1" thickBot="1">
      <c r="B540" s="2383" t="s">
        <v>2025</v>
      </c>
      <c r="C540" s="2385"/>
      <c r="D540" s="2385"/>
      <c r="E540" s="2385"/>
      <c r="F540" s="2385"/>
      <c r="G540" s="2385"/>
      <c r="H540" s="2385"/>
      <c r="I540" s="2385"/>
      <c r="J540" s="2385"/>
      <c r="K540" s="2386"/>
    </row>
    <row r="541" spans="2:11" ht="17" hidden="1" outlineLevel="1" thickBot="1">
      <c r="B541" s="2077" t="s">
        <v>2001</v>
      </c>
      <c r="C541" s="2078"/>
      <c r="D541" s="237"/>
      <c r="E541" s="237"/>
      <c r="F541" s="237"/>
      <c r="G541" s="237"/>
      <c r="H541" s="237"/>
      <c r="I541" s="237"/>
      <c r="J541" s="237"/>
      <c r="K541" s="263"/>
    </row>
    <row r="542" spans="2:11" ht="17" hidden="1" outlineLevel="1" thickBot="1">
      <c r="B542" s="312" t="s">
        <v>182</v>
      </c>
      <c r="C542" s="270"/>
      <c r="D542" s="135">
        <v>43465</v>
      </c>
      <c r="E542" s="239"/>
      <c r="F542" s="135">
        <f>EOMONTH(D542,F543)</f>
        <v>43830</v>
      </c>
      <c r="G542" s="239"/>
      <c r="H542" s="135">
        <f>EOMONTH(F542,H543)</f>
        <v>44196</v>
      </c>
      <c r="I542" s="239"/>
      <c r="J542" s="135">
        <f>EOMONTH(H542,J543)</f>
        <v>44286</v>
      </c>
      <c r="K542" s="235"/>
    </row>
    <row r="543" spans="2:11" ht="17" hidden="1" outlineLevel="1" thickBot="1">
      <c r="B543" s="312" t="s">
        <v>183</v>
      </c>
      <c r="C543" s="270"/>
      <c r="D543" s="136">
        <v>12</v>
      </c>
      <c r="E543" s="316"/>
      <c r="F543" s="136">
        <v>12</v>
      </c>
      <c r="G543" s="316"/>
      <c r="H543" s="136">
        <v>12</v>
      </c>
      <c r="I543" s="316"/>
      <c r="J543" s="136">
        <v>3</v>
      </c>
      <c r="K543" s="322"/>
    </row>
    <row r="544" spans="2:11" ht="17" hidden="1" outlineLevel="1" thickBot="1">
      <c r="B544" s="312" t="s">
        <v>185</v>
      </c>
      <c r="C544" s="270"/>
      <c r="D544" s="137"/>
      <c r="E544" s="317"/>
      <c r="F544" s="137"/>
      <c r="G544" s="317"/>
      <c r="H544" s="137"/>
      <c r="I544" s="317"/>
      <c r="J544" s="137"/>
      <c r="K544" s="322"/>
    </row>
    <row r="545" spans="2:11" ht="17" hidden="1" outlineLevel="1" thickBot="1">
      <c r="B545" s="312" t="s">
        <v>188</v>
      </c>
      <c r="C545" s="270"/>
      <c r="D545" s="137"/>
      <c r="E545" s="317"/>
      <c r="F545" s="137"/>
      <c r="G545" s="317"/>
      <c r="H545" s="137"/>
      <c r="I545" s="317"/>
      <c r="J545" s="137"/>
      <c r="K545" s="322"/>
    </row>
    <row r="546" spans="2:11" ht="17" hidden="1" outlineLevel="1" thickBot="1">
      <c r="B546" s="236" t="s">
        <v>189</v>
      </c>
      <c r="C546" s="234"/>
      <c r="D546" s="314"/>
      <c r="E546" s="315"/>
      <c r="F546" s="314"/>
      <c r="G546" s="315"/>
      <c r="H546" s="314"/>
      <c r="I546" s="315"/>
      <c r="J546" s="314"/>
      <c r="K546" s="323"/>
    </row>
    <row r="547" spans="2:11" ht="17" hidden="1" outlineLevel="1" thickBot="1">
      <c r="B547" s="269" t="s">
        <v>190</v>
      </c>
      <c r="C547" s="1052" t="s">
        <v>2002</v>
      </c>
      <c r="D547" s="4"/>
      <c r="E547" s="634">
        <f>IF(D$556=0,0,D547/D$556)</f>
        <v>0</v>
      </c>
      <c r="F547" s="4"/>
      <c r="G547" s="634">
        <f>IF(F$556=0,0,F547/F$556)</f>
        <v>0</v>
      </c>
      <c r="H547" s="4"/>
      <c r="I547" s="634">
        <f>IF(H$556=0,0,H547/H$556)</f>
        <v>0</v>
      </c>
      <c r="J547" s="4"/>
      <c r="K547" s="634">
        <f>IF(J$556=0,0,J547/J$556)</f>
        <v>0</v>
      </c>
    </row>
    <row r="548" spans="2:11" ht="17" hidden="1" outlineLevel="1" thickBot="1">
      <c r="B548" s="269" t="s">
        <v>191</v>
      </c>
      <c r="C548" s="2081" t="s">
        <v>2002</v>
      </c>
      <c r="D548" s="5"/>
      <c r="E548" s="634">
        <f t="shared" ref="E548:G558" si="94">IF(D$556=0,0,D548/D$556)</f>
        <v>0</v>
      </c>
      <c r="F548" s="5"/>
      <c r="G548" s="634">
        <f t="shared" si="94"/>
        <v>0</v>
      </c>
      <c r="H548" s="5"/>
      <c r="I548" s="634">
        <f t="shared" ref="I548:I558" si="95">IF(H$556=0,0,H548/H$556)</f>
        <v>0</v>
      </c>
      <c r="J548" s="5"/>
      <c r="K548" s="634">
        <f t="shared" ref="K548:K558" si="96">IF(J$556=0,0,J548/J$556)</f>
        <v>0</v>
      </c>
    </row>
    <row r="549" spans="2:11" ht="17" hidden="1" outlineLevel="2" thickBot="1">
      <c r="B549" s="269" t="s">
        <v>2003</v>
      </c>
      <c r="C549" s="2082" t="s">
        <v>2002</v>
      </c>
      <c r="D549" s="333">
        <f>D547-D548</f>
        <v>0</v>
      </c>
      <c r="E549" s="634">
        <f t="shared" si="94"/>
        <v>0</v>
      </c>
      <c r="F549" s="333">
        <f>F547-F548</f>
        <v>0</v>
      </c>
      <c r="G549" s="634">
        <f t="shared" si="94"/>
        <v>0</v>
      </c>
      <c r="H549" s="333">
        <f>H547-H548</f>
        <v>0</v>
      </c>
      <c r="I549" s="634">
        <f t="shared" si="95"/>
        <v>0</v>
      </c>
      <c r="J549" s="333">
        <f>J547-J548</f>
        <v>0</v>
      </c>
      <c r="K549" s="634">
        <f t="shared" si="96"/>
        <v>0</v>
      </c>
    </row>
    <row r="550" spans="2:11" ht="17" hidden="1" outlineLevel="2" thickBot="1">
      <c r="B550" s="269" t="s">
        <v>190</v>
      </c>
      <c r="C550" s="2083" t="s">
        <v>2004</v>
      </c>
      <c r="D550" s="5"/>
      <c r="E550" s="634">
        <f t="shared" si="94"/>
        <v>0</v>
      </c>
      <c r="F550" s="5"/>
      <c r="G550" s="634">
        <f t="shared" si="94"/>
        <v>0</v>
      </c>
      <c r="H550" s="5"/>
      <c r="I550" s="634">
        <f t="shared" si="95"/>
        <v>0</v>
      </c>
      <c r="J550" s="5"/>
      <c r="K550" s="634">
        <f t="shared" si="96"/>
        <v>0</v>
      </c>
    </row>
    <row r="551" spans="2:11" ht="17" hidden="1" outlineLevel="2" thickBot="1">
      <c r="B551" s="269" t="s">
        <v>191</v>
      </c>
      <c r="C551" s="2083" t="s">
        <v>2004</v>
      </c>
      <c r="D551" s="5"/>
      <c r="E551" s="634">
        <f t="shared" si="94"/>
        <v>0</v>
      </c>
      <c r="F551" s="5"/>
      <c r="G551" s="634">
        <f t="shared" si="94"/>
        <v>0</v>
      </c>
      <c r="H551" s="5"/>
      <c r="I551" s="634">
        <f t="shared" si="95"/>
        <v>0</v>
      </c>
      <c r="J551" s="5"/>
      <c r="K551" s="634">
        <f t="shared" si="96"/>
        <v>0</v>
      </c>
    </row>
    <row r="552" spans="2:11" ht="17" hidden="1" outlineLevel="2" thickBot="1">
      <c r="B552" s="269" t="s">
        <v>2003</v>
      </c>
      <c r="C552" s="2082" t="s">
        <v>2004</v>
      </c>
      <c r="D552" s="333">
        <f>D550-D551</f>
        <v>0</v>
      </c>
      <c r="E552" s="634">
        <f t="shared" si="94"/>
        <v>0</v>
      </c>
      <c r="F552" s="333">
        <f>F550-F551</f>
        <v>0</v>
      </c>
      <c r="G552" s="634">
        <f t="shared" si="94"/>
        <v>0</v>
      </c>
      <c r="H552" s="333">
        <f>H550-H551</f>
        <v>0</v>
      </c>
      <c r="I552" s="634">
        <f t="shared" si="95"/>
        <v>0</v>
      </c>
      <c r="J552" s="333">
        <f>J550-J551</f>
        <v>0</v>
      </c>
      <c r="K552" s="634">
        <f t="shared" si="96"/>
        <v>0</v>
      </c>
    </row>
    <row r="553" spans="2:11" ht="17" hidden="1" outlineLevel="2" thickBot="1">
      <c r="B553" s="269" t="s">
        <v>190</v>
      </c>
      <c r="C553" s="2083" t="s">
        <v>2005</v>
      </c>
      <c r="D553" s="5"/>
      <c r="E553" s="634">
        <f t="shared" si="94"/>
        <v>0</v>
      </c>
      <c r="F553" s="5"/>
      <c r="G553" s="634">
        <f t="shared" si="94"/>
        <v>0</v>
      </c>
      <c r="H553" s="5"/>
      <c r="I553" s="634">
        <f t="shared" si="95"/>
        <v>0</v>
      </c>
      <c r="J553" s="5"/>
      <c r="K553" s="634">
        <f t="shared" si="96"/>
        <v>0</v>
      </c>
    </row>
    <row r="554" spans="2:11" ht="17" hidden="1" outlineLevel="2" thickBot="1">
      <c r="B554" s="269" t="s">
        <v>191</v>
      </c>
      <c r="C554" s="2083" t="s">
        <v>2005</v>
      </c>
      <c r="D554" s="5"/>
      <c r="E554" s="634">
        <f t="shared" si="94"/>
        <v>0</v>
      </c>
      <c r="F554" s="5"/>
      <c r="G554" s="634">
        <f t="shared" si="94"/>
        <v>0</v>
      </c>
      <c r="H554" s="5"/>
      <c r="I554" s="634">
        <f t="shared" si="95"/>
        <v>0</v>
      </c>
      <c r="J554" s="5"/>
      <c r="K554" s="634">
        <f t="shared" si="96"/>
        <v>0</v>
      </c>
    </row>
    <row r="555" spans="2:11" ht="17" hidden="1" outlineLevel="2" thickBot="1">
      <c r="B555" s="2084" t="s">
        <v>2003</v>
      </c>
      <c r="C555" s="2082" t="s">
        <v>2005</v>
      </c>
      <c r="D555" s="333">
        <f>D553-D554</f>
        <v>0</v>
      </c>
      <c r="E555" s="634">
        <f t="shared" si="94"/>
        <v>0</v>
      </c>
      <c r="F555" s="333">
        <f>F553-F554</f>
        <v>0</v>
      </c>
      <c r="G555" s="634">
        <f t="shared" si="94"/>
        <v>0</v>
      </c>
      <c r="H555" s="333">
        <f>H553-H554</f>
        <v>0</v>
      </c>
      <c r="I555" s="634">
        <f t="shared" si="95"/>
        <v>0</v>
      </c>
      <c r="J555" s="333">
        <f>J553-J554</f>
        <v>0</v>
      </c>
      <c r="K555" s="634">
        <f t="shared" si="96"/>
        <v>0</v>
      </c>
    </row>
    <row r="556" spans="2:11" ht="17" hidden="1" outlineLevel="1" collapsed="1" thickBot="1">
      <c r="B556" s="159" t="s">
        <v>2006</v>
      </c>
      <c r="C556" s="2085" t="s">
        <v>194</v>
      </c>
      <c r="D556" s="506">
        <f>D547+D550+D553</f>
        <v>0</v>
      </c>
      <c r="E556" s="634">
        <f t="shared" si="94"/>
        <v>0</v>
      </c>
      <c r="F556" s="506">
        <f>F547+F550+F553</f>
        <v>0</v>
      </c>
      <c r="G556" s="634">
        <f t="shared" si="94"/>
        <v>0</v>
      </c>
      <c r="H556" s="506">
        <f>H547+H550+H553</f>
        <v>0</v>
      </c>
      <c r="I556" s="634">
        <f t="shared" si="95"/>
        <v>0</v>
      </c>
      <c r="J556" s="506">
        <f>J547+J550+J553</f>
        <v>0</v>
      </c>
      <c r="K556" s="634">
        <f t="shared" si="96"/>
        <v>0</v>
      </c>
    </row>
    <row r="557" spans="2:11" ht="17" hidden="1" outlineLevel="1" thickBot="1">
      <c r="B557" s="121"/>
      <c r="C557" s="2085" t="s">
        <v>195</v>
      </c>
      <c r="D557" s="507">
        <f>D548+D551+D554</f>
        <v>0</v>
      </c>
      <c r="E557" s="634">
        <f t="shared" si="94"/>
        <v>0</v>
      </c>
      <c r="F557" s="507">
        <f>F548+F551+F554</f>
        <v>0</v>
      </c>
      <c r="G557" s="634">
        <f t="shared" si="94"/>
        <v>0</v>
      </c>
      <c r="H557" s="507">
        <f>H548+H551+H554</f>
        <v>0</v>
      </c>
      <c r="I557" s="634">
        <f t="shared" si="95"/>
        <v>0</v>
      </c>
      <c r="J557" s="507">
        <f>J548+J551+J554</f>
        <v>0</v>
      </c>
      <c r="K557" s="634">
        <f t="shared" si="96"/>
        <v>0</v>
      </c>
    </row>
    <row r="558" spans="2:11" ht="17" hidden="1" outlineLevel="1" thickBot="1">
      <c r="B558" s="121"/>
      <c r="C558" s="2085" t="s">
        <v>196</v>
      </c>
      <c r="D558" s="508">
        <f>D556-D557</f>
        <v>0</v>
      </c>
      <c r="E558" s="634">
        <f t="shared" si="94"/>
        <v>0</v>
      </c>
      <c r="F558" s="508">
        <f>F556-F557</f>
        <v>0</v>
      </c>
      <c r="G558" s="634">
        <f t="shared" si="94"/>
        <v>0</v>
      </c>
      <c r="H558" s="508">
        <f>H556-H557</f>
        <v>0</v>
      </c>
      <c r="I558" s="634">
        <f t="shared" si="95"/>
        <v>0</v>
      </c>
      <c r="J558" s="508">
        <f>J556-J557</f>
        <v>0</v>
      </c>
      <c r="K558" s="634">
        <f t="shared" si="96"/>
        <v>0</v>
      </c>
    </row>
    <row r="559" spans="2:11" ht="17" hidden="1" outlineLevel="1" thickBot="1">
      <c r="B559" s="121"/>
      <c r="C559" s="2085"/>
      <c r="D559" s="2086"/>
      <c r="E559" s="635"/>
      <c r="F559" s="2086"/>
      <c r="G559" s="635"/>
      <c r="H559" s="2086"/>
      <c r="I559" s="635"/>
      <c r="J559" s="2086"/>
      <c r="K559" s="635"/>
    </row>
    <row r="560" spans="2:11" ht="17" hidden="1" outlineLevel="1" thickBot="1">
      <c r="B560" s="121"/>
      <c r="C560" s="2085" t="s">
        <v>197</v>
      </c>
      <c r="D560" s="509"/>
      <c r="E560" s="634"/>
      <c r="F560" s="509"/>
      <c r="G560" s="634"/>
      <c r="H560" s="509"/>
      <c r="I560" s="634"/>
      <c r="J560" s="509"/>
      <c r="K560" s="634"/>
    </row>
    <row r="561" spans="2:11" ht="17" hidden="1" outlineLevel="1" thickBot="1">
      <c r="B561" s="121"/>
      <c r="C561" s="270" t="s">
        <v>198</v>
      </c>
      <c r="D561" s="5"/>
      <c r="E561" s="634">
        <f t="shared" ref="E561:G598" si="97">IF(D$556=0,0,D561/D$556)</f>
        <v>0</v>
      </c>
      <c r="F561" s="5"/>
      <c r="G561" s="634">
        <f t="shared" si="97"/>
        <v>0</v>
      </c>
      <c r="H561" s="5"/>
      <c r="I561" s="634">
        <f t="shared" ref="I561:I585" si="98">IF(H$556=0,0,H561/H$556)</f>
        <v>0</v>
      </c>
      <c r="J561" s="5"/>
      <c r="K561" s="634">
        <f t="shared" ref="K561:K585" si="99">IF(J$556=0,0,J561/J$556)</f>
        <v>0</v>
      </c>
    </row>
    <row r="562" spans="2:11" ht="17" hidden="1" outlineLevel="1" thickBot="1">
      <c r="B562" s="121"/>
      <c r="C562" s="270" t="s">
        <v>200</v>
      </c>
      <c r="D562" s="5"/>
      <c r="E562" s="634">
        <f t="shared" si="97"/>
        <v>0</v>
      </c>
      <c r="F562" s="5"/>
      <c r="G562" s="634">
        <f t="shared" si="97"/>
        <v>0</v>
      </c>
      <c r="H562" s="5"/>
      <c r="I562" s="634">
        <f t="shared" si="98"/>
        <v>0</v>
      </c>
      <c r="J562" s="5"/>
      <c r="K562" s="634">
        <f t="shared" si="99"/>
        <v>0</v>
      </c>
    </row>
    <row r="563" spans="2:11" ht="17" hidden="1" outlineLevel="1" thickBot="1">
      <c r="B563" s="121"/>
      <c r="C563" s="270" t="s">
        <v>201</v>
      </c>
      <c r="D563" s="5"/>
      <c r="E563" s="634">
        <f t="shared" si="97"/>
        <v>0</v>
      </c>
      <c r="F563" s="5"/>
      <c r="G563" s="634">
        <f t="shared" si="97"/>
        <v>0</v>
      </c>
      <c r="H563" s="5"/>
      <c r="I563" s="634">
        <f t="shared" si="98"/>
        <v>0</v>
      </c>
      <c r="J563" s="5"/>
      <c r="K563" s="634">
        <f t="shared" si="99"/>
        <v>0</v>
      </c>
    </row>
    <row r="564" spans="2:11" ht="17" hidden="1" outlineLevel="1" thickBot="1">
      <c r="B564" s="121"/>
      <c r="C564" s="270" t="s">
        <v>202</v>
      </c>
      <c r="D564" s="5"/>
      <c r="E564" s="634">
        <f t="shared" si="97"/>
        <v>0</v>
      </c>
      <c r="F564" s="5"/>
      <c r="G564" s="634">
        <f t="shared" si="97"/>
        <v>0</v>
      </c>
      <c r="H564" s="5"/>
      <c r="I564" s="634">
        <f t="shared" si="98"/>
        <v>0</v>
      </c>
      <c r="J564" s="5"/>
      <c r="K564" s="634">
        <f t="shared" si="99"/>
        <v>0</v>
      </c>
    </row>
    <row r="565" spans="2:11" ht="17" hidden="1" outlineLevel="1" thickBot="1">
      <c r="B565" s="121"/>
      <c r="C565" s="270" t="s">
        <v>203</v>
      </c>
      <c r="D565" s="5"/>
      <c r="E565" s="634">
        <f t="shared" si="97"/>
        <v>0</v>
      </c>
      <c r="F565" s="5"/>
      <c r="G565" s="634">
        <f t="shared" si="97"/>
        <v>0</v>
      </c>
      <c r="H565" s="5"/>
      <c r="I565" s="634">
        <f t="shared" si="98"/>
        <v>0</v>
      </c>
      <c r="J565" s="5"/>
      <c r="K565" s="634">
        <f t="shared" si="99"/>
        <v>0</v>
      </c>
    </row>
    <row r="566" spans="2:11" ht="17" hidden="1" outlineLevel="1" thickBot="1">
      <c r="B566" s="121"/>
      <c r="C566" s="270" t="s">
        <v>204</v>
      </c>
      <c r="D566" s="5"/>
      <c r="E566" s="634">
        <f t="shared" si="97"/>
        <v>0</v>
      </c>
      <c r="F566" s="5"/>
      <c r="G566" s="634">
        <f t="shared" si="97"/>
        <v>0</v>
      </c>
      <c r="H566" s="5"/>
      <c r="I566" s="634">
        <f t="shared" si="98"/>
        <v>0</v>
      </c>
      <c r="J566" s="5"/>
      <c r="K566" s="634">
        <f t="shared" si="99"/>
        <v>0</v>
      </c>
    </row>
    <row r="567" spans="2:11" ht="17" hidden="1" outlineLevel="1" thickBot="1">
      <c r="B567" s="121"/>
      <c r="C567" s="270" t="s">
        <v>205</v>
      </c>
      <c r="D567" s="5"/>
      <c r="E567" s="634">
        <f t="shared" si="97"/>
        <v>0</v>
      </c>
      <c r="F567" s="5"/>
      <c r="G567" s="634">
        <f t="shared" si="97"/>
        <v>0</v>
      </c>
      <c r="H567" s="5"/>
      <c r="I567" s="634">
        <f t="shared" si="98"/>
        <v>0</v>
      </c>
      <c r="J567" s="5"/>
      <c r="K567" s="634">
        <f t="shared" si="99"/>
        <v>0</v>
      </c>
    </row>
    <row r="568" spans="2:11" ht="17" hidden="1" outlineLevel="1" thickBot="1">
      <c r="B568" s="121"/>
      <c r="C568" s="270" t="s">
        <v>206</v>
      </c>
      <c r="D568" s="5"/>
      <c r="E568" s="634">
        <f t="shared" si="97"/>
        <v>0</v>
      </c>
      <c r="F568" s="5"/>
      <c r="G568" s="634">
        <f t="shared" si="97"/>
        <v>0</v>
      </c>
      <c r="H568" s="5"/>
      <c r="I568" s="634">
        <f t="shared" si="98"/>
        <v>0</v>
      </c>
      <c r="J568" s="5"/>
      <c r="K568" s="634">
        <f t="shared" si="99"/>
        <v>0</v>
      </c>
    </row>
    <row r="569" spans="2:11" ht="17" hidden="1" outlineLevel="2" thickBot="1">
      <c r="B569" s="121"/>
      <c r="C569" s="270" t="s">
        <v>207</v>
      </c>
      <c r="D569" s="5"/>
      <c r="E569" s="634">
        <f t="shared" si="97"/>
        <v>0</v>
      </c>
      <c r="F569" s="5"/>
      <c r="G569" s="634">
        <f t="shared" si="97"/>
        <v>0</v>
      </c>
      <c r="H569" s="5"/>
      <c r="I569" s="634">
        <f t="shared" si="98"/>
        <v>0</v>
      </c>
      <c r="J569" s="5"/>
      <c r="K569" s="634">
        <f t="shared" si="99"/>
        <v>0</v>
      </c>
    </row>
    <row r="570" spans="2:11" ht="17" hidden="1" outlineLevel="2" thickBot="1">
      <c r="B570" s="121"/>
      <c r="C570" s="270" t="s">
        <v>208</v>
      </c>
      <c r="D570" s="5"/>
      <c r="E570" s="634">
        <f t="shared" si="97"/>
        <v>0</v>
      </c>
      <c r="F570" s="5"/>
      <c r="G570" s="634">
        <f t="shared" si="97"/>
        <v>0</v>
      </c>
      <c r="H570" s="5"/>
      <c r="I570" s="634">
        <f t="shared" si="98"/>
        <v>0</v>
      </c>
      <c r="J570" s="5"/>
      <c r="K570" s="634">
        <f t="shared" si="99"/>
        <v>0</v>
      </c>
    </row>
    <row r="571" spans="2:11" ht="17" hidden="1" outlineLevel="2" thickBot="1">
      <c r="B571" s="121"/>
      <c r="C571" s="270" t="s">
        <v>209</v>
      </c>
      <c r="D571" s="5"/>
      <c r="E571" s="634">
        <f t="shared" si="97"/>
        <v>0</v>
      </c>
      <c r="F571" s="5"/>
      <c r="G571" s="634">
        <f t="shared" si="97"/>
        <v>0</v>
      </c>
      <c r="H571" s="5"/>
      <c r="I571" s="634">
        <f t="shared" si="98"/>
        <v>0</v>
      </c>
      <c r="J571" s="5"/>
      <c r="K571" s="634">
        <f t="shared" si="99"/>
        <v>0</v>
      </c>
    </row>
    <row r="572" spans="2:11" ht="17" hidden="1" outlineLevel="2" thickBot="1">
      <c r="B572" s="121"/>
      <c r="C572" s="270" t="s">
        <v>210</v>
      </c>
      <c r="D572" s="5"/>
      <c r="E572" s="634">
        <f t="shared" si="97"/>
        <v>0</v>
      </c>
      <c r="F572" s="5"/>
      <c r="G572" s="634">
        <f t="shared" si="97"/>
        <v>0</v>
      </c>
      <c r="H572" s="5"/>
      <c r="I572" s="634">
        <f t="shared" si="98"/>
        <v>0</v>
      </c>
      <c r="J572" s="5"/>
      <c r="K572" s="634">
        <f t="shared" si="99"/>
        <v>0</v>
      </c>
    </row>
    <row r="573" spans="2:11" ht="17" hidden="1" outlineLevel="2" thickBot="1">
      <c r="B573" s="121"/>
      <c r="C573" s="270" t="s">
        <v>211</v>
      </c>
      <c r="D573" s="5"/>
      <c r="E573" s="634">
        <f t="shared" si="97"/>
        <v>0</v>
      </c>
      <c r="F573" s="5"/>
      <c r="G573" s="634">
        <f t="shared" si="97"/>
        <v>0</v>
      </c>
      <c r="H573" s="5"/>
      <c r="I573" s="634">
        <f t="shared" si="98"/>
        <v>0</v>
      </c>
      <c r="J573" s="5"/>
      <c r="K573" s="634">
        <f t="shared" si="99"/>
        <v>0</v>
      </c>
    </row>
    <row r="574" spans="2:11" ht="17" hidden="1" outlineLevel="2" thickBot="1">
      <c r="B574" s="121"/>
      <c r="C574" s="270" t="s">
        <v>212</v>
      </c>
      <c r="D574" s="5"/>
      <c r="E574" s="634">
        <f t="shared" si="97"/>
        <v>0</v>
      </c>
      <c r="F574" s="5"/>
      <c r="G574" s="634">
        <f t="shared" si="97"/>
        <v>0</v>
      </c>
      <c r="H574" s="5"/>
      <c r="I574" s="634">
        <f t="shared" si="98"/>
        <v>0</v>
      </c>
      <c r="J574" s="5"/>
      <c r="K574" s="634">
        <f t="shared" si="99"/>
        <v>0</v>
      </c>
    </row>
    <row r="575" spans="2:11" ht="17" hidden="1" outlineLevel="2" thickBot="1">
      <c r="B575" s="121"/>
      <c r="C575" s="270" t="s">
        <v>213</v>
      </c>
      <c r="D575" s="5"/>
      <c r="E575" s="634">
        <f t="shared" si="97"/>
        <v>0</v>
      </c>
      <c r="F575" s="5"/>
      <c r="G575" s="634">
        <f t="shared" si="97"/>
        <v>0</v>
      </c>
      <c r="H575" s="5"/>
      <c r="I575" s="634">
        <f t="shared" si="98"/>
        <v>0</v>
      </c>
      <c r="J575" s="5"/>
      <c r="K575" s="634">
        <f t="shared" si="99"/>
        <v>0</v>
      </c>
    </row>
    <row r="576" spans="2:11" ht="17" hidden="1" outlineLevel="2" thickBot="1">
      <c r="B576" s="121"/>
      <c r="C576" s="270" t="s">
        <v>214</v>
      </c>
      <c r="D576" s="5"/>
      <c r="E576" s="634">
        <f t="shared" si="97"/>
        <v>0</v>
      </c>
      <c r="F576" s="5"/>
      <c r="G576" s="634">
        <f t="shared" si="97"/>
        <v>0</v>
      </c>
      <c r="H576" s="5"/>
      <c r="I576" s="634">
        <f t="shared" si="98"/>
        <v>0</v>
      </c>
      <c r="J576" s="5"/>
      <c r="K576" s="634">
        <f t="shared" si="99"/>
        <v>0</v>
      </c>
    </row>
    <row r="577" spans="2:11" ht="17" hidden="1" outlineLevel="2" thickBot="1">
      <c r="B577" s="121"/>
      <c r="C577" s="270" t="s">
        <v>215</v>
      </c>
      <c r="D577" s="5"/>
      <c r="E577" s="634">
        <f t="shared" si="97"/>
        <v>0</v>
      </c>
      <c r="F577" s="5"/>
      <c r="G577" s="634">
        <f t="shared" si="97"/>
        <v>0</v>
      </c>
      <c r="H577" s="5"/>
      <c r="I577" s="634">
        <f t="shared" si="98"/>
        <v>0</v>
      </c>
      <c r="J577" s="5"/>
      <c r="K577" s="634">
        <f t="shared" si="99"/>
        <v>0</v>
      </c>
    </row>
    <row r="578" spans="2:11" ht="17" hidden="1" outlineLevel="2" thickBot="1">
      <c r="B578" s="121"/>
      <c r="C578" s="270" t="s">
        <v>216</v>
      </c>
      <c r="D578" s="5"/>
      <c r="E578" s="634">
        <f t="shared" si="97"/>
        <v>0</v>
      </c>
      <c r="F578" s="5"/>
      <c r="G578" s="634">
        <f t="shared" si="97"/>
        <v>0</v>
      </c>
      <c r="H578" s="5"/>
      <c r="I578" s="634">
        <f t="shared" si="98"/>
        <v>0</v>
      </c>
      <c r="J578" s="5"/>
      <c r="K578" s="634">
        <f t="shared" si="99"/>
        <v>0</v>
      </c>
    </row>
    <row r="579" spans="2:11" ht="17" hidden="1" outlineLevel="2" thickBot="1">
      <c r="B579" s="121"/>
      <c r="C579" s="270" t="s">
        <v>217</v>
      </c>
      <c r="D579" s="5"/>
      <c r="E579" s="634">
        <f t="shared" si="97"/>
        <v>0</v>
      </c>
      <c r="F579" s="5"/>
      <c r="G579" s="634">
        <f t="shared" si="97"/>
        <v>0</v>
      </c>
      <c r="H579" s="5"/>
      <c r="I579" s="634">
        <f t="shared" si="98"/>
        <v>0</v>
      </c>
      <c r="J579" s="5"/>
      <c r="K579" s="634">
        <f t="shared" si="99"/>
        <v>0</v>
      </c>
    </row>
    <row r="580" spans="2:11" ht="17" hidden="1" outlineLevel="2" thickBot="1">
      <c r="B580" s="121"/>
      <c r="C580" s="2097" t="s">
        <v>218</v>
      </c>
      <c r="D580" s="5"/>
      <c r="E580" s="634">
        <f t="shared" si="97"/>
        <v>0</v>
      </c>
      <c r="F580" s="5"/>
      <c r="G580" s="634">
        <f t="shared" si="97"/>
        <v>0</v>
      </c>
      <c r="H580" s="5"/>
      <c r="I580" s="634">
        <f t="shared" si="98"/>
        <v>0</v>
      </c>
      <c r="J580" s="5"/>
      <c r="K580" s="634">
        <f t="shared" si="99"/>
        <v>0</v>
      </c>
    </row>
    <row r="581" spans="2:11" ht="17" hidden="1" outlineLevel="2" thickBot="1">
      <c r="B581" s="121"/>
      <c r="C581" s="2098" t="s">
        <v>218</v>
      </c>
      <c r="D581" s="5"/>
      <c r="E581" s="634">
        <f t="shared" si="97"/>
        <v>0</v>
      </c>
      <c r="F581" s="5"/>
      <c r="G581" s="634">
        <f t="shared" si="97"/>
        <v>0</v>
      </c>
      <c r="H581" s="5"/>
      <c r="I581" s="634">
        <f t="shared" si="98"/>
        <v>0</v>
      </c>
      <c r="J581" s="5"/>
      <c r="K581" s="634">
        <f t="shared" si="99"/>
        <v>0</v>
      </c>
    </row>
    <row r="582" spans="2:11" ht="17" hidden="1" outlineLevel="2" thickBot="1">
      <c r="B582" s="121"/>
      <c r="C582" s="2098" t="s">
        <v>218</v>
      </c>
      <c r="D582" s="5"/>
      <c r="E582" s="634">
        <f t="shared" si="97"/>
        <v>0</v>
      </c>
      <c r="F582" s="5"/>
      <c r="G582" s="634">
        <f t="shared" si="97"/>
        <v>0</v>
      </c>
      <c r="H582" s="5"/>
      <c r="I582" s="634">
        <f t="shared" si="98"/>
        <v>0</v>
      </c>
      <c r="J582" s="5"/>
      <c r="K582" s="634">
        <f t="shared" si="99"/>
        <v>0</v>
      </c>
    </row>
    <row r="583" spans="2:11" ht="17" hidden="1" outlineLevel="1" collapsed="1" thickBot="1">
      <c r="B583" s="159" t="s">
        <v>2006</v>
      </c>
      <c r="C583" s="2098" t="s">
        <v>218</v>
      </c>
      <c r="D583" s="5"/>
      <c r="E583" s="634">
        <f t="shared" si="97"/>
        <v>0</v>
      </c>
      <c r="F583" s="5"/>
      <c r="G583" s="634">
        <f t="shared" si="97"/>
        <v>0</v>
      </c>
      <c r="H583" s="5"/>
      <c r="I583" s="634">
        <f t="shared" si="98"/>
        <v>0</v>
      </c>
      <c r="J583" s="5"/>
      <c r="K583" s="634">
        <f t="shared" si="99"/>
        <v>0</v>
      </c>
    </row>
    <row r="584" spans="2:11" ht="17" hidden="1" outlineLevel="1" thickBot="1">
      <c r="B584" s="121"/>
      <c r="C584" s="2100" t="s">
        <v>218</v>
      </c>
      <c r="D584" s="5"/>
      <c r="E584" s="634">
        <f t="shared" si="97"/>
        <v>0</v>
      </c>
      <c r="F584" s="5"/>
      <c r="G584" s="634">
        <f t="shared" si="97"/>
        <v>0</v>
      </c>
      <c r="H584" s="5"/>
      <c r="I584" s="634">
        <f t="shared" si="98"/>
        <v>0</v>
      </c>
      <c r="J584" s="5"/>
      <c r="K584" s="634">
        <f t="shared" si="99"/>
        <v>0</v>
      </c>
    </row>
    <row r="585" spans="2:11" ht="17" hidden="1" outlineLevel="1" thickBot="1">
      <c r="B585" s="121"/>
      <c r="C585" s="2085" t="s">
        <v>219</v>
      </c>
      <c r="D585" s="510">
        <f>SUM(D561:D584)</f>
        <v>0</v>
      </c>
      <c r="E585" s="634">
        <f t="shared" si="97"/>
        <v>0</v>
      </c>
      <c r="F585" s="510">
        <f>SUM(F561:F584)</f>
        <v>0</v>
      </c>
      <c r="G585" s="634">
        <f t="shared" si="97"/>
        <v>0</v>
      </c>
      <c r="H585" s="510">
        <f>SUM(H561:H584)</f>
        <v>0</v>
      </c>
      <c r="I585" s="634">
        <f t="shared" si="98"/>
        <v>0</v>
      </c>
      <c r="J585" s="510">
        <f>SUM(J561:J584)</f>
        <v>0</v>
      </c>
      <c r="K585" s="634">
        <f t="shared" si="99"/>
        <v>0</v>
      </c>
    </row>
    <row r="586" spans="2:11" ht="17" hidden="1" outlineLevel="1" thickBot="1">
      <c r="B586" s="121"/>
      <c r="C586" s="2085"/>
      <c r="D586" s="511"/>
      <c r="E586" s="635"/>
      <c r="F586" s="511"/>
      <c r="G586" s="635"/>
      <c r="H586" s="511"/>
      <c r="I586" s="635"/>
      <c r="J586" s="511"/>
      <c r="K586" s="635"/>
    </row>
    <row r="587" spans="2:11" ht="17" hidden="1" outlineLevel="1" thickBot="1">
      <c r="B587" s="121"/>
      <c r="C587" s="2085" t="s">
        <v>220</v>
      </c>
      <c r="D587" s="510">
        <f>D558-D585</f>
        <v>0</v>
      </c>
      <c r="E587" s="634">
        <f t="shared" si="97"/>
        <v>0</v>
      </c>
      <c r="F587" s="510">
        <f>F558-F585</f>
        <v>0</v>
      </c>
      <c r="G587" s="634">
        <f t="shared" si="97"/>
        <v>0</v>
      </c>
      <c r="H587" s="510">
        <f>H558-H585</f>
        <v>0</v>
      </c>
      <c r="I587" s="634">
        <f t="shared" ref="I587" si="100">IF(H$556=0,0,H587/H$556)</f>
        <v>0</v>
      </c>
      <c r="J587" s="510">
        <f>J558-J585</f>
        <v>0</v>
      </c>
      <c r="K587" s="634">
        <f t="shared" ref="K587" si="101">IF(J$556=0,0,J587/J$556)</f>
        <v>0</v>
      </c>
    </row>
    <row r="588" spans="2:11" ht="17" hidden="1" outlineLevel="1" thickBot="1">
      <c r="B588" s="121"/>
      <c r="C588" s="2085"/>
      <c r="D588" s="512"/>
      <c r="E588" s="635"/>
      <c r="F588" s="512"/>
      <c r="G588" s="635"/>
      <c r="H588" s="512"/>
      <c r="I588" s="635"/>
      <c r="J588" s="512"/>
      <c r="K588" s="635"/>
    </row>
    <row r="589" spans="2:11" ht="17" hidden="1" outlineLevel="1" thickBot="1">
      <c r="B589" s="121"/>
      <c r="C589" s="2097" t="s">
        <v>221</v>
      </c>
      <c r="D589" s="5"/>
      <c r="E589" s="634">
        <f t="shared" si="97"/>
        <v>0</v>
      </c>
      <c r="F589" s="5"/>
      <c r="G589" s="634">
        <f t="shared" si="97"/>
        <v>0</v>
      </c>
      <c r="H589" s="5"/>
      <c r="I589" s="634">
        <f t="shared" ref="I589:I593" si="102">IF(H$556=0,0,H589/H$556)</f>
        <v>0</v>
      </c>
      <c r="J589" s="5"/>
      <c r="K589" s="634">
        <f t="shared" ref="K589:K593" si="103">IF(J$556=0,0,J589/J$556)</f>
        <v>0</v>
      </c>
    </row>
    <row r="590" spans="2:11" ht="17" hidden="1" outlineLevel="1" thickBot="1">
      <c r="B590" s="121"/>
      <c r="C590" s="2098" t="s">
        <v>221</v>
      </c>
      <c r="D590" s="5"/>
      <c r="E590" s="634">
        <f t="shared" si="97"/>
        <v>0</v>
      </c>
      <c r="F590" s="5"/>
      <c r="G590" s="634">
        <f t="shared" si="97"/>
        <v>0</v>
      </c>
      <c r="H590" s="5"/>
      <c r="I590" s="634">
        <f t="shared" si="102"/>
        <v>0</v>
      </c>
      <c r="J590" s="5"/>
      <c r="K590" s="634">
        <f t="shared" si="103"/>
        <v>0</v>
      </c>
    </row>
    <row r="591" spans="2:11" ht="17" hidden="1" outlineLevel="1" thickBot="1">
      <c r="B591" s="121"/>
      <c r="C591" s="2098" t="s">
        <v>222</v>
      </c>
      <c r="D591" s="5"/>
      <c r="E591" s="634">
        <f t="shared" si="97"/>
        <v>0</v>
      </c>
      <c r="F591" s="5"/>
      <c r="G591" s="634">
        <f t="shared" si="97"/>
        <v>0</v>
      </c>
      <c r="H591" s="5"/>
      <c r="I591" s="634">
        <f t="shared" si="102"/>
        <v>0</v>
      </c>
      <c r="J591" s="5"/>
      <c r="K591" s="634">
        <f t="shared" si="103"/>
        <v>0</v>
      </c>
    </row>
    <row r="592" spans="2:11" ht="17" hidden="1" outlineLevel="1" thickBot="1">
      <c r="B592" s="121"/>
      <c r="C592" s="2100" t="s">
        <v>222</v>
      </c>
      <c r="D592" s="5"/>
      <c r="E592" s="634">
        <f t="shared" si="97"/>
        <v>0</v>
      </c>
      <c r="F592" s="5"/>
      <c r="G592" s="634">
        <f t="shared" si="97"/>
        <v>0</v>
      </c>
      <c r="H592" s="5"/>
      <c r="I592" s="634">
        <f t="shared" si="102"/>
        <v>0</v>
      </c>
      <c r="J592" s="5"/>
      <c r="K592" s="634">
        <f t="shared" si="103"/>
        <v>0</v>
      </c>
    </row>
    <row r="593" spans="2:11" ht="17" hidden="1" outlineLevel="1" thickBot="1">
      <c r="B593" s="121"/>
      <c r="C593" s="2085" t="s">
        <v>223</v>
      </c>
      <c r="D593" s="510">
        <f>SUM(D589:D592)</f>
        <v>0</v>
      </c>
      <c r="E593" s="634">
        <f t="shared" si="97"/>
        <v>0</v>
      </c>
      <c r="F593" s="510">
        <f>SUM(F589:F592)</f>
        <v>0</v>
      </c>
      <c r="G593" s="634">
        <f t="shared" si="97"/>
        <v>0</v>
      </c>
      <c r="H593" s="510">
        <f>SUM(H589:H592)</f>
        <v>0</v>
      </c>
      <c r="I593" s="634">
        <f t="shared" si="102"/>
        <v>0</v>
      </c>
      <c r="J593" s="510">
        <f>SUM(J589:J592)</f>
        <v>0</v>
      </c>
      <c r="K593" s="634">
        <f t="shared" si="103"/>
        <v>0</v>
      </c>
    </row>
    <row r="594" spans="2:11" ht="17" hidden="1" outlineLevel="1" thickBot="1">
      <c r="B594" s="121"/>
      <c r="C594" s="2085"/>
      <c r="D594" s="511"/>
      <c r="E594" s="635"/>
      <c r="F594" s="511"/>
      <c r="G594" s="635"/>
      <c r="H594" s="511"/>
      <c r="I594" s="635"/>
      <c r="J594" s="511"/>
      <c r="K594" s="635"/>
    </row>
    <row r="595" spans="2:11" ht="17" hidden="1" outlineLevel="1" thickBot="1">
      <c r="B595" s="121"/>
      <c r="C595" s="2085" t="s">
        <v>224</v>
      </c>
      <c r="D595" s="510">
        <f>D558-D585+D593</f>
        <v>0</v>
      </c>
      <c r="E595" s="634">
        <f t="shared" si="97"/>
        <v>0</v>
      </c>
      <c r="F595" s="510">
        <f>F558-F585+F593</f>
        <v>0</v>
      </c>
      <c r="G595" s="634">
        <f t="shared" si="97"/>
        <v>0</v>
      </c>
      <c r="H595" s="510">
        <f>H558-H585+H593</f>
        <v>0</v>
      </c>
      <c r="I595" s="634">
        <f t="shared" ref="I595:I596" si="104">IF(H$556=0,0,H595/H$556)</f>
        <v>0</v>
      </c>
      <c r="J595" s="510">
        <f>J558-J585+J593</f>
        <v>0</v>
      </c>
      <c r="K595" s="634">
        <f t="shared" ref="K595:K596" si="105">IF(J$556=0,0,J595/J$556)</f>
        <v>0</v>
      </c>
    </row>
    <row r="596" spans="2:11" ht="17" hidden="1" outlineLevel="1" thickBot="1">
      <c r="B596" s="121"/>
      <c r="C596" s="2085" t="s">
        <v>225</v>
      </c>
      <c r="D596" s="510">
        <v>0</v>
      </c>
      <c r="E596" s="634">
        <f t="shared" si="97"/>
        <v>0</v>
      </c>
      <c r="F596" s="510">
        <v>0</v>
      </c>
      <c r="G596" s="634">
        <f t="shared" si="97"/>
        <v>0</v>
      </c>
      <c r="H596" s="510">
        <v>0</v>
      </c>
      <c r="I596" s="634">
        <f t="shared" si="104"/>
        <v>0</v>
      </c>
      <c r="J596" s="510">
        <v>0</v>
      </c>
      <c r="K596" s="634">
        <f t="shared" si="105"/>
        <v>0</v>
      </c>
    </row>
    <row r="597" spans="2:11" ht="17" hidden="1" outlineLevel="1" thickBot="1">
      <c r="B597" s="121"/>
      <c r="C597" s="2101"/>
      <c r="D597" s="281"/>
      <c r="E597" s="634"/>
      <c r="F597" s="281"/>
      <c r="G597" s="634"/>
      <c r="H597" s="281"/>
      <c r="I597" s="634"/>
      <c r="J597" s="281"/>
      <c r="K597" s="634"/>
    </row>
    <row r="598" spans="2:11" ht="17" hidden="1" outlineLevel="1" thickBot="1">
      <c r="B598" s="121"/>
      <c r="C598" s="2085" t="s">
        <v>226</v>
      </c>
      <c r="D598" s="510">
        <f>D595-D596</f>
        <v>0</v>
      </c>
      <c r="E598" s="634">
        <f t="shared" si="97"/>
        <v>0</v>
      </c>
      <c r="F598" s="510">
        <f>F595-F596</f>
        <v>0</v>
      </c>
      <c r="G598" s="634">
        <f t="shared" si="97"/>
        <v>0</v>
      </c>
      <c r="H598" s="510">
        <f>H595-H596</f>
        <v>0</v>
      </c>
      <c r="I598" s="634">
        <f t="shared" ref="I598" si="106">IF(H$556=0,0,H598/H$556)</f>
        <v>0</v>
      </c>
      <c r="J598" s="510">
        <f>J595-J596</f>
        <v>0</v>
      </c>
      <c r="K598" s="634">
        <f t="shared" ref="K598" si="107">IF(J$556=0,0,J598/J$556)</f>
        <v>0</v>
      </c>
    </row>
    <row r="599" spans="2:11" ht="17" hidden="1" outlineLevel="1" thickBot="1">
      <c r="B599" s="121"/>
      <c r="C599" s="270"/>
      <c r="D599" s="241"/>
      <c r="E599" s="321"/>
      <c r="F599" s="241"/>
      <c r="G599" s="321"/>
      <c r="H599" s="241"/>
      <c r="I599" s="321"/>
      <c r="J599" s="241"/>
      <c r="K599" s="2174"/>
    </row>
    <row r="600" spans="2:11" ht="17" hidden="1" outlineLevel="1" thickBot="1">
      <c r="B600" s="121"/>
      <c r="C600" s="2102" t="s">
        <v>227</v>
      </c>
      <c r="D600" s="122"/>
      <c r="E600" s="122"/>
      <c r="F600" s="122"/>
      <c r="G600" s="122"/>
      <c r="H600" s="122"/>
      <c r="I600" s="122"/>
      <c r="J600" s="122"/>
      <c r="K600" s="120"/>
    </row>
    <row r="601" spans="2:11" ht="17" hidden="1" outlineLevel="1" thickBot="1">
      <c r="B601" s="121"/>
      <c r="C601" s="2103" t="s">
        <v>2007</v>
      </c>
      <c r="D601" s="2104">
        <f>D561</f>
        <v>0</v>
      </c>
      <c r="E601" s="122"/>
      <c r="F601" s="2104">
        <f>F561</f>
        <v>0</v>
      </c>
      <c r="G601" s="122"/>
      <c r="H601" s="2104">
        <f>H561</f>
        <v>0</v>
      </c>
      <c r="I601" s="122"/>
      <c r="J601" s="2104">
        <f>J561</f>
        <v>0</v>
      </c>
      <c r="K601" s="195"/>
    </row>
    <row r="602" spans="2:11" ht="17" hidden="1" outlineLevel="1" thickBot="1">
      <c r="B602" s="121"/>
      <c r="C602" s="2105" t="s">
        <v>2008</v>
      </c>
      <c r="D602" s="2104">
        <f>D568</f>
        <v>0</v>
      </c>
      <c r="E602" s="122"/>
      <c r="F602" s="2104">
        <f>F568</f>
        <v>0</v>
      </c>
      <c r="G602" s="122"/>
      <c r="H602" s="2104">
        <f>H568</f>
        <v>0</v>
      </c>
      <c r="I602" s="122"/>
      <c r="J602" s="2104">
        <f>J568</f>
        <v>0</v>
      </c>
      <c r="K602" s="195"/>
    </row>
    <row r="603" spans="2:11" ht="17" hidden="1" outlineLevel="1" thickBot="1">
      <c r="B603" s="121"/>
      <c r="C603" s="2105" t="s">
        <v>2009</v>
      </c>
      <c r="D603" s="2104">
        <f>D567</f>
        <v>0</v>
      </c>
      <c r="E603" s="122"/>
      <c r="F603" s="2104">
        <f>F567</f>
        <v>0</v>
      </c>
      <c r="G603" s="122"/>
      <c r="H603" s="2104">
        <f>H567</f>
        <v>0</v>
      </c>
      <c r="I603" s="122"/>
      <c r="J603" s="2104">
        <f>J567</f>
        <v>0</v>
      </c>
      <c r="K603" s="195"/>
    </row>
    <row r="604" spans="2:11" ht="17" hidden="1" outlineLevel="1" thickBot="1">
      <c r="B604" s="121"/>
      <c r="C604" s="2105" t="s">
        <v>2010</v>
      </c>
      <c r="D604" s="2104">
        <f>D565</f>
        <v>0</v>
      </c>
      <c r="E604" s="122"/>
      <c r="F604" s="2104">
        <f>F565</f>
        <v>0</v>
      </c>
      <c r="G604" s="122"/>
      <c r="H604" s="2104">
        <f>H565</f>
        <v>0</v>
      </c>
      <c r="I604" s="122"/>
      <c r="J604" s="2104">
        <f>J565</f>
        <v>0</v>
      </c>
      <c r="K604" s="195"/>
    </row>
    <row r="605" spans="2:11" ht="16" hidden="1" outlineLevel="1" thickBot="1">
      <c r="B605" s="121"/>
      <c r="C605" s="2106" t="s">
        <v>228</v>
      </c>
      <c r="D605" s="498"/>
      <c r="E605" s="122"/>
      <c r="F605" s="498"/>
      <c r="G605" s="122"/>
      <c r="H605" s="498"/>
      <c r="I605" s="122"/>
      <c r="J605" s="498"/>
      <c r="K605" s="195"/>
    </row>
    <row r="606" spans="2:11" ht="16" hidden="1" outlineLevel="1" thickBot="1">
      <c r="B606" s="121"/>
      <c r="C606" s="2106" t="s">
        <v>228</v>
      </c>
      <c r="D606" s="498"/>
      <c r="E606" s="122"/>
      <c r="F606" s="498"/>
      <c r="G606" s="122"/>
      <c r="H606" s="498"/>
      <c r="I606" s="122"/>
      <c r="J606" s="498"/>
      <c r="K606" s="195"/>
    </row>
    <row r="607" spans="2:11" ht="17" hidden="1" outlineLevel="1" thickBot="1">
      <c r="B607" s="121"/>
      <c r="C607" s="2107" t="s">
        <v>2016</v>
      </c>
      <c r="D607" s="498"/>
      <c r="E607" s="122"/>
      <c r="F607" s="498"/>
      <c r="G607" s="122"/>
      <c r="H607" s="498"/>
      <c r="I607" s="122"/>
      <c r="J607" s="498"/>
      <c r="K607" s="195"/>
    </row>
    <row r="608" spans="2:11" ht="17" hidden="1" outlineLevel="1" thickBot="1">
      <c r="B608" s="121"/>
      <c r="C608" s="2108" t="s">
        <v>229</v>
      </c>
      <c r="D608" s="2109"/>
      <c r="E608" s="122"/>
      <c r="F608" s="2109"/>
      <c r="G608" s="122"/>
      <c r="H608" s="2109"/>
      <c r="I608" s="122"/>
      <c r="J608" s="2109"/>
      <c r="K608" s="195"/>
    </row>
    <row r="609" spans="2:11" ht="17" hidden="1" outlineLevel="1" thickBot="1">
      <c r="B609" s="121"/>
      <c r="C609" s="2108"/>
      <c r="D609" s="122"/>
      <c r="E609" s="122"/>
      <c r="F609" s="122"/>
      <c r="G609" s="122"/>
      <c r="H609" s="122"/>
      <c r="I609" s="122"/>
      <c r="J609" s="122"/>
      <c r="K609" s="195"/>
    </row>
    <row r="610" spans="2:11" ht="17" hidden="1" outlineLevel="1" thickBot="1">
      <c r="B610" s="121"/>
      <c r="C610" s="2108" t="s">
        <v>230</v>
      </c>
      <c r="D610" s="2110">
        <f>D598+SUM(D601:D608)</f>
        <v>0</v>
      </c>
      <c r="E610" s="2108"/>
      <c r="F610" s="2110">
        <f>F598+SUM(F601:F608)</f>
        <v>0</v>
      </c>
      <c r="G610" s="2108"/>
      <c r="H610" s="2110">
        <f>H598+SUM(H601:H608)</f>
        <v>0</v>
      </c>
      <c r="I610" s="2108"/>
      <c r="J610" s="2110">
        <f>J598+SUM(J601:J608)</f>
        <v>0</v>
      </c>
      <c r="K610" s="195"/>
    </row>
    <row r="611" spans="2:11" ht="17" hidden="1" outlineLevel="1" thickBot="1">
      <c r="B611" s="121"/>
      <c r="C611" s="2108"/>
      <c r="D611" s="122"/>
      <c r="E611" s="122"/>
      <c r="F611" s="122"/>
      <c r="G611" s="122"/>
      <c r="H611" s="122"/>
      <c r="I611" s="122"/>
      <c r="J611" s="122"/>
      <c r="K611" s="195"/>
    </row>
    <row r="612" spans="2:11" ht="17" hidden="1" outlineLevel="1" thickBot="1">
      <c r="B612" s="121"/>
      <c r="C612" s="270" t="s">
        <v>2017</v>
      </c>
      <c r="D612" s="498"/>
      <c r="E612" s="122"/>
      <c r="F612" s="498"/>
      <c r="G612" s="122"/>
      <c r="H612" s="498"/>
      <c r="I612" s="122"/>
      <c r="J612" s="498"/>
      <c r="K612" s="195"/>
    </row>
    <row r="613" spans="2:11" ht="17" hidden="1" outlineLevel="1" thickBot="1">
      <c r="B613" s="121"/>
      <c r="C613" s="270" t="s">
        <v>231</v>
      </c>
      <c r="D613" s="2175">
        <f>D612*D543</f>
        <v>0</v>
      </c>
      <c r="E613" s="122"/>
      <c r="F613" s="2175">
        <f>F612*F543</f>
        <v>0</v>
      </c>
      <c r="G613" s="122"/>
      <c r="H613" s="2175">
        <f>H612*H543</f>
        <v>0</v>
      </c>
      <c r="I613" s="122"/>
      <c r="J613" s="2175">
        <f>J612*J543</f>
        <v>0</v>
      </c>
      <c r="K613" s="195"/>
    </row>
    <row r="614" spans="2:11" ht="16" hidden="1" outlineLevel="1" thickBot="1">
      <c r="B614" s="121"/>
      <c r="C614" s="122"/>
      <c r="D614" s="122"/>
      <c r="E614" s="122"/>
      <c r="F614" s="122"/>
      <c r="G614" s="122"/>
      <c r="H614" s="122"/>
      <c r="I614" s="122"/>
      <c r="J614" s="122"/>
      <c r="K614" s="195"/>
    </row>
    <row r="615" spans="2:11" ht="17" hidden="1" outlineLevel="1" thickBot="1">
      <c r="B615" s="121"/>
      <c r="C615" s="2085" t="s">
        <v>238</v>
      </c>
      <c r="D615" s="2176">
        <f>IFERROR((D610)/D613,0)</f>
        <v>0</v>
      </c>
      <c r="E615" s="122"/>
      <c r="F615" s="2176">
        <f>IFERROR((F610)/F613,0)</f>
        <v>0</v>
      </c>
      <c r="G615" s="122"/>
      <c r="H615" s="2176">
        <f>IFERROR((H610)/H613,0)</f>
        <v>0</v>
      </c>
      <c r="I615" s="122"/>
      <c r="J615" s="2176">
        <f>IFERROR((J610)/J613,0)</f>
        <v>0</v>
      </c>
      <c r="K615" s="195"/>
    </row>
    <row r="616" spans="2:11" ht="16" collapsed="1" thickBot="1">
      <c r="B616" s="2379" t="s">
        <v>2026</v>
      </c>
      <c r="C616" s="2380"/>
      <c r="D616" s="2380"/>
      <c r="E616" s="494"/>
      <c r="F616" s="494"/>
      <c r="G616" s="494"/>
      <c r="H616" s="494"/>
      <c r="I616" s="494"/>
      <c r="J616" s="494"/>
      <c r="K616" s="495"/>
    </row>
    <row r="617" spans="2:11" ht="16" thickBot="1"/>
    <row r="618" spans="2:11" ht="17" thickBot="1">
      <c r="B618" s="2304" t="s">
        <v>2027</v>
      </c>
      <c r="C618" s="2305"/>
      <c r="D618" s="2305"/>
      <c r="E618" s="2305"/>
      <c r="F618" s="2305"/>
      <c r="G618" s="2305"/>
      <c r="H618" s="2305"/>
      <c r="I618" s="2305"/>
      <c r="J618" s="2305"/>
      <c r="K618" s="2306"/>
    </row>
    <row r="619" spans="2:11">
      <c r="B619" s="168"/>
      <c r="C619" s="122"/>
      <c r="D619" s="122"/>
      <c r="E619" s="122"/>
      <c r="F619" s="122"/>
      <c r="G619" s="122"/>
      <c r="H619" s="122"/>
      <c r="I619" s="122"/>
      <c r="J619" s="122"/>
      <c r="K619" s="195"/>
    </row>
    <row r="620" spans="2:11">
      <c r="B620" s="168" t="s">
        <v>2028</v>
      </c>
      <c r="C620" s="498" t="s">
        <v>2029</v>
      </c>
      <c r="D620" s="122"/>
      <c r="E620" s="498"/>
      <c r="F620" s="122"/>
      <c r="G620" s="498"/>
      <c r="H620" s="122"/>
      <c r="I620" s="498"/>
      <c r="J620" s="122"/>
      <c r="K620" s="195"/>
    </row>
    <row r="621" spans="2:11">
      <c r="B621" s="168"/>
      <c r="C621" s="122"/>
      <c r="D621" s="122"/>
      <c r="E621" s="122"/>
      <c r="F621" s="122"/>
      <c r="G621" s="122"/>
      <c r="H621" s="122"/>
      <c r="I621" s="122"/>
      <c r="J621" s="122"/>
      <c r="K621" s="195"/>
    </row>
    <row r="622" spans="2:11" ht="16" thickBot="1">
      <c r="B622" s="168" t="s">
        <v>276</v>
      </c>
      <c r="C622" s="2179"/>
      <c r="D622" s="122"/>
      <c r="E622" s="2179"/>
      <c r="F622" s="122"/>
      <c r="G622" s="2179"/>
      <c r="H622" s="122"/>
      <c r="I622" s="2179"/>
      <c r="J622" s="122"/>
      <c r="K622" s="195"/>
    </row>
    <row r="623" spans="2:11" ht="17" thickBot="1">
      <c r="B623" s="2077" t="s">
        <v>2001</v>
      </c>
      <c r="C623" s="2078" t="s">
        <v>180</v>
      </c>
      <c r="D623" s="122"/>
      <c r="E623" s="2078"/>
      <c r="F623" s="122"/>
      <c r="G623" s="2078"/>
      <c r="H623" s="122"/>
      <c r="I623" s="2078"/>
      <c r="J623" s="122"/>
      <c r="K623" s="195"/>
    </row>
    <row r="624" spans="2:11" ht="16">
      <c r="B624" s="2180" t="s">
        <v>277</v>
      </c>
      <c r="C624" s="122"/>
      <c r="D624" s="122"/>
      <c r="E624" s="122"/>
      <c r="F624" s="122"/>
      <c r="G624" s="122"/>
      <c r="H624" s="122"/>
      <c r="I624" s="122"/>
      <c r="J624" s="122"/>
      <c r="K624" s="195"/>
    </row>
    <row r="625" spans="2:11" ht="16">
      <c r="B625" s="2181" t="s">
        <v>278</v>
      </c>
      <c r="C625" s="2182">
        <v>49980</v>
      </c>
      <c r="D625" s="122"/>
      <c r="E625" s="2182"/>
      <c r="F625" s="122"/>
      <c r="G625" s="2182"/>
      <c r="H625" s="122"/>
      <c r="I625" s="2182"/>
      <c r="J625" s="122"/>
      <c r="K625" s="195"/>
    </row>
    <row r="626" spans="2:11" ht="16">
      <c r="B626" s="2181" t="s">
        <v>279</v>
      </c>
      <c r="C626" s="2183"/>
      <c r="D626" s="122"/>
      <c r="E626" s="2183"/>
      <c r="F626" s="122"/>
      <c r="G626" s="2183"/>
      <c r="H626" s="122"/>
      <c r="I626" s="2183"/>
      <c r="J626" s="122"/>
      <c r="K626" s="195"/>
    </row>
    <row r="627" spans="2:11" ht="16">
      <c r="B627" s="2181" t="s">
        <v>280</v>
      </c>
      <c r="C627" s="2183"/>
      <c r="D627" s="122"/>
      <c r="E627" s="2183"/>
      <c r="F627" s="122"/>
      <c r="G627" s="2183"/>
      <c r="H627" s="122"/>
      <c r="I627" s="2183"/>
      <c r="J627" s="122"/>
      <c r="K627" s="195"/>
    </row>
    <row r="628" spans="2:11" ht="16">
      <c r="B628" s="2181" t="s">
        <v>281</v>
      </c>
      <c r="C628" s="2183"/>
      <c r="D628" s="122"/>
      <c r="E628" s="2183"/>
      <c r="F628" s="122"/>
      <c r="G628" s="2183"/>
      <c r="H628" s="122"/>
      <c r="I628" s="2183"/>
      <c r="J628" s="122"/>
      <c r="K628" s="195"/>
    </row>
    <row r="629" spans="2:11" ht="16">
      <c r="B629" s="2181" t="s">
        <v>282</v>
      </c>
      <c r="C629" s="2183"/>
      <c r="D629" s="122"/>
      <c r="E629" s="2183"/>
      <c r="F629" s="122"/>
      <c r="G629" s="2183"/>
      <c r="H629" s="122"/>
      <c r="I629" s="2183"/>
      <c r="J629" s="122"/>
      <c r="K629" s="195"/>
    </row>
    <row r="630" spans="2:11" ht="16">
      <c r="B630" s="2181" t="s">
        <v>283</v>
      </c>
      <c r="C630" s="2183">
        <v>4000</v>
      </c>
      <c r="D630" s="122"/>
      <c r="E630" s="2183"/>
      <c r="F630" s="122"/>
      <c r="G630" s="2183"/>
      <c r="H630" s="122"/>
      <c r="I630" s="2183"/>
      <c r="J630" s="122"/>
      <c r="K630" s="195"/>
    </row>
    <row r="631" spans="2:11" ht="17" thickBot="1">
      <c r="B631" s="2181" t="s">
        <v>284</v>
      </c>
      <c r="C631" s="2184">
        <v>36000</v>
      </c>
      <c r="D631" s="122"/>
      <c r="E631" s="2184"/>
      <c r="F631" s="122"/>
      <c r="G631" s="2184"/>
      <c r="H631" s="122"/>
      <c r="I631" s="2184"/>
      <c r="J631" s="122"/>
      <c r="K631" s="195"/>
    </row>
    <row r="632" spans="2:11" ht="17" thickTop="1">
      <c r="B632" s="2180" t="s">
        <v>285</v>
      </c>
      <c r="C632" s="513">
        <f>SUM(C625:C631)</f>
        <v>89980</v>
      </c>
      <c r="D632" s="122"/>
      <c r="E632" s="513">
        <f>SUM(E625:E631)</f>
        <v>0</v>
      </c>
      <c r="F632" s="122"/>
      <c r="G632" s="513">
        <f>SUM(G625:G631)</f>
        <v>0</v>
      </c>
      <c r="H632" s="122"/>
      <c r="I632" s="513">
        <f>SUM(I625:I631)</f>
        <v>0</v>
      </c>
      <c r="J632" s="122"/>
      <c r="K632" s="195"/>
    </row>
    <row r="633" spans="2:11" ht="16">
      <c r="B633" s="269"/>
      <c r="C633" s="232"/>
      <c r="D633" s="122"/>
      <c r="E633" s="232"/>
      <c r="F633" s="122"/>
      <c r="G633" s="232"/>
      <c r="H633" s="122"/>
      <c r="I633" s="232"/>
      <c r="J633" s="122"/>
      <c r="K633" s="195"/>
    </row>
    <row r="634" spans="2:11" ht="16">
      <c r="B634" s="2180" t="s">
        <v>286</v>
      </c>
      <c r="C634" s="234"/>
      <c r="D634" s="122"/>
      <c r="E634" s="234"/>
      <c r="F634" s="122"/>
      <c r="G634" s="234"/>
      <c r="H634" s="122"/>
      <c r="I634" s="234"/>
      <c r="J634" s="122"/>
      <c r="K634" s="195"/>
    </row>
    <row r="635" spans="2:11" ht="16">
      <c r="B635" s="2181" t="s">
        <v>287</v>
      </c>
      <c r="C635" s="2182">
        <v>2511</v>
      </c>
      <c r="D635" s="122"/>
      <c r="E635" s="2182"/>
      <c r="F635" s="122"/>
      <c r="G635" s="2182"/>
      <c r="H635" s="122"/>
      <c r="I635" s="2182"/>
      <c r="J635" s="122"/>
      <c r="K635" s="195"/>
    </row>
    <row r="636" spans="2:11" ht="16">
      <c r="B636" s="2181" t="s">
        <v>288</v>
      </c>
      <c r="C636" s="2183"/>
      <c r="D636" s="122"/>
      <c r="E636" s="2183"/>
      <c r="F636" s="122"/>
      <c r="G636" s="2183"/>
      <c r="H636" s="122"/>
      <c r="I636" s="2183"/>
      <c r="J636" s="122"/>
      <c r="K636" s="195"/>
    </row>
    <row r="637" spans="2:11" ht="16">
      <c r="B637" s="2181" t="s">
        <v>289</v>
      </c>
      <c r="C637" s="25"/>
      <c r="D637" s="122"/>
      <c r="E637" s="2183"/>
      <c r="F637" s="122"/>
      <c r="G637" s="2183"/>
      <c r="H637" s="122"/>
      <c r="I637" s="2183"/>
      <c r="J637" s="122"/>
      <c r="K637" s="195"/>
    </row>
    <row r="638" spans="2:11" ht="16">
      <c r="B638" s="2181" t="s">
        <v>290</v>
      </c>
      <c r="C638" s="2183">
        <f>296+637</f>
        <v>933</v>
      </c>
      <c r="D638" s="122"/>
      <c r="E638" s="2183"/>
      <c r="F638" s="122"/>
      <c r="G638" s="2183"/>
      <c r="H638" s="122"/>
      <c r="I638" s="2183"/>
      <c r="J638" s="122"/>
      <c r="K638" s="195"/>
    </row>
    <row r="639" spans="2:11" ht="16">
      <c r="B639" s="2181" t="s">
        <v>291</v>
      </c>
      <c r="C639" s="2183">
        <f>237+77+29+30</f>
        <v>373</v>
      </c>
      <c r="D639" s="122"/>
      <c r="E639" s="2183"/>
      <c r="F639" s="122"/>
      <c r="G639" s="2183"/>
      <c r="H639" s="122"/>
      <c r="I639" s="2183"/>
      <c r="J639" s="122"/>
      <c r="K639" s="195"/>
    </row>
    <row r="640" spans="2:11" ht="17" thickBot="1">
      <c r="B640" s="2181" t="s">
        <v>292</v>
      </c>
      <c r="C640" s="2184"/>
      <c r="D640" s="122"/>
      <c r="E640" s="2184"/>
      <c r="F640" s="122"/>
      <c r="G640" s="2184"/>
      <c r="H640" s="122"/>
      <c r="I640" s="2184"/>
      <c r="J640" s="122"/>
      <c r="K640" s="195"/>
    </row>
    <row r="641" spans="2:11" ht="17" thickTop="1">
      <c r="B641" s="2180" t="s">
        <v>293</v>
      </c>
      <c r="C641" s="240">
        <f>SUM(C635:C640)</f>
        <v>3817</v>
      </c>
      <c r="D641" s="122"/>
      <c r="E641" s="240">
        <f>SUM(E635:E640)</f>
        <v>0</v>
      </c>
      <c r="F641" s="122"/>
      <c r="G641" s="240">
        <f>SUM(G635:G640)</f>
        <v>0</v>
      </c>
      <c r="H641" s="122"/>
      <c r="I641" s="240">
        <f>SUM(I635:I640)</f>
        <v>0</v>
      </c>
      <c r="J641" s="122"/>
      <c r="K641" s="195"/>
    </row>
    <row r="642" spans="2:11" ht="16">
      <c r="B642" s="269"/>
      <c r="C642" s="232"/>
      <c r="D642" s="122"/>
      <c r="E642" s="232"/>
      <c r="F642" s="122"/>
      <c r="G642" s="232"/>
      <c r="H642" s="122"/>
      <c r="I642" s="232"/>
      <c r="J642" s="122"/>
      <c r="K642" s="195"/>
    </row>
    <row r="643" spans="2:11" ht="16">
      <c r="B643" s="2180" t="s">
        <v>294</v>
      </c>
      <c r="C643" s="242">
        <f>C641*12</f>
        <v>45804</v>
      </c>
      <c r="D643" s="122"/>
      <c r="E643" s="242">
        <f>E641*12</f>
        <v>0</v>
      </c>
      <c r="F643" s="122"/>
      <c r="G643" s="242">
        <f>G641*12</f>
        <v>0</v>
      </c>
      <c r="H643" s="122"/>
      <c r="I643" s="242">
        <f>I641*12</f>
        <v>0</v>
      </c>
      <c r="J643" s="122"/>
      <c r="K643" s="195"/>
    </row>
    <row r="644" spans="2:11" ht="16">
      <c r="B644" s="2180" t="s">
        <v>295</v>
      </c>
      <c r="C644" s="514">
        <f>IF(C632=0,0,C643/C632)</f>
        <v>0.50904645476772614</v>
      </c>
      <c r="D644" s="122"/>
      <c r="E644" s="514">
        <f>IF(E632=0,0,E643/E632)</f>
        <v>0</v>
      </c>
      <c r="F644" s="122"/>
      <c r="G644" s="514">
        <f>IF(G632=0,0,G643/G632)</f>
        <v>0</v>
      </c>
      <c r="H644" s="122"/>
      <c r="I644" s="514">
        <f>IF(I632=0,0,I643/I632)</f>
        <v>0</v>
      </c>
      <c r="J644" s="122"/>
      <c r="K644" s="195"/>
    </row>
    <row r="645" spans="2:11" ht="16">
      <c r="B645" s="2180" t="s">
        <v>296</v>
      </c>
      <c r="C645" s="242">
        <f>C641*12/50*100</f>
        <v>91608</v>
      </c>
      <c r="D645" s="122"/>
      <c r="E645" s="242">
        <f>E641*12/50*100</f>
        <v>0</v>
      </c>
      <c r="F645" s="122"/>
      <c r="G645" s="242">
        <f>G641*12/50*100</f>
        <v>0</v>
      </c>
      <c r="H645" s="122"/>
      <c r="I645" s="242">
        <f>I641*12/50*100</f>
        <v>0</v>
      </c>
      <c r="J645" s="122"/>
      <c r="K645" s="195"/>
    </row>
    <row r="646" spans="2:11" ht="16">
      <c r="B646" s="269"/>
      <c r="C646" s="232"/>
      <c r="D646" s="122"/>
      <c r="E646" s="232"/>
      <c r="F646" s="122"/>
      <c r="G646" s="232"/>
      <c r="H646" s="122"/>
      <c r="I646" s="232"/>
      <c r="J646" s="122"/>
      <c r="K646" s="195"/>
    </row>
    <row r="647" spans="2:11" ht="16">
      <c r="B647" s="2180" t="s">
        <v>297</v>
      </c>
      <c r="C647" s="232"/>
      <c r="D647" s="122"/>
      <c r="E647" s="232"/>
      <c r="F647" s="122"/>
      <c r="G647" s="232"/>
      <c r="H647" s="122"/>
      <c r="I647" s="232"/>
      <c r="J647" s="122"/>
      <c r="K647" s="195"/>
    </row>
    <row r="648" spans="2:11" ht="16">
      <c r="B648" s="2185" t="s">
        <v>298</v>
      </c>
      <c r="C648" s="2186">
        <f>C656</f>
        <v>0</v>
      </c>
      <c r="D648" s="122"/>
      <c r="E648" s="2186">
        <f>E656</f>
        <v>0</v>
      </c>
      <c r="F648" s="122"/>
      <c r="G648" s="2186">
        <f>G656</f>
        <v>0</v>
      </c>
      <c r="H648" s="122"/>
      <c r="I648" s="2186">
        <f>I656</f>
        <v>0</v>
      </c>
      <c r="J648" s="122"/>
      <c r="K648" s="195"/>
    </row>
    <row r="649" spans="2:11" ht="16">
      <c r="B649" s="2185" t="s">
        <v>299</v>
      </c>
      <c r="C649" s="2183"/>
      <c r="D649" s="122"/>
      <c r="E649" s="2183"/>
      <c r="F649" s="122"/>
      <c r="G649" s="2183"/>
      <c r="H649" s="122"/>
      <c r="I649" s="2183"/>
      <c r="J649" s="122"/>
      <c r="K649" s="195"/>
    </row>
    <row r="650" spans="2:11" ht="16">
      <c r="B650" s="2185" t="s">
        <v>300</v>
      </c>
      <c r="C650" s="2187"/>
      <c r="D650" s="122"/>
      <c r="E650" s="2187"/>
      <c r="F650" s="122"/>
      <c r="G650" s="2187"/>
      <c r="H650" s="122"/>
      <c r="I650" s="2187"/>
      <c r="J650" s="122"/>
      <c r="K650" s="195"/>
    </row>
    <row r="651" spans="2:11" ht="17" thickBot="1">
      <c r="B651" s="2185" t="s">
        <v>218</v>
      </c>
      <c r="C651" s="2183">
        <v>2500</v>
      </c>
      <c r="D651" s="122"/>
      <c r="E651" s="2183"/>
      <c r="F651" s="122"/>
      <c r="G651" s="2183"/>
      <c r="H651" s="122"/>
      <c r="I651" s="2183"/>
      <c r="J651" s="122"/>
      <c r="K651" s="195"/>
    </row>
    <row r="652" spans="2:11" ht="17" thickTop="1">
      <c r="B652" s="269"/>
      <c r="C652" s="240">
        <f>SUM(C648:C651)</f>
        <v>2500</v>
      </c>
      <c r="D652" s="122"/>
      <c r="E652" s="240">
        <f>SUM(E648:E651)</f>
        <v>0</v>
      </c>
      <c r="F652" s="122"/>
      <c r="G652" s="240">
        <f>SUM(G648:G651)</f>
        <v>0</v>
      </c>
      <c r="H652" s="122"/>
      <c r="I652" s="240">
        <f>SUM(I648:I651)</f>
        <v>0</v>
      </c>
      <c r="J652" s="122"/>
      <c r="K652" s="195"/>
    </row>
    <row r="653" spans="2:11" ht="16">
      <c r="B653" s="269"/>
      <c r="C653" s="515"/>
      <c r="D653" s="122"/>
      <c r="E653" s="515"/>
      <c r="F653" s="122"/>
      <c r="G653" s="515"/>
      <c r="H653" s="122"/>
      <c r="I653" s="515"/>
      <c r="J653" s="122"/>
      <c r="K653" s="195"/>
    </row>
    <row r="654" spans="2:11" ht="16">
      <c r="B654" s="2180" t="s">
        <v>301</v>
      </c>
      <c r="C654" s="2188"/>
      <c r="D654" s="122"/>
      <c r="E654" s="2188"/>
      <c r="F654" s="122"/>
      <c r="G654" s="2188"/>
      <c r="H654" s="122"/>
      <c r="I654" s="2188"/>
      <c r="J654" s="122"/>
      <c r="K654" s="195"/>
    </row>
    <row r="655" spans="2:11" ht="16">
      <c r="B655" s="2180" t="s">
        <v>302</v>
      </c>
      <c r="C655" s="516">
        <f>C654-C645</f>
        <v>-91608</v>
      </c>
      <c r="D655" s="122"/>
      <c r="E655" s="516">
        <f>E654-E645</f>
        <v>0</v>
      </c>
      <c r="F655" s="122"/>
      <c r="G655" s="516">
        <f>G654-G645</f>
        <v>0</v>
      </c>
      <c r="H655" s="122"/>
      <c r="I655" s="516">
        <f>I654-I645</f>
        <v>0</v>
      </c>
      <c r="J655" s="122"/>
      <c r="K655" s="195"/>
    </row>
    <row r="656" spans="2:11" ht="16">
      <c r="B656" s="2180" t="s">
        <v>2030</v>
      </c>
      <c r="C656" s="516">
        <f>IF(C645&gt;C654,0,C655/12)</f>
        <v>0</v>
      </c>
      <c r="D656" s="122"/>
      <c r="E656" s="516">
        <f>IF(E645&gt;E654,0,E655/12)</f>
        <v>0</v>
      </c>
      <c r="F656" s="122"/>
      <c r="G656" s="516">
        <f>IF(G645&gt;G654,0,G655/12)</f>
        <v>0</v>
      </c>
      <c r="H656" s="122"/>
      <c r="I656" s="516">
        <f>IF(I645&gt;I654,0,I655/12)</f>
        <v>0</v>
      </c>
      <c r="J656" s="122"/>
      <c r="K656" s="195"/>
    </row>
    <row r="657" spans="2:11" ht="16">
      <c r="B657" s="2189"/>
      <c r="C657" s="243"/>
      <c r="D657" s="122"/>
      <c r="E657" s="243"/>
      <c r="F657" s="122"/>
      <c r="G657" s="243"/>
      <c r="H657" s="122"/>
      <c r="I657" s="243"/>
      <c r="J657" s="122"/>
      <c r="K657" s="195"/>
    </row>
    <row r="658" spans="2:11" ht="16">
      <c r="B658" s="2190"/>
      <c r="C658" s="330"/>
      <c r="D658" s="122"/>
      <c r="E658" s="330"/>
      <c r="F658" s="122"/>
      <c r="G658" s="330"/>
      <c r="H658" s="122"/>
      <c r="I658" s="330"/>
      <c r="J658" s="122"/>
      <c r="K658" s="195"/>
    </row>
    <row r="659" spans="2:11" ht="16">
      <c r="B659" s="2180" t="s">
        <v>303</v>
      </c>
      <c r="C659" s="517">
        <f>C645+(C652*12)</f>
        <v>121608</v>
      </c>
      <c r="D659" s="122"/>
      <c r="E659" s="517">
        <f>E645+(E652*12)</f>
        <v>0</v>
      </c>
      <c r="F659" s="122"/>
      <c r="G659" s="517">
        <f>G645+(G652*12)</f>
        <v>0</v>
      </c>
      <c r="H659" s="122"/>
      <c r="I659" s="517">
        <f>I645+(I652*12)</f>
        <v>0</v>
      </c>
      <c r="J659" s="122"/>
      <c r="K659" s="195"/>
    </row>
    <row r="660" spans="2:11" ht="16">
      <c r="B660" s="2191" t="s">
        <v>304</v>
      </c>
      <c r="C660" s="517">
        <f>C632</f>
        <v>89980</v>
      </c>
      <c r="D660" s="122"/>
      <c r="E660" s="517">
        <f>E632</f>
        <v>0</v>
      </c>
      <c r="F660" s="122"/>
      <c r="G660" s="517">
        <f>G632</f>
        <v>0</v>
      </c>
      <c r="H660" s="122"/>
      <c r="I660" s="517">
        <f>I632</f>
        <v>0</v>
      </c>
      <c r="J660" s="122"/>
      <c r="K660" s="195"/>
    </row>
    <row r="661" spans="2:11" ht="17" thickBot="1">
      <c r="B661" s="2189"/>
      <c r="C661" s="330"/>
      <c r="D661" s="122"/>
      <c r="E661" s="330"/>
      <c r="F661" s="122"/>
      <c r="G661" s="330"/>
      <c r="H661" s="122"/>
      <c r="I661" s="330"/>
      <c r="J661" s="122"/>
      <c r="K661" s="195"/>
    </row>
    <row r="662" spans="2:11" ht="17" thickBot="1">
      <c r="B662" s="2180" t="s">
        <v>305</v>
      </c>
      <c r="C662" s="2192">
        <f>IF(C663="Yes",IF((C659-C660)&lt;24000,24000,(C659-C660)),0)</f>
        <v>31628</v>
      </c>
      <c r="D662" s="122"/>
      <c r="E662" s="2192">
        <f>IF(E663="Yes",IF((E659-E660)&lt;24000,24000,(E659-E660)),0)</f>
        <v>0</v>
      </c>
      <c r="F662" s="122"/>
      <c r="G662" s="2192">
        <f>IF(G663="Yes",IF((G659-G660)&lt;24000,24000,(G659-G660)),0)</f>
        <v>0</v>
      </c>
      <c r="H662" s="122"/>
      <c r="I662" s="2192">
        <f>IF(I663="Yes",IF((I659-I660)&lt;24000,24000,(I659-I660)),0)</f>
        <v>0</v>
      </c>
      <c r="J662" s="122"/>
      <c r="K662" s="195"/>
    </row>
    <row r="663" spans="2:11" ht="17" thickBot="1">
      <c r="B663" s="2193" t="s">
        <v>306</v>
      </c>
      <c r="C663" s="2194" t="s">
        <v>180</v>
      </c>
      <c r="D663" s="122"/>
      <c r="E663" s="2194"/>
      <c r="F663" s="122"/>
      <c r="G663" s="2194"/>
      <c r="H663" s="122"/>
      <c r="I663" s="2194"/>
      <c r="J663" s="122"/>
      <c r="K663" s="195"/>
    </row>
    <row r="664" spans="2:11" ht="16" thickBot="1">
      <c r="B664" s="123"/>
      <c r="C664" s="124"/>
      <c r="D664" s="124"/>
      <c r="E664" s="124"/>
      <c r="F664" s="124"/>
      <c r="G664" s="124"/>
      <c r="H664" s="124"/>
      <c r="I664" s="124"/>
      <c r="J664" s="124"/>
      <c r="K664" s="491"/>
    </row>
    <row r="665" spans="2:11" ht="16" thickBot="1">
      <c r="B665" s="2178"/>
      <c r="C665" s="2178"/>
      <c r="D665" s="2178"/>
      <c r="E665" s="2178"/>
      <c r="F665" s="2178"/>
      <c r="G665" s="2178"/>
      <c r="H665" s="2178"/>
      <c r="I665" s="2178"/>
      <c r="J665" s="2178"/>
      <c r="K665" s="2178"/>
    </row>
    <row r="666" spans="2:11" ht="17" thickBot="1">
      <c r="B666" s="2304" t="s">
        <v>307</v>
      </c>
      <c r="C666" s="2305"/>
      <c r="D666" s="2305"/>
      <c r="E666" s="2305"/>
      <c r="F666" s="2305"/>
      <c r="G666" s="2305"/>
      <c r="H666" s="2305"/>
      <c r="I666" s="2305"/>
      <c r="J666" s="2305"/>
      <c r="K666" s="2306"/>
    </row>
    <row r="667" spans="2:11" ht="16">
      <c r="B667" s="2289" t="s">
        <v>308</v>
      </c>
      <c r="C667" s="2290"/>
      <c r="D667" s="2290"/>
      <c r="E667" s="2290"/>
      <c r="F667" s="2290"/>
      <c r="G667" s="2290"/>
      <c r="H667" s="2290"/>
      <c r="I667" s="2290"/>
      <c r="J667" s="2290"/>
      <c r="K667" s="2291"/>
    </row>
    <row r="668" spans="2:11" ht="34">
      <c r="B668" s="418" t="s">
        <v>266</v>
      </c>
      <c r="C668" s="419" t="s">
        <v>309</v>
      </c>
      <c r="D668" s="420" t="s">
        <v>310</v>
      </c>
      <c r="E668" s="2393" t="s">
        <v>311</v>
      </c>
      <c r="F668" s="2394"/>
      <c r="G668" s="423" t="s">
        <v>312</v>
      </c>
      <c r="H668" s="423" t="s">
        <v>313</v>
      </c>
      <c r="I668" s="423" t="s">
        <v>314</v>
      </c>
      <c r="J668" s="423" t="s">
        <v>315</v>
      </c>
      <c r="K668" s="424" t="s">
        <v>316</v>
      </c>
    </row>
    <row r="669" spans="2:11" ht="16">
      <c r="B669" s="2195" t="s">
        <v>2031</v>
      </c>
      <c r="C669" s="434"/>
      <c r="D669" s="434"/>
      <c r="E669" s="2391" t="s">
        <v>2032</v>
      </c>
      <c r="F669" s="2392"/>
      <c r="G669" s="2196">
        <v>641517</v>
      </c>
      <c r="H669" s="519">
        <v>0.85</v>
      </c>
      <c r="I669" s="2197">
        <f>G669*H669</f>
        <v>545289.44999999995</v>
      </c>
      <c r="J669" s="2196">
        <v>433064</v>
      </c>
      <c r="K669" s="2198">
        <f>IF(I669-J669&lt;0,0,I669-J669)</f>
        <v>112225.44999999995</v>
      </c>
    </row>
    <row r="670" spans="2:11" ht="16">
      <c r="B670" s="2195" t="s">
        <v>2033</v>
      </c>
      <c r="C670" s="434"/>
      <c r="D670" s="434"/>
      <c r="E670" s="2391"/>
      <c r="F670" s="2392"/>
      <c r="G670" s="2196"/>
      <c r="H670" s="519">
        <v>0.85</v>
      </c>
      <c r="I670" s="2197">
        <f>G670*H670</f>
        <v>0</v>
      </c>
      <c r="J670" s="2196"/>
      <c r="K670" s="2198">
        <f t="shared" ref="K670:K677" si="108">IF(I670-J670&lt;0,0,I670-J670)</f>
        <v>0</v>
      </c>
    </row>
    <row r="671" spans="2:11" ht="16">
      <c r="B671" s="2195" t="s">
        <v>2033</v>
      </c>
      <c r="C671" s="434"/>
      <c r="D671" s="434"/>
      <c r="E671" s="2391"/>
      <c r="F671" s="2392"/>
      <c r="G671" s="2196"/>
      <c r="H671" s="519">
        <v>0.85</v>
      </c>
      <c r="I671" s="2197">
        <f t="shared" ref="I671:I677" si="109">G671*H671</f>
        <v>0</v>
      </c>
      <c r="J671" s="2196"/>
      <c r="K671" s="2198">
        <f t="shared" si="108"/>
        <v>0</v>
      </c>
    </row>
    <row r="672" spans="2:11" ht="16">
      <c r="B672" s="2195" t="s">
        <v>2034</v>
      </c>
      <c r="C672" s="434"/>
      <c r="D672" s="518"/>
      <c r="E672" s="2391" t="str">
        <f t="shared" ref="E672:E677" si="110">IF(G672=0," ",$E$5)</f>
        <v xml:space="preserve"> </v>
      </c>
      <c r="F672" s="2392"/>
      <c r="G672" s="2196"/>
      <c r="H672" s="519">
        <v>0.1</v>
      </c>
      <c r="I672" s="2197">
        <f t="shared" si="109"/>
        <v>0</v>
      </c>
      <c r="J672" s="2196"/>
      <c r="K672" s="2198">
        <f t="shared" si="108"/>
        <v>0</v>
      </c>
    </row>
    <row r="673" spans="2:11" ht="16">
      <c r="B673" s="2195" t="s">
        <v>143</v>
      </c>
      <c r="C673" s="434"/>
      <c r="D673" s="518"/>
      <c r="E673" s="2391" t="str">
        <f t="shared" si="110"/>
        <v xml:space="preserve"> </v>
      </c>
      <c r="F673" s="2392"/>
      <c r="G673" s="2196"/>
      <c r="H673" s="519">
        <v>0.5</v>
      </c>
      <c r="I673" s="2197">
        <f t="shared" si="109"/>
        <v>0</v>
      </c>
      <c r="J673" s="2196"/>
      <c r="K673" s="2198">
        <f t="shared" si="108"/>
        <v>0</v>
      </c>
    </row>
    <row r="674" spans="2:11" ht="16">
      <c r="B674" s="2195" t="s">
        <v>147</v>
      </c>
      <c r="C674" s="434"/>
      <c r="D674" s="518"/>
      <c r="E674" s="2391" t="str">
        <f t="shared" si="110"/>
        <v xml:space="preserve"> </v>
      </c>
      <c r="F674" s="2392"/>
      <c r="G674" s="2196"/>
      <c r="H674" s="519">
        <v>0.1</v>
      </c>
      <c r="I674" s="2197">
        <f t="shared" si="109"/>
        <v>0</v>
      </c>
      <c r="J674" s="2196"/>
      <c r="K674" s="2198">
        <f t="shared" si="108"/>
        <v>0</v>
      </c>
    </row>
    <row r="675" spans="2:11" ht="16">
      <c r="B675" s="2195" t="s">
        <v>2035</v>
      </c>
      <c r="C675" s="434"/>
      <c r="D675" s="518"/>
      <c r="E675" s="2391" t="str">
        <f t="shared" si="110"/>
        <v xml:space="preserve"> </v>
      </c>
      <c r="F675" s="2392"/>
      <c r="G675" s="2196"/>
      <c r="H675" s="519">
        <v>0.1</v>
      </c>
      <c r="I675" s="2197">
        <f t="shared" si="109"/>
        <v>0</v>
      </c>
      <c r="J675" s="2196"/>
      <c r="K675" s="2198">
        <f t="shared" si="108"/>
        <v>0</v>
      </c>
    </row>
    <row r="676" spans="2:11" ht="16">
      <c r="B676" s="2195" t="s">
        <v>2036</v>
      </c>
      <c r="C676" s="434"/>
      <c r="D676" s="518"/>
      <c r="E676" s="2391" t="str">
        <f t="shared" si="110"/>
        <v xml:space="preserve"> </v>
      </c>
      <c r="F676" s="2392"/>
      <c r="G676" s="2196"/>
      <c r="H676" s="519">
        <v>0.05</v>
      </c>
      <c r="I676" s="2197">
        <f t="shared" si="109"/>
        <v>0</v>
      </c>
      <c r="J676" s="2196"/>
      <c r="K676" s="2198">
        <f t="shared" si="108"/>
        <v>0</v>
      </c>
    </row>
    <row r="677" spans="2:11" ht="16">
      <c r="B677" s="2199" t="s">
        <v>2037</v>
      </c>
      <c r="C677" s="434"/>
      <c r="D677" s="518"/>
      <c r="E677" s="2391" t="str">
        <f t="shared" si="110"/>
        <v xml:space="preserve"> </v>
      </c>
      <c r="F677" s="2392"/>
      <c r="G677" s="2196"/>
      <c r="H677" s="519">
        <v>0</v>
      </c>
      <c r="I677" s="2197">
        <f t="shared" si="109"/>
        <v>0</v>
      </c>
      <c r="J677" s="2196"/>
      <c r="K677" s="2198">
        <f t="shared" si="108"/>
        <v>0</v>
      </c>
    </row>
    <row r="678" spans="2:11" ht="16">
      <c r="B678" s="451"/>
      <c r="C678" s="452"/>
      <c r="D678" s="452"/>
      <c r="E678" s="453"/>
      <c r="F678" s="454" t="s">
        <v>317</v>
      </c>
      <c r="G678" s="2200">
        <f>SUM(G669:G677)</f>
        <v>641517</v>
      </c>
      <c r="H678" s="455"/>
      <c r="I678" s="2201">
        <f t="shared" ref="I678:K678" si="111">SUM(I669:I677)</f>
        <v>545289.44999999995</v>
      </c>
      <c r="J678" s="2200">
        <f>SUM(J669:J677)</f>
        <v>433064</v>
      </c>
      <c r="K678" s="2202">
        <f t="shared" si="111"/>
        <v>112225.44999999995</v>
      </c>
    </row>
    <row r="679" spans="2:11" ht="16">
      <c r="B679" s="444"/>
      <c r="C679" s="432"/>
      <c r="D679" s="432"/>
      <c r="E679" s="445"/>
      <c r="F679" s="445"/>
      <c r="G679" s="445"/>
      <c r="H679" s="431"/>
      <c r="I679" s="431"/>
      <c r="J679" s="431"/>
      <c r="K679" s="446"/>
    </row>
    <row r="680" spans="2:11" ht="18.75" customHeight="1">
      <c r="B680" s="429" t="s">
        <v>144</v>
      </c>
      <c r="C680" s="2203">
        <f>C65</f>
        <v>1609444</v>
      </c>
      <c r="D680" s="122"/>
      <c r="E680" s="122"/>
      <c r="F680" s="456" t="s">
        <v>318</v>
      </c>
      <c r="G680" s="2204">
        <f>IFERROR((C680+J678)/G678,0)</f>
        <v>3.1838719784510778</v>
      </c>
      <c r="H680" s="458"/>
      <c r="I680" s="122"/>
      <c r="J680" s="458" t="s">
        <v>319</v>
      </c>
      <c r="K680" s="2205">
        <f>IFERROR((J678+C680)/I678,0)</f>
        <v>3.7457317393542096</v>
      </c>
    </row>
    <row r="681" spans="2:11" ht="17">
      <c r="B681" s="429" t="s">
        <v>320</v>
      </c>
      <c r="C681" s="2206">
        <f>K678</f>
        <v>112225.44999999995</v>
      </c>
      <c r="D681" s="122"/>
      <c r="E681" s="122"/>
      <c r="F681" s="456" t="s">
        <v>321</v>
      </c>
      <c r="G681" s="2204">
        <f>IFERROR(G678/(C680+J678),0)</f>
        <v>0.31408298033593995</v>
      </c>
      <c r="H681" s="458"/>
      <c r="I681" s="122"/>
      <c r="J681" s="458" t="s">
        <v>322</v>
      </c>
      <c r="K681" s="2205">
        <f>IFERROR(I678/(J678+C680),0)</f>
        <v>0.26697053328554893</v>
      </c>
    </row>
    <row r="682" spans="2:11" ht="16">
      <c r="B682" s="2185" t="s">
        <v>323</v>
      </c>
      <c r="C682" s="2203">
        <f>IF(C680-C681&lt;0,0,C680-C681)</f>
        <v>1497218.55</v>
      </c>
      <c r="D682" s="432"/>
      <c r="E682" s="445"/>
      <c r="F682" s="445"/>
      <c r="G682" s="445"/>
      <c r="H682" s="431"/>
      <c r="I682" s="431"/>
      <c r="J682" s="431"/>
      <c r="K682" s="446"/>
    </row>
    <row r="683" spans="2:11" ht="16">
      <c r="B683" s="168" t="s">
        <v>110</v>
      </c>
      <c r="C683" s="2207">
        <f>J32</f>
        <v>0.75</v>
      </c>
      <c r="D683" s="2208"/>
      <c r="E683" s="2208"/>
      <c r="F683" s="2209" t="s">
        <v>324</v>
      </c>
      <c r="G683" s="2210">
        <f>C680-(K669+K670+K671)</f>
        <v>1497218.55</v>
      </c>
      <c r="H683" s="431"/>
      <c r="I683" s="431"/>
      <c r="J683" s="431"/>
      <c r="K683" s="446"/>
    </row>
    <row r="684" spans="2:11" ht="16">
      <c r="B684" s="429" t="s">
        <v>325</v>
      </c>
      <c r="C684" s="2203">
        <f>IF(C682&gt;0,C683*C682,0)</f>
        <v>1122913.9125000001</v>
      </c>
      <c r="D684" s="2390"/>
      <c r="E684" s="2390"/>
      <c r="F684" s="2211"/>
      <c r="G684" s="445"/>
      <c r="H684" s="431"/>
      <c r="I684" s="431"/>
      <c r="J684" s="431"/>
      <c r="K684" s="446"/>
    </row>
    <row r="685" spans="2:11" ht="16">
      <c r="B685" s="429" t="s">
        <v>326</v>
      </c>
      <c r="C685" s="2212">
        <f>IF(C684&gt;0,C682-C684,0)</f>
        <v>374304.63749999995</v>
      </c>
      <c r="D685" s="2390"/>
      <c r="E685" s="2390"/>
      <c r="F685" s="2213"/>
      <c r="G685" s="445"/>
      <c r="H685" s="431"/>
      <c r="I685" s="431"/>
      <c r="J685" s="431"/>
      <c r="K685" s="446"/>
    </row>
    <row r="686" spans="2:11" ht="17" thickBot="1">
      <c r="B686" s="436"/>
      <c r="C686" s="439"/>
      <c r="D686" s="439"/>
      <c r="E686" s="440"/>
      <c r="F686" s="440"/>
      <c r="G686" s="440"/>
      <c r="H686" s="442"/>
      <c r="I686" s="442"/>
      <c r="J686" s="442"/>
      <c r="K686" s="443"/>
    </row>
  </sheetData>
  <sheetProtection algorithmName="SHA-512" hashValue="nHj4eQTtOJqfeUVsq4wmayU6mbaaTEbr8PKTv9zucjWM+rleBN24JJjyul1jLJzfDFoWgteL38A8vNP5x4zQYA==" saltValue="HLkYe45ppjP1lRn4xu7Qgg==" spinCount="100000" sheet="1" scenarios="1" formatCells="0" formatColumns="0" formatRows="0"/>
  <dataConsolidate/>
  <mergeCells count="112">
    <mergeCell ref="D684:E684"/>
    <mergeCell ref="D685:E685"/>
    <mergeCell ref="E672:F672"/>
    <mergeCell ref="E673:F673"/>
    <mergeCell ref="E674:F674"/>
    <mergeCell ref="E675:F675"/>
    <mergeCell ref="E676:F676"/>
    <mergeCell ref="E677:F677"/>
    <mergeCell ref="B666:K666"/>
    <mergeCell ref="B667:K667"/>
    <mergeCell ref="E668:F668"/>
    <mergeCell ref="E669:F669"/>
    <mergeCell ref="E670:F670"/>
    <mergeCell ref="E671:F671"/>
    <mergeCell ref="B461:K461"/>
    <mergeCell ref="B537:D537"/>
    <mergeCell ref="B539:K539"/>
    <mergeCell ref="B540:K540"/>
    <mergeCell ref="B616:D616"/>
    <mergeCell ref="B618:K618"/>
    <mergeCell ref="B303:K303"/>
    <mergeCell ref="B379:D379"/>
    <mergeCell ref="B381:K381"/>
    <mergeCell ref="B382:K382"/>
    <mergeCell ref="B458:D458"/>
    <mergeCell ref="B460:K460"/>
    <mergeCell ref="B205:K205"/>
    <mergeCell ref="B222:K222"/>
    <mergeCell ref="B223:K223"/>
    <mergeCell ref="B224:K224"/>
    <mergeCell ref="B300:D300"/>
    <mergeCell ref="B302:K302"/>
    <mergeCell ref="B80:C80"/>
    <mergeCell ref="B82:K82"/>
    <mergeCell ref="B83:K83"/>
    <mergeCell ref="B169:K169"/>
    <mergeCell ref="B197:C197"/>
    <mergeCell ref="B203:D203"/>
    <mergeCell ref="BG59:BH59"/>
    <mergeCell ref="BG60:BH60"/>
    <mergeCell ref="BG61:BH61"/>
    <mergeCell ref="BG62:BH62"/>
    <mergeCell ref="BG63:BH63"/>
    <mergeCell ref="B69:K69"/>
    <mergeCell ref="Q55:T55"/>
    <mergeCell ref="Q56:T56"/>
    <mergeCell ref="BE56:BF56"/>
    <mergeCell ref="Q57:T57"/>
    <mergeCell ref="BC57:BL57"/>
    <mergeCell ref="Q58:T58"/>
    <mergeCell ref="BG58:BH58"/>
    <mergeCell ref="BC48:BF48"/>
    <mergeCell ref="BC49:BF49"/>
    <mergeCell ref="BC50:BL50"/>
    <mergeCell ref="BC51:BF51"/>
    <mergeCell ref="BG51:BI51"/>
    <mergeCell ref="BJ51:BL51"/>
    <mergeCell ref="Q44:T44"/>
    <mergeCell ref="B45:K45"/>
    <mergeCell ref="Q45:T45"/>
    <mergeCell ref="BC45:BL45"/>
    <mergeCell ref="BF46:BG46"/>
    <mergeCell ref="BC47:BL47"/>
    <mergeCell ref="U29:U58"/>
    <mergeCell ref="J40:K40"/>
    <mergeCell ref="Q40:T40"/>
    <mergeCell ref="J41:K41"/>
    <mergeCell ref="Q41:T41"/>
    <mergeCell ref="Q42:T42"/>
    <mergeCell ref="I43:J43"/>
    <mergeCell ref="Q43:T43"/>
    <mergeCell ref="J37:K37"/>
    <mergeCell ref="Q37:T37"/>
    <mergeCell ref="J38:K38"/>
    <mergeCell ref="Q38:T38"/>
    <mergeCell ref="J39:K39"/>
    <mergeCell ref="Q39:T39"/>
    <mergeCell ref="J34:K34"/>
    <mergeCell ref="Q34:T34"/>
    <mergeCell ref="J35:K35"/>
    <mergeCell ref="Q35:T35"/>
    <mergeCell ref="J36:K36"/>
    <mergeCell ref="Q36:T36"/>
    <mergeCell ref="F28:G28"/>
    <mergeCell ref="B29:K29"/>
    <mergeCell ref="Q29:T29"/>
    <mergeCell ref="Q30:T30"/>
    <mergeCell ref="Q31:T31"/>
    <mergeCell ref="J32:K32"/>
    <mergeCell ref="Q32:T32"/>
    <mergeCell ref="J33:K33"/>
    <mergeCell ref="Q33:T33"/>
    <mergeCell ref="B16:C16"/>
    <mergeCell ref="D16:E16"/>
    <mergeCell ref="C26:E26"/>
    <mergeCell ref="F26:I26"/>
    <mergeCell ref="C27:E27"/>
    <mergeCell ref="F27:I27"/>
    <mergeCell ref="B13:C13"/>
    <mergeCell ref="D13:E13"/>
    <mergeCell ref="B14:C14"/>
    <mergeCell ref="D14:E14"/>
    <mergeCell ref="J14:K14"/>
    <mergeCell ref="B15:C15"/>
    <mergeCell ref="D15:E15"/>
    <mergeCell ref="B2:B4"/>
    <mergeCell ref="B7:K7"/>
    <mergeCell ref="B8:E8"/>
    <mergeCell ref="D11:E11"/>
    <mergeCell ref="B12:C12"/>
    <mergeCell ref="D12:E12"/>
    <mergeCell ref="J12:K12"/>
  </mergeCells>
  <conditionalFormatting sqref="C64:G64">
    <cfRule type="expression" dxfId="63" priority="17">
      <formula>$C$32=504</formula>
    </cfRule>
  </conditionalFormatting>
  <conditionalFormatting sqref="N31:N43 N50:N56">
    <cfRule type="expression" dxfId="62" priority="16">
      <formula>OR(ISBLANK(+N31),ISTEXT(N31))</formula>
    </cfRule>
  </conditionalFormatting>
  <conditionalFormatting sqref="N36">
    <cfRule type="containsBlanks" dxfId="61" priority="15">
      <formula>LEN(TRIM(N36))=0</formula>
    </cfRule>
  </conditionalFormatting>
  <conditionalFormatting sqref="N45">
    <cfRule type="cellIs" dxfId="60" priority="14" operator="greaterThan">
      <formula>5000000</formula>
    </cfRule>
  </conditionalFormatting>
  <conditionalFormatting sqref="N30">
    <cfRule type="expression" dxfId="59" priority="13">
      <formula>OR(ISBLANK(+N30),ISTEXT(N30))</formula>
    </cfRule>
  </conditionalFormatting>
  <conditionalFormatting sqref="N44">
    <cfRule type="expression" dxfId="58" priority="12">
      <formula>OR(ISBLANK(+N44),ISTEXT(N44))</formula>
    </cfRule>
  </conditionalFormatting>
  <conditionalFormatting sqref="N44">
    <cfRule type="expression" dxfId="57" priority="11">
      <formula>OR(ISBLANK(+N44),ISTEXT(N44))</formula>
    </cfRule>
  </conditionalFormatting>
  <conditionalFormatting sqref="M46">
    <cfRule type="expression" dxfId="56" priority="10">
      <formula>$H$29&gt;5000000</formula>
    </cfRule>
  </conditionalFormatting>
  <conditionalFormatting sqref="N49">
    <cfRule type="expression" dxfId="55" priority="9">
      <formula>OR(ISBLANK(+N49),ISTEXT(N49))</formula>
    </cfRule>
  </conditionalFormatting>
  <conditionalFormatting sqref="N57">
    <cfRule type="expression" dxfId="54" priority="8">
      <formula>OR(ISBLANK(+N57),ISTEXT(N57))</formula>
    </cfRule>
  </conditionalFormatting>
  <conditionalFormatting sqref="N57">
    <cfRule type="expression" dxfId="53" priority="7">
      <formula>OR(ISBLANK(+N57),ISTEXT(N57))</formula>
    </cfRule>
  </conditionalFormatting>
  <conditionalFormatting sqref="M58">
    <cfRule type="expression" dxfId="52" priority="6">
      <formula>$H$29&gt;5000000</formula>
    </cfRule>
  </conditionalFormatting>
  <conditionalFormatting sqref="P45">
    <cfRule type="cellIs" dxfId="51" priority="5" operator="greaterThan">
      <formula>5000000</formula>
    </cfRule>
  </conditionalFormatting>
  <conditionalFormatting sqref="H78">
    <cfRule type="cellIs" dxfId="50" priority="4" operator="lessThan">
      <formula>0</formula>
    </cfRule>
  </conditionalFormatting>
  <conditionalFormatting sqref="G219">
    <cfRule type="cellIs" dxfId="49" priority="2" operator="greaterThanOrEqual">
      <formula>0.1</formula>
    </cfRule>
    <cfRule type="cellIs" dxfId="48" priority="3" operator="lessThan">
      <formula>0.1</formula>
    </cfRule>
  </conditionalFormatting>
  <conditionalFormatting sqref="C33:F33">
    <cfRule type="cellIs" dxfId="47" priority="1" operator="notEqual">
      <formula>$F$65</formula>
    </cfRule>
  </conditionalFormatting>
  <dataValidations count="3">
    <dataValidation type="whole" operator="greaterThanOrEqual" showInputMessage="1" showErrorMessage="1" sqref="P30:P44 N30:O43 N49:P57" xr:uid="{80AE1604-9991-DA48-8275-6AE6496C7BCC}">
      <formula1>0</formula1>
    </dataValidation>
    <dataValidation type="list" allowBlank="1" showInputMessage="1" showErrorMessage="1" sqref="G17" xr:uid="{71A9F1A7-2958-9F4A-9FAE-8CB9CE031459}">
      <formula1>"No,Yes"</formula1>
    </dataValidation>
    <dataValidation type="list" allowBlank="1" showInputMessage="1" showErrorMessage="1" sqref="D12:E17" xr:uid="{F4E3922A-E012-2248-BD1F-92199AC3DA86}">
      <formula1>"Borrower/EPC,Operating Company,Co-Borrower,Corp. Guarantor,Affiliate"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1441" r:id="rId4" name="Button 1">
              <controlPr defaultSize="0" print="0" autoFill="0" autoPict="0" macro="[1]!BDO_Proj_Adjust" altText="Clicking this button will move the guarantee fee from the borrower column to the T Bank column.  Reducing it to Zero for the borrower and adjusting it to the appropriate amount for the full loan.">
                <anchor moveWithCells="1" sizeWithCells="1">
                  <from>
                    <xdr:col>1</xdr:col>
                    <xdr:colOff>127000</xdr:colOff>
                    <xdr:row>64</xdr:row>
                    <xdr:rowOff>114300</xdr:rowOff>
                  </from>
                  <to>
                    <xdr:col>1</xdr:col>
                    <xdr:colOff>2679700</xdr:colOff>
                    <xdr:row>66</xdr:row>
                    <xdr:rowOff>88900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68A4-9284-C44D-802F-621AE0F44BA4}">
  <dimension ref="B2:M37"/>
  <sheetViews>
    <sheetView workbookViewId="0">
      <selection activeCell="M11" sqref="M11"/>
    </sheetView>
  </sheetViews>
  <sheetFormatPr baseColWidth="10" defaultRowHeight="15"/>
  <cols>
    <col min="3" max="3" width="22" customWidth="1"/>
    <col min="5" max="5" width="10.6640625" customWidth="1"/>
    <col min="11" max="11" width="12.1640625" bestFit="1" customWidth="1"/>
  </cols>
  <sheetData>
    <row r="2" spans="2:11">
      <c r="B2" t="s">
        <v>242</v>
      </c>
    </row>
    <row r="3" spans="2:11">
      <c r="K3">
        <f>(J4-J7)/J5</f>
        <v>2.5934077571407568</v>
      </c>
    </row>
    <row r="4" spans="2:11">
      <c r="C4" t="s">
        <v>243</v>
      </c>
      <c r="D4">
        <v>717444</v>
      </c>
      <c r="F4">
        <v>612441</v>
      </c>
      <c r="H4">
        <v>578810</v>
      </c>
      <c r="J4">
        <v>706434.00000000012</v>
      </c>
      <c r="K4" s="2214">
        <f>J4-J7</f>
        <v>677441.66666666674</v>
      </c>
    </row>
    <row r="5" spans="2:11">
      <c r="C5" t="s">
        <v>244</v>
      </c>
      <c r="D5">
        <v>284963.77813801775</v>
      </c>
      <c r="F5">
        <v>284963.77813801775</v>
      </c>
      <c r="H5">
        <v>284963.77813801775</v>
      </c>
      <c r="J5">
        <v>261216.79662651627</v>
      </c>
      <c r="K5">
        <f>K4/J5</f>
        <v>2.5934077571407568</v>
      </c>
    </row>
    <row r="6" spans="2:11">
      <c r="K6" s="2214"/>
    </row>
    <row r="7" spans="2:11">
      <c r="C7" t="s">
        <v>245</v>
      </c>
      <c r="D7">
        <v>31628</v>
      </c>
      <c r="F7">
        <v>31628</v>
      </c>
      <c r="H7">
        <v>31628</v>
      </c>
      <c r="J7">
        <v>28992.333333333332</v>
      </c>
      <c r="K7" s="2214"/>
    </row>
    <row r="8" spans="2:11">
      <c r="C8" t="s">
        <v>246</v>
      </c>
      <c r="D8">
        <v>0</v>
      </c>
      <c r="F8">
        <v>0</v>
      </c>
      <c r="H8">
        <v>0</v>
      </c>
      <c r="J8">
        <v>0</v>
      </c>
      <c r="K8" s="2214"/>
    </row>
    <row r="9" spans="2:11">
      <c r="C9" t="s">
        <v>247</v>
      </c>
      <c r="D9">
        <v>0</v>
      </c>
      <c r="F9">
        <v>0</v>
      </c>
      <c r="H9">
        <v>0</v>
      </c>
      <c r="J9">
        <v>0</v>
      </c>
      <c r="K9" s="2214"/>
    </row>
    <row r="10" spans="2:11">
      <c r="C10" t="s">
        <v>248</v>
      </c>
      <c r="D10">
        <v>0</v>
      </c>
      <c r="F10">
        <v>0</v>
      </c>
      <c r="H10">
        <v>0</v>
      </c>
      <c r="J10">
        <v>0</v>
      </c>
      <c r="K10" s="2214"/>
    </row>
    <row r="11" spans="2:11">
      <c r="K11" s="2214"/>
    </row>
    <row r="12" spans="2:11">
      <c r="C12" t="s">
        <v>249</v>
      </c>
      <c r="D12">
        <v>951939</v>
      </c>
      <c r="F12">
        <v>813644</v>
      </c>
      <c r="H12">
        <v>677202</v>
      </c>
      <c r="J12">
        <v>1057220</v>
      </c>
      <c r="K12" s="2214">
        <f>J12-J15</f>
        <v>1057220</v>
      </c>
    </row>
    <row r="13" spans="2:11">
      <c r="C13" t="s">
        <v>250</v>
      </c>
      <c r="D13">
        <v>672000</v>
      </c>
      <c r="F13">
        <v>672000</v>
      </c>
      <c r="H13">
        <v>672000</v>
      </c>
      <c r="J13">
        <v>560000</v>
      </c>
      <c r="K13" s="2214"/>
    </row>
    <row r="14" spans="2:11">
      <c r="D14">
        <f>D12-D13</f>
        <v>279939</v>
      </c>
      <c r="K14" s="2214"/>
    </row>
    <row r="15" spans="2:11">
      <c r="C15" t="s">
        <v>251</v>
      </c>
      <c r="D15">
        <v>0</v>
      </c>
      <c r="F15">
        <v>0</v>
      </c>
      <c r="H15">
        <v>0</v>
      </c>
      <c r="J15">
        <v>0</v>
      </c>
      <c r="K15" s="2214"/>
    </row>
    <row r="16" spans="2:11">
      <c r="C16" t="s">
        <v>252</v>
      </c>
      <c r="D16">
        <v>0</v>
      </c>
      <c r="F16">
        <v>0</v>
      </c>
      <c r="H16">
        <v>0</v>
      </c>
      <c r="J16">
        <v>0</v>
      </c>
      <c r="K16">
        <f>(K12+K4)/(J5+J13)</f>
        <v>2.1123066086720326</v>
      </c>
    </row>
    <row r="17" spans="2:13">
      <c r="K17" s="2214"/>
    </row>
    <row r="18" spans="2:13">
      <c r="C18" t="s">
        <v>253</v>
      </c>
      <c r="D18">
        <v>0</v>
      </c>
      <c r="F18">
        <v>0</v>
      </c>
      <c r="H18">
        <v>0</v>
      </c>
      <c r="J18">
        <v>0</v>
      </c>
      <c r="K18" s="2214"/>
    </row>
    <row r="19" spans="2:13">
      <c r="C19" t="s">
        <v>254</v>
      </c>
      <c r="D19">
        <v>0</v>
      </c>
      <c r="F19">
        <v>0</v>
      </c>
      <c r="H19">
        <v>0</v>
      </c>
      <c r="J19">
        <v>0</v>
      </c>
      <c r="K19" s="2214"/>
    </row>
    <row r="20" spans="2:13">
      <c r="K20" s="2214"/>
    </row>
    <row r="21" spans="2:13">
      <c r="C21" t="s">
        <v>255</v>
      </c>
      <c r="D21">
        <v>0</v>
      </c>
      <c r="F21">
        <v>0</v>
      </c>
      <c r="H21">
        <v>0</v>
      </c>
      <c r="J21">
        <v>0</v>
      </c>
      <c r="K21" s="2214"/>
    </row>
    <row r="22" spans="2:13">
      <c r="C22" t="s">
        <v>256</v>
      </c>
      <c r="D22">
        <v>0</v>
      </c>
      <c r="F22">
        <v>0</v>
      </c>
      <c r="H22">
        <v>0</v>
      </c>
      <c r="J22">
        <v>0</v>
      </c>
      <c r="K22" s="2214"/>
    </row>
    <row r="23" spans="2:13">
      <c r="K23" s="2214"/>
    </row>
    <row r="24" spans="2:13">
      <c r="C24" t="s">
        <v>257</v>
      </c>
      <c r="D24">
        <v>0</v>
      </c>
      <c r="F24">
        <v>0</v>
      </c>
      <c r="H24">
        <v>0</v>
      </c>
      <c r="J24">
        <v>0</v>
      </c>
      <c r="K24" s="2214"/>
    </row>
    <row r="25" spans="2:13">
      <c r="C25" t="s">
        <v>258</v>
      </c>
      <c r="D25">
        <v>0</v>
      </c>
      <c r="F25">
        <v>0</v>
      </c>
      <c r="H25">
        <v>0</v>
      </c>
      <c r="J25">
        <v>0</v>
      </c>
      <c r="K25" s="2214"/>
    </row>
    <row r="26" spans="2:13">
      <c r="K26" s="2214"/>
    </row>
    <row r="27" spans="2:13">
      <c r="C27" t="s">
        <v>259</v>
      </c>
      <c r="D27">
        <v>1637755</v>
      </c>
      <c r="F27">
        <v>1394457</v>
      </c>
      <c r="H27">
        <v>1224384</v>
      </c>
      <c r="J27">
        <v>1734661.6666666667</v>
      </c>
      <c r="K27" s="2214">
        <f>J27-K4</f>
        <v>1057220</v>
      </c>
    </row>
    <row r="28" spans="2:13">
      <c r="C28" t="s">
        <v>260</v>
      </c>
      <c r="D28">
        <v>956963.77813801775</v>
      </c>
      <c r="F28">
        <v>956963.77813801775</v>
      </c>
      <c r="H28">
        <v>956963.77813801775</v>
      </c>
      <c r="J28">
        <v>821216.79662651627</v>
      </c>
      <c r="K28" s="2214"/>
    </row>
    <row r="29" spans="2:13">
      <c r="K29" s="2214"/>
      <c r="L29" s="2395"/>
      <c r="M29" s="2395"/>
    </row>
    <row r="30" spans="2:13">
      <c r="B30" t="s">
        <v>2013</v>
      </c>
      <c r="K30" s="2214"/>
    </row>
    <row r="31" spans="2:13">
      <c r="C31" t="s">
        <v>261</v>
      </c>
      <c r="D31">
        <v>1.7114075134448772</v>
      </c>
      <c r="F31">
        <v>1.4571680055782477</v>
      </c>
      <c r="H31">
        <v>1.2794465453878587</v>
      </c>
      <c r="J31">
        <v>2.1123066086720326</v>
      </c>
      <c r="K31" s="2214"/>
    </row>
    <row r="32" spans="2:13">
      <c r="C32" t="s">
        <v>239</v>
      </c>
      <c r="D32">
        <v>1.6924740732992023</v>
      </c>
      <c r="F32">
        <v>1.441047237731276</v>
      </c>
      <c r="H32">
        <v>1.2652919244712246</v>
      </c>
      <c r="J32">
        <v>2.0873632657150032</v>
      </c>
      <c r="K32" s="2214"/>
    </row>
    <row r="33" spans="3:11">
      <c r="C33" t="s">
        <v>240</v>
      </c>
      <c r="D33">
        <v>1.6735480094181243</v>
      </c>
      <c r="F33">
        <v>1.4249327503620317</v>
      </c>
      <c r="H33">
        <v>1.2511428180426258</v>
      </c>
      <c r="J33">
        <v>2.0624671966874533</v>
      </c>
      <c r="K33" s="2214"/>
    </row>
    <row r="34" spans="3:11">
      <c r="C34" t="s">
        <v>241</v>
      </c>
      <c r="D34">
        <v>1.6546515670578317</v>
      </c>
      <c r="F34">
        <v>1.408843484064932</v>
      </c>
      <c r="H34">
        <v>1.2370158566333402</v>
      </c>
      <c r="J34">
        <v>2.0376474692649156</v>
      </c>
      <c r="K34" s="2214"/>
    </row>
    <row r="35" spans="3:11">
      <c r="K35" s="2214"/>
    </row>
    <row r="36" spans="3:11">
      <c r="K36" s="2214"/>
    </row>
    <row r="37" spans="3:11">
      <c r="K37" s="2214"/>
    </row>
  </sheetData>
  <mergeCells count="1">
    <mergeCell ref="L29:M29"/>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53CF5-11CF-4898-BE61-4A310A89E7EE}">
  <sheetPr codeName="Sheet16">
    <tabColor rgb="FFFFFF00"/>
    <pageSetUpPr autoPageBreaks="0" fitToPage="1"/>
  </sheetPr>
  <dimension ref="A1:S292"/>
  <sheetViews>
    <sheetView showGridLines="0" zoomScaleNormal="100" workbookViewId="0">
      <selection activeCell="F7" sqref="F7"/>
    </sheetView>
  </sheetViews>
  <sheetFormatPr baseColWidth="10" defaultColWidth="8.83203125" defaultRowHeight="15" outlineLevelRow="1"/>
  <cols>
    <col min="1" max="1" width="2.6640625" style="43" customWidth="1"/>
    <col min="2" max="2" width="28.5" style="43" customWidth="1"/>
    <col min="3" max="3" width="12.6640625" style="43" customWidth="1"/>
    <col min="4" max="4" width="18.83203125" style="43" customWidth="1"/>
    <col min="5" max="5" width="14.5" style="43" customWidth="1"/>
    <col min="6" max="6" width="19.5" style="43" customWidth="1"/>
    <col min="7" max="7" width="12.5" style="43" customWidth="1"/>
    <col min="8" max="8" width="15" style="43" customWidth="1"/>
    <col min="9" max="9" width="15.83203125" style="43" customWidth="1"/>
    <col min="10" max="16384" width="8.83203125" style="43"/>
  </cols>
  <sheetData>
    <row r="1" spans="2:14" ht="16" thickBot="1">
      <c r="B1" s="128"/>
      <c r="C1" s="128"/>
      <c r="D1" s="128"/>
      <c r="E1" s="128"/>
      <c r="F1" s="128"/>
      <c r="G1" s="128"/>
      <c r="H1" s="128"/>
      <c r="I1" s="128"/>
      <c r="J1" s="128"/>
      <c r="K1" s="128"/>
      <c r="L1" s="128"/>
      <c r="M1" s="128"/>
      <c r="N1" s="128"/>
    </row>
    <row r="2" spans="2:14" ht="16" thickBot="1">
      <c r="B2" s="2442" t="s">
        <v>328</v>
      </c>
      <c r="C2" s="2443"/>
      <c r="D2" s="2443"/>
      <c r="E2" s="2443"/>
      <c r="F2" s="2443"/>
      <c r="G2" s="2443"/>
      <c r="H2" s="2443"/>
      <c r="I2" s="2444"/>
      <c r="J2" s="128"/>
      <c r="K2" s="128"/>
      <c r="L2" s="2533"/>
      <c r="M2" s="2533"/>
      <c r="N2" s="2533"/>
    </row>
    <row r="3" spans="2:14" ht="16" thickBot="1">
      <c r="B3" s="157" t="s">
        <v>329</v>
      </c>
      <c r="C3" s="2534"/>
      <c r="D3" s="2534"/>
      <c r="E3" s="2534"/>
      <c r="F3" s="2534"/>
      <c r="G3" s="2534"/>
      <c r="H3" s="2534"/>
      <c r="I3" s="2535"/>
      <c r="J3" s="128"/>
      <c r="K3" s="128"/>
      <c r="L3" s="128"/>
      <c r="M3" s="128"/>
      <c r="N3" s="128"/>
    </row>
    <row r="4" spans="2:14" ht="16" thickBot="1">
      <c r="B4" s="167" t="s">
        <v>330</v>
      </c>
      <c r="C4" s="2540"/>
      <c r="D4" s="2541"/>
      <c r="E4" s="2542"/>
      <c r="F4" s="191" t="s">
        <v>331</v>
      </c>
      <c r="G4" s="2543"/>
      <c r="H4" s="2544"/>
      <c r="I4" s="2545"/>
      <c r="J4" s="128"/>
      <c r="K4" s="2575" t="s">
        <v>332</v>
      </c>
      <c r="L4" s="2576"/>
      <c r="M4" s="2577"/>
      <c r="N4" s="128"/>
    </row>
    <row r="5" spans="2:14">
      <c r="B5" s="167" t="s">
        <v>333</v>
      </c>
      <c r="C5" s="2540"/>
      <c r="D5" s="2541"/>
      <c r="E5" s="2542"/>
      <c r="F5" s="191" t="s">
        <v>331</v>
      </c>
      <c r="G5" s="2543"/>
      <c r="H5" s="2544"/>
      <c r="I5" s="2545"/>
      <c r="J5" s="128"/>
      <c r="K5" s="128"/>
      <c r="L5" s="128"/>
      <c r="M5" s="128"/>
      <c r="N5" s="128"/>
    </row>
    <row r="6" spans="2:14">
      <c r="B6" s="167" t="s">
        <v>334</v>
      </c>
      <c r="C6" s="2536"/>
      <c r="D6" s="2537"/>
      <c r="E6" s="152" t="s">
        <v>335</v>
      </c>
      <c r="F6" s="1459"/>
      <c r="G6" s="152" t="s">
        <v>336</v>
      </c>
      <c r="H6" s="2538"/>
      <c r="I6" s="2539"/>
      <c r="J6" s="128"/>
      <c r="K6" s="128"/>
      <c r="L6" s="128"/>
      <c r="M6" s="128"/>
      <c r="N6" s="128"/>
    </row>
    <row r="7" spans="2:14" ht="16.5" customHeight="1">
      <c r="B7" s="1391" t="s">
        <v>337</v>
      </c>
      <c r="C7" s="499"/>
      <c r="D7" s="152" t="s">
        <v>338</v>
      </c>
      <c r="E7" s="142"/>
      <c r="F7" s="152" t="s">
        <v>339</v>
      </c>
      <c r="G7" s="1460"/>
      <c r="H7" s="166" t="s">
        <v>340</v>
      </c>
      <c r="I7" s="1394"/>
      <c r="J7" s="128"/>
      <c r="K7" s="128"/>
      <c r="L7" s="128"/>
      <c r="M7" s="128"/>
      <c r="N7" s="128"/>
    </row>
    <row r="8" spans="2:14" ht="16">
      <c r="B8" s="196" t="s">
        <v>341</v>
      </c>
      <c r="C8" s="130"/>
      <c r="D8" s="166" t="s">
        <v>342</v>
      </c>
      <c r="E8" s="1628"/>
      <c r="F8" s="152" t="s">
        <v>343</v>
      </c>
      <c r="G8" s="1627"/>
      <c r="H8" s="166" t="s">
        <v>344</v>
      </c>
      <c r="I8" s="1626"/>
      <c r="J8" s="128"/>
      <c r="K8" s="128"/>
      <c r="L8" s="128"/>
      <c r="M8" s="128"/>
      <c r="N8" s="128"/>
    </row>
    <row r="9" spans="2:14">
      <c r="B9" s="196" t="s">
        <v>345</v>
      </c>
      <c r="C9" s="1390"/>
      <c r="D9" s="197" t="s">
        <v>346</v>
      </c>
      <c r="E9" s="1461"/>
      <c r="F9" s="1389" t="s">
        <v>347</v>
      </c>
      <c r="G9" s="2503"/>
      <c r="H9" s="2455"/>
      <c r="I9" s="2504"/>
      <c r="J9" s="128"/>
      <c r="K9" s="128"/>
      <c r="L9" s="128"/>
      <c r="M9" s="128"/>
      <c r="N9" s="128"/>
    </row>
    <row r="10" spans="2:14">
      <c r="B10" s="167" t="s">
        <v>348</v>
      </c>
      <c r="C10" s="2546"/>
      <c r="D10" s="2546"/>
      <c r="E10" s="2546"/>
      <c r="F10" s="152" t="s">
        <v>349</v>
      </c>
      <c r="G10" s="1481"/>
      <c r="H10" s="197" t="s">
        <v>350</v>
      </c>
      <c r="I10" s="1396"/>
      <c r="J10" s="128"/>
      <c r="K10" s="128"/>
      <c r="L10" s="128"/>
      <c r="M10" s="128"/>
      <c r="N10" s="128"/>
    </row>
    <row r="11" spans="2:14">
      <c r="B11" s="1397" t="s">
        <v>351</v>
      </c>
      <c r="C11" s="2447"/>
      <c r="D11" s="2447"/>
      <c r="E11" s="2447"/>
      <c r="F11" s="2447"/>
      <c r="G11" s="2447"/>
      <c r="H11" s="2447"/>
      <c r="I11" s="2448"/>
      <c r="J11" s="128"/>
      <c r="K11" s="128"/>
      <c r="L11" s="128"/>
      <c r="M11" s="128"/>
      <c r="N11" s="128"/>
    </row>
    <row r="12" spans="2:14">
      <c r="B12" s="1397" t="s">
        <v>352</v>
      </c>
      <c r="C12" s="2447"/>
      <c r="D12" s="2447"/>
      <c r="E12" s="2447"/>
      <c r="F12" s="1398" t="s">
        <v>353</v>
      </c>
      <c r="G12" s="2547"/>
      <c r="H12" s="2447"/>
      <c r="I12" s="2448"/>
      <c r="J12" s="128"/>
      <c r="K12" s="128"/>
      <c r="L12" s="128"/>
      <c r="M12" s="128"/>
      <c r="N12" s="128"/>
    </row>
    <row r="13" spans="2:14">
      <c r="B13" s="1397" t="s">
        <v>354</v>
      </c>
      <c r="C13" s="2447"/>
      <c r="D13" s="2447"/>
      <c r="E13" s="2447"/>
      <c r="F13" s="2447"/>
      <c r="G13" s="2447"/>
      <c r="H13" s="2447"/>
      <c r="I13" s="2448"/>
      <c r="J13" s="128"/>
      <c r="K13" s="128"/>
      <c r="L13" s="128"/>
      <c r="M13" s="128"/>
      <c r="N13" s="128"/>
    </row>
    <row r="14" spans="2:14" ht="16">
      <c r="B14" s="167" t="s">
        <v>355</v>
      </c>
      <c r="C14" s="1399">
        <f>UOP!P7</f>
        <v>0</v>
      </c>
      <c r="D14" s="191" t="s">
        <v>356</v>
      </c>
      <c r="E14" s="1399">
        <f>'UOP (2)'!P7</f>
        <v>0</v>
      </c>
      <c r="F14" s="198" t="s">
        <v>357</v>
      </c>
      <c r="G14" s="1400"/>
      <c r="H14" s="198" t="s">
        <v>358</v>
      </c>
      <c r="I14" s="1401"/>
      <c r="J14" s="128"/>
      <c r="K14" s="128"/>
      <c r="L14" s="128"/>
      <c r="M14" s="128"/>
      <c r="N14" s="128"/>
    </row>
    <row r="15" spans="2:14" ht="16">
      <c r="B15" s="196" t="s">
        <v>359</v>
      </c>
      <c r="C15" s="1400"/>
      <c r="D15" s="198" t="s">
        <v>360</v>
      </c>
      <c r="E15" s="1400"/>
      <c r="F15" s="144" t="s">
        <v>361</v>
      </c>
      <c r="G15" s="1400"/>
      <c r="H15" s="165" t="s">
        <v>362</v>
      </c>
      <c r="I15" s="1401"/>
      <c r="J15" s="128"/>
      <c r="K15" s="128"/>
      <c r="L15" s="128"/>
      <c r="M15" s="128"/>
      <c r="N15" s="128"/>
    </row>
    <row r="16" spans="2:14" ht="16" thickBot="1">
      <c r="B16" s="167" t="s">
        <v>363</v>
      </c>
      <c r="C16" s="1400">
        <f>UOP!E123+'UOP (2)'!E123</f>
        <v>0</v>
      </c>
      <c r="D16" s="2531" t="s">
        <v>364</v>
      </c>
      <c r="E16" s="2532"/>
      <c r="F16" s="1400"/>
      <c r="G16" s="2531" t="s">
        <v>365</v>
      </c>
      <c r="H16" s="2532"/>
      <c r="I16" s="1402">
        <f>C14+E14+C15+E15+G15-I15-C16-F16</f>
        <v>0</v>
      </c>
      <c r="J16" s="128"/>
      <c r="K16" s="128"/>
      <c r="L16" s="128"/>
      <c r="M16" s="128"/>
      <c r="N16" s="128"/>
    </row>
    <row r="17" spans="2:9" ht="16" thickBot="1">
      <c r="B17" s="2459" t="s">
        <v>366</v>
      </c>
      <c r="C17" s="2460"/>
      <c r="D17" s="2460"/>
      <c r="E17" s="2460"/>
      <c r="F17" s="2460"/>
      <c r="G17" s="2460"/>
      <c r="H17" s="2460"/>
      <c r="I17" s="2461"/>
    </row>
    <row r="18" spans="2:9" ht="16">
      <c r="B18" s="157" t="s">
        <v>367</v>
      </c>
      <c r="C18" s="2489">
        <f>UOP!D59</f>
        <v>0</v>
      </c>
      <c r="D18" s="2490"/>
      <c r="E18" s="2491"/>
      <c r="F18" s="1746" t="s">
        <v>368</v>
      </c>
      <c r="G18" s="1406"/>
      <c r="H18" s="180" t="s">
        <v>369</v>
      </c>
      <c r="I18" s="1407"/>
    </row>
    <row r="19" spans="2:9">
      <c r="B19" s="167" t="s">
        <v>370</v>
      </c>
      <c r="C19" s="152">
        <f>UOP!P6</f>
        <v>0</v>
      </c>
      <c r="D19" s="143" t="s">
        <v>371</v>
      </c>
      <c r="E19" s="1730"/>
      <c r="F19" s="144" t="s">
        <v>372</v>
      </c>
      <c r="G19" s="2551"/>
      <c r="H19" s="2551"/>
      <c r="I19" s="2552"/>
    </row>
    <row r="20" spans="2:9" ht="14.5" customHeight="1">
      <c r="B20" s="174" t="s">
        <v>373</v>
      </c>
      <c r="C20" s="1408"/>
      <c r="D20" s="187" t="s">
        <v>374</v>
      </c>
      <c r="E20" s="1409"/>
      <c r="F20" s="181" t="s">
        <v>375</v>
      </c>
      <c r="G20" s="2492"/>
      <c r="H20" s="2493"/>
      <c r="I20" s="2494"/>
    </row>
    <row r="21" spans="2:9" ht="14.5" customHeight="1">
      <c r="B21" s="175" t="s">
        <v>376</v>
      </c>
      <c r="C21" s="345">
        <f>UOP!P8</f>
        <v>0</v>
      </c>
      <c r="D21" s="186" t="s">
        <v>377</v>
      </c>
      <c r="E21" s="1410"/>
      <c r="F21" s="182" t="s">
        <v>112</v>
      </c>
      <c r="G21" s="346">
        <f>UOP!P10</f>
        <v>0</v>
      </c>
      <c r="H21" s="184" t="s">
        <v>113</v>
      </c>
      <c r="I21" s="347">
        <f>UOP!P11</f>
        <v>0</v>
      </c>
    </row>
    <row r="22" spans="2:9" ht="14.5" customHeight="1">
      <c r="B22" s="159" t="s">
        <v>115</v>
      </c>
      <c r="C22" s="346">
        <f>I21+G21</f>
        <v>0</v>
      </c>
      <c r="D22" s="185" t="s">
        <v>378</v>
      </c>
      <c r="E22" s="1779"/>
      <c r="F22" s="183" t="s">
        <v>379</v>
      </c>
      <c r="G22" s="1411"/>
      <c r="H22" s="184" t="s">
        <v>164</v>
      </c>
      <c r="I22" s="1405">
        <f>G22*C18</f>
        <v>0</v>
      </c>
    </row>
    <row r="23" spans="2:9" ht="14.5" customHeight="1">
      <c r="B23" s="159" t="s">
        <v>380</v>
      </c>
      <c r="C23" s="1408"/>
      <c r="D23" s="187" t="s">
        <v>374</v>
      </c>
      <c r="E23" s="1409"/>
      <c r="F23" s="181" t="s">
        <v>375</v>
      </c>
      <c r="G23" s="2492"/>
      <c r="H23" s="2493"/>
      <c r="I23" s="2494"/>
    </row>
    <row r="24" spans="2:9" ht="14.5" customHeight="1">
      <c r="B24" s="153" t="s">
        <v>381</v>
      </c>
      <c r="C24" s="1410"/>
      <c r="D24" s="182" t="s">
        <v>112</v>
      </c>
      <c r="E24" s="1630"/>
      <c r="F24" s="162" t="s">
        <v>113</v>
      </c>
      <c r="G24" s="1630"/>
      <c r="H24" s="153" t="s">
        <v>115</v>
      </c>
      <c r="I24" s="347">
        <f>E24+G24</f>
        <v>0</v>
      </c>
    </row>
    <row r="25" spans="2:9">
      <c r="B25" s="159" t="s">
        <v>117</v>
      </c>
      <c r="C25" s="1403">
        <f>UOP!P17</f>
        <v>0</v>
      </c>
      <c r="D25" s="153" t="s">
        <v>382</v>
      </c>
      <c r="E25" s="348">
        <f>UOP!P18</f>
        <v>0</v>
      </c>
      <c r="F25" s="184" t="s">
        <v>383</v>
      </c>
      <c r="G25" s="348">
        <f>UOP!P19</f>
        <v>0</v>
      </c>
      <c r="H25" s="184" t="s">
        <v>384</v>
      </c>
      <c r="I25" s="1404">
        <f>IFERROR(IF(C14=0,0,INDEX('Pmt Calcs'!J4:J6,MATCH('Wksht Print Separately'!C25,'Pmt Calcs'!A4:A6,0))),"Incomplete Data")</f>
        <v>0</v>
      </c>
    </row>
    <row r="26" spans="2:9" ht="16">
      <c r="B26" s="176" t="s">
        <v>385</v>
      </c>
      <c r="C26" s="1412">
        <f>UOP!E36</f>
        <v>0</v>
      </c>
      <c r="D26" s="122" t="s">
        <v>386</v>
      </c>
      <c r="E26" s="1780"/>
      <c r="F26" s="144" t="s">
        <v>387</v>
      </c>
      <c r="G26" s="129"/>
      <c r="H26" s="188" t="s">
        <v>388</v>
      </c>
      <c r="I26" s="131"/>
    </row>
    <row r="27" spans="2:9" ht="14.5" customHeight="1">
      <c r="B27" s="177" t="s">
        <v>389</v>
      </c>
      <c r="C27" s="2297" t="e">
        <f>#REF!</f>
        <v>#REF!</v>
      </c>
      <c r="D27" s="2495"/>
      <c r="E27" s="182" t="s">
        <v>390</v>
      </c>
      <c r="F27" s="1413" t="e">
        <f>#REF!</f>
        <v>#REF!</v>
      </c>
      <c r="G27" s="2496" t="s">
        <v>391</v>
      </c>
      <c r="H27" s="2496"/>
      <c r="I27" s="1414" t="e">
        <f>F27*C18</f>
        <v>#REF!</v>
      </c>
    </row>
    <row r="28" spans="2:9" ht="14.5" customHeight="1">
      <c r="B28" s="159" t="s">
        <v>392</v>
      </c>
      <c r="C28" s="2497"/>
      <c r="D28" s="2498"/>
      <c r="E28" s="185" t="s">
        <v>375</v>
      </c>
      <c r="F28" s="2499"/>
      <c r="G28" s="2500"/>
      <c r="H28" s="2500"/>
      <c r="I28" s="2501"/>
    </row>
    <row r="29" spans="2:9" ht="16">
      <c r="B29" s="159" t="s">
        <v>393</v>
      </c>
      <c r="C29" s="1420"/>
      <c r="D29" s="153" t="s">
        <v>394</v>
      </c>
      <c r="E29" s="502"/>
      <c r="F29" s="1745"/>
      <c r="G29" s="1743"/>
      <c r="H29" s="1744" t="s">
        <v>395</v>
      </c>
      <c r="I29" s="1742"/>
    </row>
    <row r="30" spans="2:9">
      <c r="B30" s="174" t="s">
        <v>396</v>
      </c>
      <c r="C30" s="2502"/>
      <c r="D30" s="2502"/>
      <c r="E30" s="2502"/>
      <c r="F30" s="153" t="s">
        <v>397</v>
      </c>
      <c r="G30" s="1779"/>
      <c r="H30" s="185" t="s">
        <v>398</v>
      </c>
      <c r="I30" s="1781"/>
    </row>
    <row r="31" spans="2:9">
      <c r="B31" s="1392" t="s">
        <v>399</v>
      </c>
      <c r="C31" s="2486"/>
      <c r="D31" s="2487"/>
      <c r="E31" s="2487"/>
      <c r="F31" s="2487"/>
      <c r="G31" s="2487"/>
      <c r="H31" s="2487"/>
      <c r="I31" s="2488"/>
    </row>
    <row r="32" spans="2:9">
      <c r="B32" s="159" t="s">
        <v>400</v>
      </c>
      <c r="C32" s="2503"/>
      <c r="D32" s="2455"/>
      <c r="E32" s="2455"/>
      <c r="F32" s="2455"/>
      <c r="G32" s="2455"/>
      <c r="H32" s="2455"/>
      <c r="I32" s="2504"/>
    </row>
    <row r="33" spans="2:9">
      <c r="B33" s="2505" t="s">
        <v>401</v>
      </c>
      <c r="C33" s="160" t="s">
        <v>402</v>
      </c>
      <c r="D33" s="2503"/>
      <c r="E33" s="2455"/>
      <c r="F33" s="2455"/>
      <c r="G33" s="2455"/>
      <c r="H33" s="2455"/>
      <c r="I33" s="2504"/>
    </row>
    <row r="34" spans="2:9">
      <c r="B34" s="2506"/>
      <c r="C34" s="160" t="s">
        <v>403</v>
      </c>
      <c r="D34" s="2503"/>
      <c r="E34" s="2455"/>
      <c r="F34" s="2455"/>
      <c r="G34" s="2455"/>
      <c r="H34" s="2455"/>
      <c r="I34" s="2504"/>
    </row>
    <row r="35" spans="2:9">
      <c r="B35" s="2507"/>
      <c r="C35" s="160" t="s">
        <v>404</v>
      </c>
      <c r="D35" s="2503"/>
      <c r="E35" s="2455"/>
      <c r="F35" s="2455"/>
      <c r="G35" s="2455"/>
      <c r="H35" s="2455"/>
      <c r="I35" s="2504"/>
    </row>
    <row r="36" spans="2:9" ht="16">
      <c r="B36" s="167" t="s">
        <v>405</v>
      </c>
      <c r="C36" s="1421"/>
      <c r="D36" s="165" t="s">
        <v>406</v>
      </c>
      <c r="E36" s="1422"/>
      <c r="F36" s="190" t="s">
        <v>407</v>
      </c>
      <c r="G36" s="1423"/>
      <c r="H36" s="337" t="s">
        <v>408</v>
      </c>
      <c r="I36" s="1424"/>
    </row>
    <row r="37" spans="2:9" ht="16">
      <c r="B37" s="149" t="s">
        <v>409</v>
      </c>
      <c r="C37" s="1425"/>
      <c r="D37" s="189" t="s">
        <v>410</v>
      </c>
      <c r="E37" s="130"/>
      <c r="F37" s="2508" t="s">
        <v>411</v>
      </c>
      <c r="G37" s="2510"/>
      <c r="H37" s="208" t="s">
        <v>412</v>
      </c>
      <c r="I37" s="1426"/>
    </row>
    <row r="38" spans="2:9">
      <c r="B38" s="158" t="s">
        <v>413</v>
      </c>
      <c r="C38" s="1427"/>
      <c r="D38" s="186" t="s">
        <v>414</v>
      </c>
      <c r="E38" s="1415"/>
      <c r="F38" s="2509"/>
      <c r="G38" s="2511"/>
      <c r="H38" s="338" t="s">
        <v>415</v>
      </c>
      <c r="I38" s="1428"/>
    </row>
    <row r="39" spans="2:9">
      <c r="B39" s="158" t="s">
        <v>266</v>
      </c>
      <c r="C39" s="2526"/>
      <c r="D39" s="2527"/>
      <c r="E39" s="2527"/>
      <c r="F39" s="2527"/>
      <c r="G39" s="2527"/>
      <c r="H39" s="2527"/>
      <c r="I39" s="2528"/>
    </row>
    <row r="40" spans="2:9">
      <c r="B40" s="158" t="s">
        <v>416</v>
      </c>
      <c r="C40" s="2523"/>
      <c r="D40" s="2524"/>
      <c r="E40" s="2524"/>
      <c r="F40" s="2529"/>
      <c r="G40" s="186" t="s">
        <v>417</v>
      </c>
      <c r="H40" s="1415"/>
      <c r="I40" s="192" t="s">
        <v>418</v>
      </c>
    </row>
    <row r="41" spans="2:9">
      <c r="B41" s="158" t="s">
        <v>266</v>
      </c>
      <c r="C41" s="2523"/>
      <c r="D41" s="2524"/>
      <c r="E41" s="2524"/>
      <c r="F41" s="2524"/>
      <c r="G41" s="2524"/>
      <c r="H41" s="2524"/>
      <c r="I41" s="2525"/>
    </row>
    <row r="42" spans="2:9">
      <c r="B42" s="158" t="s">
        <v>416</v>
      </c>
      <c r="C42" s="2523"/>
      <c r="D42" s="2524"/>
      <c r="E42" s="2524"/>
      <c r="F42" s="2529"/>
      <c r="G42" s="186" t="s">
        <v>417</v>
      </c>
      <c r="H42" s="1415"/>
      <c r="I42" s="192" t="s">
        <v>418</v>
      </c>
    </row>
    <row r="43" spans="2:9">
      <c r="B43" s="158" t="s">
        <v>266</v>
      </c>
      <c r="C43" s="2523"/>
      <c r="D43" s="2524"/>
      <c r="E43" s="2524"/>
      <c r="F43" s="2524"/>
      <c r="G43" s="2524"/>
      <c r="H43" s="2524"/>
      <c r="I43" s="2525"/>
    </row>
    <row r="44" spans="2:9">
      <c r="B44" s="158" t="s">
        <v>416</v>
      </c>
      <c r="C44" s="2523"/>
      <c r="D44" s="2524"/>
      <c r="E44" s="2524"/>
      <c r="F44" s="2529"/>
      <c r="G44" s="186" t="s">
        <v>417</v>
      </c>
      <c r="H44" s="1415"/>
      <c r="I44" s="192" t="s">
        <v>418</v>
      </c>
    </row>
    <row r="45" spans="2:9">
      <c r="B45" s="158" t="s">
        <v>419</v>
      </c>
      <c r="C45" s="2583">
        <f>Coll!G89</f>
        <v>0</v>
      </c>
      <c r="D45" s="2584"/>
      <c r="E45" s="384"/>
      <c r="F45" s="384"/>
      <c r="G45" s="382"/>
      <c r="H45" s="382"/>
      <c r="I45" s="383"/>
    </row>
    <row r="46" spans="2:9">
      <c r="B46" s="178" t="s">
        <v>420</v>
      </c>
      <c r="C46" s="1416"/>
      <c r="D46" s="2496"/>
      <c r="E46" s="2496"/>
      <c r="F46" s="2496"/>
      <c r="G46" s="2496"/>
      <c r="H46" s="2496"/>
      <c r="I46" s="2530"/>
    </row>
    <row r="47" spans="2:9">
      <c r="B47" s="2571"/>
      <c r="C47" s="2574" t="s">
        <v>421</v>
      </c>
      <c r="D47" s="2561"/>
      <c r="E47" s="2561"/>
      <c r="F47" s="2561"/>
      <c r="G47" s="2562"/>
      <c r="H47" s="1416"/>
      <c r="I47" s="194"/>
    </row>
    <row r="48" spans="2:9">
      <c r="B48" s="2572"/>
      <c r="C48" s="2514" t="s">
        <v>422</v>
      </c>
      <c r="D48" s="2515"/>
      <c r="E48" s="2515"/>
      <c r="F48" s="2515"/>
      <c r="G48" s="2516"/>
      <c r="H48" s="1416"/>
      <c r="I48" s="195"/>
    </row>
    <row r="49" spans="2:9">
      <c r="B49" s="2572"/>
      <c r="C49" s="2514" t="s">
        <v>423</v>
      </c>
      <c r="D49" s="2515"/>
      <c r="E49" s="2515"/>
      <c r="F49" s="2515"/>
      <c r="G49" s="2516"/>
      <c r="H49" s="1416"/>
      <c r="I49" s="193"/>
    </row>
    <row r="50" spans="2:9">
      <c r="B50" s="2572"/>
      <c r="C50" s="2514" t="s">
        <v>424</v>
      </c>
      <c r="D50" s="2515"/>
      <c r="E50" s="2515"/>
      <c r="F50" s="2515"/>
      <c r="G50" s="2516"/>
      <c r="H50" s="1416"/>
      <c r="I50" s="193"/>
    </row>
    <row r="51" spans="2:9">
      <c r="B51" s="2572"/>
      <c r="C51" s="2514" t="s">
        <v>425</v>
      </c>
      <c r="D51" s="2515"/>
      <c r="E51" s="2515"/>
      <c r="F51" s="2515"/>
      <c r="G51" s="2516"/>
      <c r="H51" s="1416"/>
      <c r="I51" s="193"/>
    </row>
    <row r="52" spans="2:9">
      <c r="B52" s="2572"/>
      <c r="C52" s="2517" t="s">
        <v>426</v>
      </c>
      <c r="D52" s="2518"/>
      <c r="E52" s="2518"/>
      <c r="F52" s="2518"/>
      <c r="G52" s="2519"/>
      <c r="H52" s="1416"/>
      <c r="I52" s="193"/>
    </row>
    <row r="53" spans="2:9" ht="15" customHeight="1">
      <c r="B53" s="2573"/>
      <c r="C53" s="2520" t="s">
        <v>427</v>
      </c>
      <c r="D53" s="2521"/>
      <c r="E53" s="2521"/>
      <c r="F53" s="2521"/>
      <c r="G53" s="2522"/>
      <c r="H53" s="1417"/>
      <c r="I53" s="193"/>
    </row>
    <row r="54" spans="2:9">
      <c r="B54" s="179" t="s">
        <v>428</v>
      </c>
      <c r="C54" s="1417"/>
      <c r="D54" s="2512"/>
      <c r="E54" s="2512"/>
      <c r="F54" s="2512"/>
      <c r="G54" s="2512"/>
      <c r="H54" s="2512"/>
      <c r="I54" s="2513"/>
    </row>
    <row r="55" spans="2:9">
      <c r="B55" s="2553" t="s">
        <v>429</v>
      </c>
      <c r="C55" s="2554"/>
      <c r="D55" s="2554"/>
      <c r="E55" s="2554"/>
      <c r="F55" s="2554"/>
      <c r="G55" s="2554"/>
      <c r="H55" s="2554"/>
      <c r="I55" s="2555"/>
    </row>
    <row r="56" spans="2:9">
      <c r="B56" s="2556" t="s">
        <v>430</v>
      </c>
      <c r="C56" s="2557"/>
      <c r="D56" s="2557"/>
      <c r="E56" s="2557"/>
      <c r="F56" s="2557"/>
      <c r="G56" s="2557"/>
      <c r="H56" s="2557"/>
      <c r="I56" s="2558"/>
    </row>
    <row r="57" spans="2:9">
      <c r="B57" s="2559"/>
      <c r="C57" s="2557"/>
      <c r="D57" s="2557"/>
      <c r="E57" s="2557"/>
      <c r="F57" s="2557"/>
      <c r="G57" s="2557"/>
      <c r="H57" s="2557"/>
      <c r="I57" s="2558"/>
    </row>
    <row r="58" spans="2:9">
      <c r="B58" s="2560" t="s">
        <v>431</v>
      </c>
      <c r="C58" s="2561"/>
      <c r="D58" s="2561"/>
      <c r="E58" s="2561"/>
      <c r="F58" s="2561"/>
      <c r="G58" s="2561"/>
      <c r="H58" s="2562"/>
      <c r="I58" s="1418"/>
    </row>
    <row r="59" spans="2:9">
      <c r="B59" s="2563" t="s">
        <v>432</v>
      </c>
      <c r="C59" s="2564"/>
      <c r="D59" s="2564"/>
      <c r="E59" s="2564"/>
      <c r="F59" s="2564"/>
      <c r="G59" s="2564"/>
      <c r="H59" s="2565"/>
      <c r="I59" s="2566"/>
    </row>
    <row r="60" spans="2:9">
      <c r="B60" s="2563"/>
      <c r="C60" s="2564"/>
      <c r="D60" s="2564"/>
      <c r="E60" s="2564"/>
      <c r="F60" s="2564"/>
      <c r="G60" s="2564"/>
      <c r="H60" s="2565"/>
      <c r="I60" s="2566"/>
    </row>
    <row r="61" spans="2:9" ht="15" customHeight="1" thickBot="1">
      <c r="B61" s="2578" t="s">
        <v>433</v>
      </c>
      <c r="C61" s="2579"/>
      <c r="D61" s="2579"/>
      <c r="E61" s="2579"/>
      <c r="F61" s="2579"/>
      <c r="G61" s="2579"/>
      <c r="H61" s="2580"/>
      <c r="I61" s="1419"/>
    </row>
    <row r="62" spans="2:9" ht="14.5" customHeight="1" outlineLevel="1" thickBot="1">
      <c r="B62" s="2459" t="s">
        <v>434</v>
      </c>
      <c r="C62" s="2460"/>
      <c r="D62" s="2460"/>
      <c r="E62" s="2460"/>
      <c r="F62" s="2460"/>
      <c r="G62" s="2460"/>
      <c r="H62" s="2460"/>
      <c r="I62" s="2461"/>
    </row>
    <row r="63" spans="2:9" ht="14.5" customHeight="1" outlineLevel="1">
      <c r="B63" s="157" t="s">
        <v>435</v>
      </c>
      <c r="C63" s="2489">
        <f>'UOP (2)'!D59</f>
        <v>0</v>
      </c>
      <c r="D63" s="2490"/>
      <c r="E63" s="2491"/>
      <c r="F63" s="180" t="s">
        <v>368</v>
      </c>
      <c r="G63" s="1406"/>
      <c r="H63" s="180" t="s">
        <v>369</v>
      </c>
      <c r="I63" s="1407"/>
    </row>
    <row r="64" spans="2:9" ht="14.5" customHeight="1" outlineLevel="1">
      <c r="B64" s="167" t="s">
        <v>370</v>
      </c>
      <c r="C64" s="152">
        <f>'UOP (2)'!P6</f>
        <v>0</v>
      </c>
      <c r="D64" s="143" t="s">
        <v>371</v>
      </c>
      <c r="E64" s="1730"/>
      <c r="F64" s="144" t="s">
        <v>372</v>
      </c>
      <c r="G64" s="2551"/>
      <c r="H64" s="2551"/>
      <c r="I64" s="2552"/>
    </row>
    <row r="65" spans="1:10" ht="14.5" customHeight="1" outlineLevel="1">
      <c r="A65" s="128"/>
      <c r="B65" s="174" t="s">
        <v>373</v>
      </c>
      <c r="C65" s="1408"/>
      <c r="D65" s="187" t="s">
        <v>374</v>
      </c>
      <c r="E65" s="1409"/>
      <c r="F65" s="181" t="s">
        <v>375</v>
      </c>
      <c r="G65" s="2492"/>
      <c r="H65" s="2493"/>
      <c r="I65" s="2494"/>
      <c r="J65" s="128"/>
    </row>
    <row r="66" spans="1:10" ht="14.5" customHeight="1" outlineLevel="1">
      <c r="A66" s="128"/>
      <c r="B66" s="175" t="s">
        <v>376</v>
      </c>
      <c r="C66" s="345">
        <f>'UOP (2)'!P8</f>
        <v>0</v>
      </c>
      <c r="D66" s="186" t="s">
        <v>377</v>
      </c>
      <c r="E66" s="1410"/>
      <c r="F66" s="182" t="s">
        <v>112</v>
      </c>
      <c r="G66" s="346">
        <f>'UOP (2)'!P10</f>
        <v>0</v>
      </c>
      <c r="H66" s="184" t="s">
        <v>113</v>
      </c>
      <c r="I66" s="347">
        <f>'UOP (2)'!P11</f>
        <v>0</v>
      </c>
      <c r="J66" s="128"/>
    </row>
    <row r="67" spans="1:10" ht="14.5" customHeight="1" outlineLevel="1">
      <c r="A67" s="128"/>
      <c r="B67" s="159" t="s">
        <v>115</v>
      </c>
      <c r="C67" s="346">
        <f>I66+G66</f>
        <v>0</v>
      </c>
      <c r="D67" s="185" t="s">
        <v>378</v>
      </c>
      <c r="E67" s="1779"/>
      <c r="F67" s="183" t="s">
        <v>379</v>
      </c>
      <c r="G67" s="1411"/>
      <c r="H67" s="184" t="s">
        <v>164</v>
      </c>
      <c r="I67" s="1405">
        <f>G67*C63</f>
        <v>0</v>
      </c>
      <c r="J67" s="128"/>
    </row>
    <row r="68" spans="1:10" ht="14.5" customHeight="1" outlineLevel="1">
      <c r="A68" s="1782"/>
      <c r="B68" s="159" t="s">
        <v>380</v>
      </c>
      <c r="C68" s="1408"/>
      <c r="D68" s="187" t="s">
        <v>374</v>
      </c>
      <c r="E68" s="1409"/>
      <c r="F68" s="181" t="s">
        <v>375</v>
      </c>
      <c r="G68" s="2492"/>
      <c r="H68" s="2493"/>
      <c r="I68" s="2494"/>
      <c r="J68" s="1782"/>
    </row>
    <row r="69" spans="1:10" ht="14.5" customHeight="1" outlineLevel="1">
      <c r="A69" s="1782"/>
      <c r="B69" s="153" t="s">
        <v>381</v>
      </c>
      <c r="C69" s="1410"/>
      <c r="D69" s="182" t="s">
        <v>112</v>
      </c>
      <c r="E69" s="1630"/>
      <c r="F69" s="162" t="s">
        <v>113</v>
      </c>
      <c r="G69" s="1630"/>
      <c r="H69" s="153" t="s">
        <v>115</v>
      </c>
      <c r="I69" s="347">
        <f>E69+G69</f>
        <v>0</v>
      </c>
      <c r="J69" s="1782"/>
    </row>
    <row r="70" spans="1:10" ht="14.5" customHeight="1" outlineLevel="1">
      <c r="A70" s="128"/>
      <c r="B70" s="159" t="s">
        <v>117</v>
      </c>
      <c r="C70" s="1403">
        <f>'UOP (2)'!P17</f>
        <v>0</v>
      </c>
      <c r="D70" s="153" t="s">
        <v>382</v>
      </c>
      <c r="E70" s="348">
        <f>'UOP (2)'!P18</f>
        <v>0</v>
      </c>
      <c r="F70" s="184" t="s">
        <v>383</v>
      </c>
      <c r="G70" s="348">
        <f>'UOP (2)'!P19</f>
        <v>0</v>
      </c>
      <c r="H70" s="184" t="s">
        <v>384</v>
      </c>
      <c r="I70" s="1404">
        <f>IFERROR(IF($E$14=0,0,INDEX('Pmt Calcs'!$J$35:$J$37,MATCH('Wksht Print Separately'!$C$70,'Pmt Calcs'!$A$35:$A$37,0))),"Incomplete Data")</f>
        <v>0</v>
      </c>
      <c r="J70" s="128"/>
    </row>
    <row r="71" spans="1:10" ht="14.5" customHeight="1" outlineLevel="1">
      <c r="A71" s="128"/>
      <c r="B71" s="176" t="s">
        <v>385</v>
      </c>
      <c r="C71" s="1412"/>
      <c r="D71" s="122" t="s">
        <v>386</v>
      </c>
      <c r="E71" s="1780"/>
      <c r="F71" s="144" t="s">
        <v>387</v>
      </c>
      <c r="G71" s="129"/>
      <c r="H71" s="188" t="s">
        <v>388</v>
      </c>
      <c r="I71" s="131"/>
      <c r="J71" s="128"/>
    </row>
    <row r="72" spans="1:10" ht="14.5" customHeight="1" outlineLevel="1">
      <c r="A72" s="128"/>
      <c r="B72" s="177" t="s">
        <v>389</v>
      </c>
      <c r="C72" s="2297"/>
      <c r="D72" s="2495"/>
      <c r="E72" s="182" t="s">
        <v>390</v>
      </c>
      <c r="F72" s="1413"/>
      <c r="G72" s="2496" t="s">
        <v>391</v>
      </c>
      <c r="H72" s="2496"/>
      <c r="I72" s="1414"/>
      <c r="J72" s="128"/>
    </row>
    <row r="73" spans="1:10" ht="14.5" customHeight="1" outlineLevel="1">
      <c r="A73" s="128"/>
      <c r="B73" s="159" t="s">
        <v>392</v>
      </c>
      <c r="C73" s="2497"/>
      <c r="D73" s="2498"/>
      <c r="E73" s="185" t="s">
        <v>375</v>
      </c>
      <c r="F73" s="2499"/>
      <c r="G73" s="2500"/>
      <c r="H73" s="2500"/>
      <c r="I73" s="2501"/>
      <c r="J73" s="128"/>
    </row>
    <row r="74" spans="1:10" ht="14.5" customHeight="1" outlineLevel="1">
      <c r="A74" s="128"/>
      <c r="B74" s="159" t="s">
        <v>393</v>
      </c>
      <c r="C74" s="1420"/>
      <c r="D74" s="153" t="s">
        <v>394</v>
      </c>
      <c r="E74" s="502"/>
      <c r="F74" s="1745"/>
      <c r="G74" s="1743"/>
      <c r="H74" s="1744" t="s">
        <v>395</v>
      </c>
      <c r="I74" s="1742"/>
      <c r="J74" s="128"/>
    </row>
    <row r="75" spans="1:10" ht="14.5" customHeight="1" outlineLevel="1">
      <c r="A75" s="128"/>
      <c r="B75" s="174" t="s">
        <v>396</v>
      </c>
      <c r="C75" s="2502"/>
      <c r="D75" s="2502"/>
      <c r="E75" s="2502"/>
      <c r="F75" s="153" t="s">
        <v>397</v>
      </c>
      <c r="G75" s="1779"/>
      <c r="H75" s="185" t="s">
        <v>398</v>
      </c>
      <c r="I75" s="1781"/>
      <c r="J75" s="128"/>
    </row>
    <row r="76" spans="1:10" ht="14.5" customHeight="1" outlineLevel="1">
      <c r="A76" s="128"/>
      <c r="B76" s="1392" t="s">
        <v>399</v>
      </c>
      <c r="C76" s="2486"/>
      <c r="D76" s="2487"/>
      <c r="E76" s="2487"/>
      <c r="F76" s="2487"/>
      <c r="G76" s="2487"/>
      <c r="H76" s="2487"/>
      <c r="I76" s="2488"/>
      <c r="J76" s="128"/>
    </row>
    <row r="77" spans="1:10" ht="14.5" customHeight="1" outlineLevel="1">
      <c r="A77" s="128"/>
      <c r="B77" s="159" t="s">
        <v>400</v>
      </c>
      <c r="C77" s="2503"/>
      <c r="D77" s="2455"/>
      <c r="E77" s="2455"/>
      <c r="F77" s="2455"/>
      <c r="G77" s="2455"/>
      <c r="H77" s="2455"/>
      <c r="I77" s="2504"/>
      <c r="J77" s="128"/>
    </row>
    <row r="78" spans="1:10" ht="14.5" customHeight="1" outlineLevel="1">
      <c r="A78" s="128"/>
      <c r="B78" s="2505" t="s">
        <v>401</v>
      </c>
      <c r="C78" s="160" t="s">
        <v>402</v>
      </c>
      <c r="D78" s="2503"/>
      <c r="E78" s="2455"/>
      <c r="F78" s="2455"/>
      <c r="G78" s="2455"/>
      <c r="H78" s="2455"/>
      <c r="I78" s="2504"/>
      <c r="J78" s="128"/>
    </row>
    <row r="79" spans="1:10" ht="14.5" customHeight="1" outlineLevel="1">
      <c r="A79" s="128"/>
      <c r="B79" s="2506"/>
      <c r="C79" s="160" t="s">
        <v>403</v>
      </c>
      <c r="D79" s="2503"/>
      <c r="E79" s="2455"/>
      <c r="F79" s="2455"/>
      <c r="G79" s="2455"/>
      <c r="H79" s="2455"/>
      <c r="I79" s="2504"/>
      <c r="J79" s="128"/>
    </row>
    <row r="80" spans="1:10" ht="14.5" customHeight="1" outlineLevel="1">
      <c r="A80" s="128"/>
      <c r="B80" s="2507"/>
      <c r="C80" s="160" t="s">
        <v>404</v>
      </c>
      <c r="D80" s="2503"/>
      <c r="E80" s="2455"/>
      <c r="F80" s="2455"/>
      <c r="G80" s="2455"/>
      <c r="H80" s="2455"/>
      <c r="I80" s="2504"/>
      <c r="J80" s="128"/>
    </row>
    <row r="81" spans="2:9" ht="14.5" customHeight="1" outlineLevel="1">
      <c r="B81" s="167" t="s">
        <v>405</v>
      </c>
      <c r="C81" s="1421"/>
      <c r="D81" s="165" t="s">
        <v>406</v>
      </c>
      <c r="E81" s="1422"/>
      <c r="F81" s="190" t="s">
        <v>407</v>
      </c>
      <c r="G81" s="1423"/>
      <c r="H81" s="337" t="s">
        <v>408</v>
      </c>
      <c r="I81" s="1424"/>
    </row>
    <row r="82" spans="2:9" ht="14.5" customHeight="1" outlineLevel="1">
      <c r="B82" s="149" t="s">
        <v>409</v>
      </c>
      <c r="C82" s="1425"/>
      <c r="D82" s="189" t="s">
        <v>410</v>
      </c>
      <c r="E82" s="130"/>
      <c r="F82" s="2508" t="s">
        <v>411</v>
      </c>
      <c r="G82" s="2510"/>
      <c r="H82" s="208" t="s">
        <v>412</v>
      </c>
      <c r="I82" s="1426"/>
    </row>
    <row r="83" spans="2:9" ht="14.5" customHeight="1" outlineLevel="1">
      <c r="B83" s="158" t="s">
        <v>413</v>
      </c>
      <c r="C83" s="1427"/>
      <c r="D83" s="186" t="s">
        <v>414</v>
      </c>
      <c r="E83" s="1415"/>
      <c r="F83" s="2509"/>
      <c r="G83" s="2511"/>
      <c r="H83" s="338" t="s">
        <v>415</v>
      </c>
      <c r="I83" s="1428"/>
    </row>
    <row r="84" spans="2:9" ht="14.5" customHeight="1" outlineLevel="1">
      <c r="B84" s="158" t="s">
        <v>266</v>
      </c>
      <c r="C84" s="2503"/>
      <c r="D84" s="2455"/>
      <c r="E84" s="2455"/>
      <c r="F84" s="2455"/>
      <c r="G84" s="2455"/>
      <c r="H84" s="2455"/>
      <c r="I84" s="2504"/>
    </row>
    <row r="85" spans="2:9" ht="14.5" customHeight="1" outlineLevel="1">
      <c r="B85" s="158" t="s">
        <v>416</v>
      </c>
      <c r="C85" s="2567"/>
      <c r="D85" s="2568"/>
      <c r="E85" s="2568"/>
      <c r="F85" s="2569"/>
      <c r="G85" s="186" t="s">
        <v>417</v>
      </c>
      <c r="H85" s="1415"/>
      <c r="I85" s="192" t="s">
        <v>418</v>
      </c>
    </row>
    <row r="86" spans="2:9" ht="14.5" customHeight="1" outlineLevel="1">
      <c r="B86" s="158" t="s">
        <v>266</v>
      </c>
      <c r="C86" s="2567"/>
      <c r="D86" s="2568"/>
      <c r="E86" s="2568"/>
      <c r="F86" s="2568"/>
      <c r="G86" s="2568"/>
      <c r="H86" s="2568"/>
      <c r="I86" s="2570"/>
    </row>
    <row r="87" spans="2:9" ht="14.5" customHeight="1" outlineLevel="1">
      <c r="B87" s="158" t="s">
        <v>416</v>
      </c>
      <c r="C87" s="2567"/>
      <c r="D87" s="2568"/>
      <c r="E87" s="2568"/>
      <c r="F87" s="2569"/>
      <c r="G87" s="186" t="s">
        <v>417</v>
      </c>
      <c r="H87" s="1415"/>
      <c r="I87" s="192" t="s">
        <v>418</v>
      </c>
    </row>
    <row r="88" spans="2:9" ht="14.5" customHeight="1" outlineLevel="1">
      <c r="B88" s="158" t="s">
        <v>266</v>
      </c>
      <c r="C88" s="2567"/>
      <c r="D88" s="2568"/>
      <c r="E88" s="2568"/>
      <c r="F88" s="2568"/>
      <c r="G88" s="2568"/>
      <c r="H88" s="2568"/>
      <c r="I88" s="2570"/>
    </row>
    <row r="89" spans="2:9" ht="14.5" customHeight="1" outlineLevel="1">
      <c r="B89" s="158" t="s">
        <v>416</v>
      </c>
      <c r="C89" s="2567"/>
      <c r="D89" s="2568"/>
      <c r="E89" s="2568"/>
      <c r="F89" s="2569"/>
      <c r="G89" s="186" t="s">
        <v>417</v>
      </c>
      <c r="H89" s="1415"/>
      <c r="I89" s="192" t="s">
        <v>418</v>
      </c>
    </row>
    <row r="90" spans="2:9" ht="14.5" customHeight="1" outlineLevel="1">
      <c r="B90" s="158" t="s">
        <v>419</v>
      </c>
      <c r="C90" s="2583">
        <f>'Coll (2)'!G88</f>
        <v>0</v>
      </c>
      <c r="D90" s="2584"/>
      <c r="E90" s="384"/>
      <c r="F90" s="384"/>
      <c r="G90" s="382"/>
      <c r="H90" s="382"/>
      <c r="I90" s="383"/>
    </row>
    <row r="91" spans="2:9" ht="14.5" customHeight="1" outlineLevel="1">
      <c r="B91" s="178" t="s">
        <v>420</v>
      </c>
      <c r="C91" s="1416"/>
      <c r="D91" s="2496"/>
      <c r="E91" s="2496"/>
      <c r="F91" s="2496"/>
      <c r="G91" s="2496"/>
      <c r="H91" s="2496"/>
      <c r="I91" s="2530"/>
    </row>
    <row r="92" spans="2:9" ht="14.5" customHeight="1" outlineLevel="1">
      <c r="B92" s="2571"/>
      <c r="C92" s="2574" t="s">
        <v>421</v>
      </c>
      <c r="D92" s="2561"/>
      <c r="E92" s="2561"/>
      <c r="F92" s="2561"/>
      <c r="G92" s="2562"/>
      <c r="H92" s="1416"/>
      <c r="I92" s="194"/>
    </row>
    <row r="93" spans="2:9" ht="14.5" customHeight="1" outlineLevel="1">
      <c r="B93" s="2572"/>
      <c r="C93" s="2514" t="s">
        <v>422</v>
      </c>
      <c r="D93" s="2515"/>
      <c r="E93" s="2515"/>
      <c r="F93" s="2515"/>
      <c r="G93" s="2516"/>
      <c r="H93" s="1416"/>
      <c r="I93" s="195"/>
    </row>
    <row r="94" spans="2:9" ht="14.5" customHeight="1" outlineLevel="1">
      <c r="B94" s="2572"/>
      <c r="C94" s="2514" t="s">
        <v>423</v>
      </c>
      <c r="D94" s="2515"/>
      <c r="E94" s="2515"/>
      <c r="F94" s="2515"/>
      <c r="G94" s="2516"/>
      <c r="H94" s="1416"/>
      <c r="I94" s="193"/>
    </row>
    <row r="95" spans="2:9" ht="14.5" customHeight="1" outlineLevel="1">
      <c r="B95" s="2572"/>
      <c r="C95" s="2514" t="s">
        <v>424</v>
      </c>
      <c r="D95" s="2515"/>
      <c r="E95" s="2515"/>
      <c r="F95" s="2515"/>
      <c r="G95" s="2516"/>
      <c r="H95" s="1416"/>
      <c r="I95" s="193"/>
    </row>
    <row r="96" spans="2:9" ht="14.5" customHeight="1" outlineLevel="1">
      <c r="B96" s="2572"/>
      <c r="C96" s="2514" t="s">
        <v>425</v>
      </c>
      <c r="D96" s="2515"/>
      <c r="E96" s="2515"/>
      <c r="F96" s="2515"/>
      <c r="G96" s="2516"/>
      <c r="H96" s="1416"/>
      <c r="I96" s="193"/>
    </row>
    <row r="97" spans="2:19" ht="14.5" customHeight="1" outlineLevel="1">
      <c r="B97" s="2572"/>
      <c r="C97" s="2517" t="s">
        <v>426</v>
      </c>
      <c r="D97" s="2518"/>
      <c r="E97" s="2518"/>
      <c r="F97" s="2518"/>
      <c r="G97" s="2519"/>
      <c r="H97" s="1416"/>
      <c r="I97" s="193"/>
      <c r="J97" s="128"/>
      <c r="K97" s="128"/>
      <c r="L97" s="128"/>
      <c r="M97" s="128"/>
      <c r="N97" s="128"/>
      <c r="O97" s="128"/>
      <c r="P97" s="128"/>
      <c r="Q97" s="128"/>
      <c r="R97" s="128"/>
      <c r="S97" s="128"/>
    </row>
    <row r="98" spans="2:19" ht="14.5" customHeight="1" outlineLevel="1">
      <c r="B98" s="2573"/>
      <c r="C98" s="2520" t="s">
        <v>427</v>
      </c>
      <c r="D98" s="2521"/>
      <c r="E98" s="2521"/>
      <c r="F98" s="2521"/>
      <c r="G98" s="2522"/>
      <c r="H98" s="1417"/>
      <c r="I98" s="193"/>
      <c r="J98" s="128"/>
      <c r="K98" s="128"/>
      <c r="L98" s="128"/>
      <c r="M98" s="128"/>
      <c r="N98" s="128"/>
      <c r="O98" s="128"/>
      <c r="P98" s="128"/>
      <c r="Q98" s="128"/>
      <c r="R98" s="128"/>
      <c r="S98" s="128"/>
    </row>
    <row r="99" spans="2:19" ht="14.5" customHeight="1" outlineLevel="1">
      <c r="B99" s="179" t="s">
        <v>428</v>
      </c>
      <c r="C99" s="1417"/>
      <c r="D99" s="2512"/>
      <c r="E99" s="2512"/>
      <c r="F99" s="2512"/>
      <c r="G99" s="2512"/>
      <c r="H99" s="2512"/>
      <c r="I99" s="2513"/>
      <c r="J99" s="128"/>
      <c r="K99" s="128"/>
      <c r="L99" s="128"/>
      <c r="M99" s="128"/>
      <c r="N99" s="128"/>
      <c r="O99" s="128"/>
      <c r="P99" s="128"/>
      <c r="Q99" s="128"/>
      <c r="R99" s="128"/>
      <c r="S99" s="128"/>
    </row>
    <row r="100" spans="2:19" ht="14.5" customHeight="1" outlineLevel="1">
      <c r="B100" s="2553" t="s">
        <v>429</v>
      </c>
      <c r="C100" s="2554"/>
      <c r="D100" s="2554"/>
      <c r="E100" s="2554"/>
      <c r="F100" s="2554"/>
      <c r="G100" s="2554"/>
      <c r="H100" s="2554"/>
      <c r="I100" s="2555"/>
      <c r="J100" s="128"/>
      <c r="K100" s="128"/>
      <c r="L100" s="128"/>
      <c r="M100" s="128"/>
      <c r="N100" s="128"/>
      <c r="O100" s="128"/>
      <c r="P100" s="128"/>
      <c r="Q100" s="128"/>
      <c r="R100" s="128"/>
      <c r="S100" s="128"/>
    </row>
    <row r="101" spans="2:19" ht="14.5" customHeight="1" outlineLevel="1">
      <c r="B101" s="2556" t="s">
        <v>430</v>
      </c>
      <c r="C101" s="2557"/>
      <c r="D101" s="2557"/>
      <c r="E101" s="2557"/>
      <c r="F101" s="2557"/>
      <c r="G101" s="2557"/>
      <c r="H101" s="2557"/>
      <c r="I101" s="2558"/>
      <c r="J101" s="128"/>
      <c r="K101" s="128"/>
      <c r="L101" s="128"/>
      <c r="M101" s="128"/>
      <c r="N101" s="128"/>
      <c r="O101" s="128"/>
      <c r="P101" s="128"/>
      <c r="Q101" s="128"/>
      <c r="R101" s="128"/>
      <c r="S101" s="128"/>
    </row>
    <row r="102" spans="2:19" ht="14.5" customHeight="1" outlineLevel="1">
      <c r="B102" s="2559"/>
      <c r="C102" s="2557"/>
      <c r="D102" s="2557"/>
      <c r="E102" s="2557"/>
      <c r="F102" s="2557"/>
      <c r="G102" s="2557"/>
      <c r="H102" s="2557"/>
      <c r="I102" s="2558"/>
      <c r="J102" s="128"/>
      <c r="K102" s="128"/>
      <c r="L102" s="128"/>
      <c r="M102" s="128"/>
      <c r="N102" s="128"/>
      <c r="O102" s="128"/>
      <c r="P102" s="128"/>
      <c r="Q102" s="128"/>
      <c r="R102" s="128"/>
      <c r="S102" s="128"/>
    </row>
    <row r="103" spans="2:19" ht="14.5" customHeight="1" outlineLevel="1">
      <c r="B103" s="2560" t="s">
        <v>431</v>
      </c>
      <c r="C103" s="2561"/>
      <c r="D103" s="2561"/>
      <c r="E103" s="2561"/>
      <c r="F103" s="2561"/>
      <c r="G103" s="2561"/>
      <c r="H103" s="2562"/>
      <c r="I103" s="1418"/>
      <c r="J103" s="128"/>
      <c r="K103" s="128"/>
      <c r="L103" s="128"/>
      <c r="M103" s="128"/>
      <c r="N103" s="128"/>
      <c r="O103" s="128"/>
      <c r="P103" s="128"/>
      <c r="Q103" s="128"/>
      <c r="R103" s="128"/>
      <c r="S103" s="128"/>
    </row>
    <row r="104" spans="2:19" ht="14.5" customHeight="1" outlineLevel="1">
      <c r="B104" s="2563" t="s">
        <v>432</v>
      </c>
      <c r="C104" s="2564"/>
      <c r="D104" s="2564"/>
      <c r="E104" s="2564"/>
      <c r="F104" s="2564"/>
      <c r="G104" s="2564"/>
      <c r="H104" s="2565"/>
      <c r="I104" s="2566"/>
      <c r="J104" s="128"/>
      <c r="K104" s="128"/>
      <c r="L104" s="128"/>
      <c r="M104" s="128"/>
      <c r="N104" s="128"/>
      <c r="O104" s="128"/>
      <c r="P104" s="128"/>
      <c r="Q104" s="128"/>
      <c r="R104" s="128"/>
      <c r="S104" s="128"/>
    </row>
    <row r="105" spans="2:19" ht="14.5" customHeight="1" outlineLevel="1">
      <c r="B105" s="2563"/>
      <c r="C105" s="2564"/>
      <c r="D105" s="2564"/>
      <c r="E105" s="2564"/>
      <c r="F105" s="2564"/>
      <c r="G105" s="2564"/>
      <c r="H105" s="2565"/>
      <c r="I105" s="2566"/>
      <c r="J105" s="128"/>
      <c r="K105" s="128"/>
      <c r="L105" s="128"/>
      <c r="M105" s="128"/>
      <c r="N105" s="128"/>
      <c r="O105" s="128"/>
      <c r="P105" s="128"/>
      <c r="Q105" s="128"/>
      <c r="R105" s="128"/>
      <c r="S105" s="128"/>
    </row>
    <row r="106" spans="2:19" ht="14.5" customHeight="1" outlineLevel="1" thickBot="1">
      <c r="B106" s="2578" t="s">
        <v>433</v>
      </c>
      <c r="C106" s="2579"/>
      <c r="D106" s="2579"/>
      <c r="E106" s="2579"/>
      <c r="F106" s="2579"/>
      <c r="G106" s="2579"/>
      <c r="H106" s="2580"/>
      <c r="I106" s="1419"/>
      <c r="J106" s="128"/>
      <c r="K106" s="128"/>
      <c r="L106" s="128"/>
      <c r="M106" s="128"/>
      <c r="N106" s="128"/>
      <c r="O106" s="128"/>
      <c r="P106" s="128"/>
      <c r="Q106" s="128"/>
      <c r="R106" s="128"/>
      <c r="S106" s="128"/>
    </row>
    <row r="107" spans="2:19" ht="14.5" customHeight="1" thickBot="1">
      <c r="B107" s="474"/>
      <c r="C107" s="2428" t="s">
        <v>436</v>
      </c>
      <c r="D107" s="2428"/>
      <c r="E107" s="2428"/>
      <c r="F107" s="477"/>
      <c r="G107" s="477"/>
      <c r="H107" s="478"/>
      <c r="I107" s="479"/>
      <c r="J107" s="128"/>
      <c r="K107" s="128"/>
      <c r="L107" s="128"/>
      <c r="M107" s="128"/>
      <c r="N107" s="128"/>
      <c r="O107" s="128"/>
      <c r="P107" s="128"/>
      <c r="Q107" s="128"/>
      <c r="R107" s="128"/>
      <c r="S107" s="128"/>
    </row>
    <row r="108" spans="2:19" ht="16" thickBot="1">
      <c r="B108" s="2442" t="s">
        <v>437</v>
      </c>
      <c r="C108" s="2443"/>
      <c r="D108" s="2443"/>
      <c r="E108" s="2443"/>
      <c r="F108" s="2443"/>
      <c r="G108" s="2443"/>
      <c r="H108" s="2443"/>
      <c r="I108" s="2444"/>
      <c r="J108" s="128"/>
      <c r="K108" s="128"/>
      <c r="L108" s="128"/>
      <c r="M108" s="132"/>
      <c r="N108" s="126"/>
      <c r="O108" s="2445"/>
      <c r="P108" s="2445"/>
      <c r="Q108" s="133"/>
      <c r="R108" s="134"/>
      <c r="S108" s="133"/>
    </row>
    <row r="109" spans="2:19">
      <c r="B109" s="157" t="s">
        <v>438</v>
      </c>
      <c r="C109" s="2404"/>
      <c r="D109" s="2404"/>
      <c r="E109" s="161" t="s">
        <v>439</v>
      </c>
      <c r="F109" s="1429">
        <f>C12</f>
        <v>0</v>
      </c>
      <c r="G109" s="161" t="s">
        <v>353</v>
      </c>
      <c r="H109" s="2446">
        <f>G12</f>
        <v>0</v>
      </c>
      <c r="I109" s="2406"/>
      <c r="J109" s="128"/>
      <c r="K109" s="128"/>
      <c r="L109" s="128"/>
      <c r="M109" s="132"/>
      <c r="N109" s="126"/>
      <c r="O109" s="2445"/>
      <c r="P109" s="2445"/>
      <c r="Q109" s="133"/>
      <c r="R109" s="134"/>
      <c r="S109" s="133"/>
    </row>
    <row r="110" spans="2:19">
      <c r="B110" s="158" t="s">
        <v>440</v>
      </c>
      <c r="C110" s="2399"/>
      <c r="D110" s="2399"/>
      <c r="E110" s="2399"/>
      <c r="F110" s="2399"/>
      <c r="G110" s="2399"/>
      <c r="H110" s="2399"/>
      <c r="I110" s="2400"/>
      <c r="J110" s="128"/>
      <c r="K110" s="128"/>
      <c r="L110" s="128"/>
      <c r="M110" s="128"/>
      <c r="N110" s="128"/>
      <c r="O110" s="128"/>
      <c r="P110" s="128"/>
      <c r="Q110" s="128"/>
      <c r="R110" s="128"/>
      <c r="S110" s="128"/>
    </row>
    <row r="111" spans="2:19">
      <c r="B111" s="159" t="s">
        <v>441</v>
      </c>
      <c r="C111" s="1433"/>
      <c r="D111" s="160" t="s">
        <v>442</v>
      </c>
      <c r="E111" s="1432"/>
      <c r="F111" s="153" t="s">
        <v>101</v>
      </c>
      <c r="G111" s="1431">
        <v>0</v>
      </c>
      <c r="H111" s="163" t="s">
        <v>443</v>
      </c>
      <c r="I111" s="1430"/>
      <c r="J111" s="128"/>
      <c r="K111" s="128"/>
      <c r="L111" s="128"/>
      <c r="M111" s="128"/>
      <c r="N111" s="128"/>
      <c r="O111" s="128"/>
      <c r="P111" s="128"/>
      <c r="Q111" s="128"/>
      <c r="R111" s="128"/>
      <c r="S111" s="128"/>
    </row>
    <row r="112" spans="2:19">
      <c r="B112" s="159" t="s">
        <v>444</v>
      </c>
      <c r="C112" s="1434"/>
      <c r="D112" s="153" t="s">
        <v>445</v>
      </c>
      <c r="E112" s="1435"/>
      <c r="F112" s="162" t="s">
        <v>446</v>
      </c>
      <c r="G112" s="1434"/>
      <c r="H112" s="153" t="s">
        <v>445</v>
      </c>
      <c r="I112" s="1436"/>
      <c r="J112" s="128"/>
      <c r="K112" s="128"/>
      <c r="L112" s="128"/>
      <c r="M112" s="128"/>
      <c r="N112" s="128"/>
      <c r="O112" s="128"/>
      <c r="P112" s="128"/>
      <c r="Q112" s="128"/>
      <c r="R112" s="128"/>
      <c r="S112" s="128"/>
    </row>
    <row r="113" spans="2:9" ht="15.75" customHeight="1" thickBot="1">
      <c r="B113" s="159" t="s">
        <v>447</v>
      </c>
      <c r="C113" s="2401"/>
      <c r="D113" s="2402"/>
      <c r="E113" s="2402"/>
      <c r="F113" s="2402"/>
      <c r="G113" s="2402"/>
      <c r="H113" s="2402"/>
      <c r="I113" s="2403"/>
    </row>
    <row r="114" spans="2:9" ht="15.75" customHeight="1" thickBot="1">
      <c r="B114" s="461"/>
      <c r="C114" s="379"/>
      <c r="D114" s="379"/>
      <c r="E114" s="379"/>
      <c r="F114" s="379"/>
      <c r="G114" s="379"/>
      <c r="H114" s="379"/>
      <c r="I114" s="462"/>
    </row>
    <row r="115" spans="2:9" ht="15.75" hidden="1" customHeight="1" outlineLevel="1">
      <c r="B115" s="157" t="s">
        <v>438</v>
      </c>
      <c r="C115" s="2404"/>
      <c r="D115" s="2404"/>
      <c r="E115" s="161" t="s">
        <v>439</v>
      </c>
      <c r="F115" s="1429"/>
      <c r="G115" s="161" t="s">
        <v>353</v>
      </c>
      <c r="H115" s="2405"/>
      <c r="I115" s="2406"/>
    </row>
    <row r="116" spans="2:9" ht="15.75" hidden="1" customHeight="1" outlineLevel="1">
      <c r="B116" s="158" t="s">
        <v>440</v>
      </c>
      <c r="C116" s="2399"/>
      <c r="D116" s="2399"/>
      <c r="E116" s="2399"/>
      <c r="F116" s="2399"/>
      <c r="G116" s="2399"/>
      <c r="H116" s="2399"/>
      <c r="I116" s="2400"/>
    </row>
    <row r="117" spans="2:9" ht="15.75" hidden="1" customHeight="1" outlineLevel="1">
      <c r="B117" s="159" t="s">
        <v>441</v>
      </c>
      <c r="C117" s="1433"/>
      <c r="D117" s="160" t="s">
        <v>442</v>
      </c>
      <c r="E117" s="1432"/>
      <c r="F117" s="153" t="s">
        <v>101</v>
      </c>
      <c r="G117" s="1431"/>
      <c r="H117" s="163" t="s">
        <v>443</v>
      </c>
      <c r="I117" s="1430"/>
    </row>
    <row r="118" spans="2:9" ht="15.75" hidden="1" customHeight="1" outlineLevel="1">
      <c r="B118" s="159" t="s">
        <v>444</v>
      </c>
      <c r="C118" s="1434"/>
      <c r="D118" s="153" t="s">
        <v>445</v>
      </c>
      <c r="E118" s="1435"/>
      <c r="F118" s="162" t="s">
        <v>446</v>
      </c>
      <c r="G118" s="1434"/>
      <c r="H118" s="153" t="s">
        <v>445</v>
      </c>
      <c r="I118" s="1436"/>
    </row>
    <row r="119" spans="2:9" ht="15.75" hidden="1" customHeight="1" outlineLevel="1" thickBot="1">
      <c r="B119" s="159" t="s">
        <v>447</v>
      </c>
      <c r="C119" s="2401"/>
      <c r="D119" s="2402"/>
      <c r="E119" s="2402"/>
      <c r="F119" s="2402"/>
      <c r="G119" s="2402"/>
      <c r="H119" s="2402"/>
      <c r="I119" s="2403"/>
    </row>
    <row r="120" spans="2:9" ht="15.75" customHeight="1" collapsed="1" thickBot="1">
      <c r="B120" s="474"/>
      <c r="C120" s="2398" t="s">
        <v>448</v>
      </c>
      <c r="D120" s="2398"/>
      <c r="E120" s="475"/>
      <c r="F120" s="475"/>
      <c r="G120" s="475"/>
      <c r="H120" s="475"/>
      <c r="I120" s="476"/>
    </row>
    <row r="121" spans="2:9" ht="15.75" hidden="1" customHeight="1" outlineLevel="1">
      <c r="B121" s="157" t="s">
        <v>438</v>
      </c>
      <c r="C121" s="2404"/>
      <c r="D121" s="2404"/>
      <c r="E121" s="161" t="s">
        <v>439</v>
      </c>
      <c r="F121" s="1429"/>
      <c r="G121" s="161" t="s">
        <v>353</v>
      </c>
      <c r="H121" s="2405"/>
      <c r="I121" s="2406"/>
    </row>
    <row r="122" spans="2:9" ht="15.75" hidden="1" customHeight="1" outlineLevel="1">
      <c r="B122" s="158" t="s">
        <v>440</v>
      </c>
      <c r="C122" s="2399"/>
      <c r="D122" s="2399"/>
      <c r="E122" s="2399"/>
      <c r="F122" s="2399"/>
      <c r="G122" s="2399"/>
      <c r="H122" s="2399"/>
      <c r="I122" s="2400"/>
    </row>
    <row r="123" spans="2:9" ht="15.75" hidden="1" customHeight="1" outlineLevel="1">
      <c r="B123" s="159" t="s">
        <v>441</v>
      </c>
      <c r="C123" s="1433"/>
      <c r="D123" s="160" t="s">
        <v>442</v>
      </c>
      <c r="E123" s="1432"/>
      <c r="F123" s="153" t="s">
        <v>101</v>
      </c>
      <c r="G123" s="1431"/>
      <c r="H123" s="163" t="s">
        <v>443</v>
      </c>
      <c r="I123" s="1430"/>
    </row>
    <row r="124" spans="2:9" ht="15.75" hidden="1" customHeight="1" outlineLevel="1">
      <c r="B124" s="159" t="s">
        <v>444</v>
      </c>
      <c r="C124" s="1434"/>
      <c r="D124" s="153" t="s">
        <v>445</v>
      </c>
      <c r="E124" s="1435"/>
      <c r="F124" s="162" t="s">
        <v>446</v>
      </c>
      <c r="G124" s="1434"/>
      <c r="H124" s="153" t="s">
        <v>445</v>
      </c>
      <c r="I124" s="1436"/>
    </row>
    <row r="125" spans="2:9" ht="15.75" hidden="1" customHeight="1" outlineLevel="1" thickBot="1">
      <c r="B125" s="159" t="s">
        <v>447</v>
      </c>
      <c r="C125" s="2401"/>
      <c r="D125" s="2402"/>
      <c r="E125" s="2402"/>
      <c r="F125" s="2402"/>
      <c r="G125" s="2402"/>
      <c r="H125" s="2402"/>
      <c r="I125" s="2403"/>
    </row>
    <row r="126" spans="2:9" ht="15.75" customHeight="1" collapsed="1" thickBot="1">
      <c r="B126" s="474"/>
      <c r="C126" s="2398" t="s">
        <v>449</v>
      </c>
      <c r="D126" s="2398"/>
      <c r="E126" s="475"/>
      <c r="F126" s="475"/>
      <c r="G126" s="475"/>
      <c r="H126" s="475"/>
      <c r="I126" s="476"/>
    </row>
    <row r="127" spans="2:9" ht="15.75" hidden="1" customHeight="1" outlineLevel="1">
      <c r="B127" s="157" t="s">
        <v>438</v>
      </c>
      <c r="C127" s="2404"/>
      <c r="D127" s="2404"/>
      <c r="E127" s="161" t="s">
        <v>439</v>
      </c>
      <c r="F127" s="1429"/>
      <c r="G127" s="161" t="s">
        <v>353</v>
      </c>
      <c r="H127" s="2405"/>
      <c r="I127" s="2406"/>
    </row>
    <row r="128" spans="2:9" ht="15.75" hidden="1" customHeight="1" outlineLevel="1">
      <c r="B128" s="158" t="s">
        <v>440</v>
      </c>
      <c r="C128" s="2399"/>
      <c r="D128" s="2399"/>
      <c r="E128" s="2399"/>
      <c r="F128" s="2399"/>
      <c r="G128" s="2399"/>
      <c r="H128" s="2399"/>
      <c r="I128" s="2400"/>
    </row>
    <row r="129" spans="2:9" ht="15.75" hidden="1" customHeight="1" outlineLevel="1">
      <c r="B129" s="159" t="s">
        <v>441</v>
      </c>
      <c r="C129" s="1433"/>
      <c r="D129" s="160" t="s">
        <v>442</v>
      </c>
      <c r="E129" s="1432"/>
      <c r="F129" s="153" t="s">
        <v>101</v>
      </c>
      <c r="G129" s="1431"/>
      <c r="H129" s="163" t="s">
        <v>443</v>
      </c>
      <c r="I129" s="1430"/>
    </row>
    <row r="130" spans="2:9" ht="15.75" hidden="1" customHeight="1" outlineLevel="1">
      <c r="B130" s="159" t="s">
        <v>444</v>
      </c>
      <c r="C130" s="1434"/>
      <c r="D130" s="153" t="s">
        <v>445</v>
      </c>
      <c r="E130" s="1435"/>
      <c r="F130" s="162" t="s">
        <v>446</v>
      </c>
      <c r="G130" s="1434"/>
      <c r="H130" s="153" t="s">
        <v>445</v>
      </c>
      <c r="I130" s="1436"/>
    </row>
    <row r="131" spans="2:9" ht="15.75" hidden="1" customHeight="1" outlineLevel="1" thickBot="1">
      <c r="B131" s="159" t="s">
        <v>447</v>
      </c>
      <c r="C131" s="2401"/>
      <c r="D131" s="2402"/>
      <c r="E131" s="2402"/>
      <c r="F131" s="2402"/>
      <c r="G131" s="2402"/>
      <c r="H131" s="2402"/>
      <c r="I131" s="2403"/>
    </row>
    <row r="132" spans="2:9" ht="15.75" customHeight="1" collapsed="1" thickBot="1">
      <c r="B132" s="474"/>
      <c r="C132" s="2398" t="s">
        <v>450</v>
      </c>
      <c r="D132" s="2398"/>
      <c r="E132" s="475"/>
      <c r="F132" s="475"/>
      <c r="G132" s="475"/>
      <c r="H132" s="475"/>
      <c r="I132" s="476"/>
    </row>
    <row r="133" spans="2:9" ht="15.75" hidden="1" customHeight="1" outlineLevel="1">
      <c r="B133" s="157" t="s">
        <v>438</v>
      </c>
      <c r="C133" s="2404"/>
      <c r="D133" s="2404"/>
      <c r="E133" s="161" t="s">
        <v>439</v>
      </c>
      <c r="F133" s="1429"/>
      <c r="G133" s="161" t="s">
        <v>353</v>
      </c>
      <c r="H133" s="2405"/>
      <c r="I133" s="2406"/>
    </row>
    <row r="134" spans="2:9" ht="15.75" hidden="1" customHeight="1" outlineLevel="1">
      <c r="B134" s="158" t="s">
        <v>440</v>
      </c>
      <c r="C134" s="2399"/>
      <c r="D134" s="2399"/>
      <c r="E134" s="2399"/>
      <c r="F134" s="2399"/>
      <c r="G134" s="2399"/>
      <c r="H134" s="2399"/>
      <c r="I134" s="2400"/>
    </row>
    <row r="135" spans="2:9" ht="15.75" hidden="1" customHeight="1" outlineLevel="1">
      <c r="B135" s="159" t="s">
        <v>441</v>
      </c>
      <c r="C135" s="1433"/>
      <c r="D135" s="160" t="s">
        <v>442</v>
      </c>
      <c r="E135" s="1432"/>
      <c r="F135" s="153" t="s">
        <v>101</v>
      </c>
      <c r="G135" s="1431"/>
      <c r="H135" s="163" t="s">
        <v>443</v>
      </c>
      <c r="I135" s="1430"/>
    </row>
    <row r="136" spans="2:9" ht="15.75" hidden="1" customHeight="1" outlineLevel="1">
      <c r="B136" s="159" t="s">
        <v>444</v>
      </c>
      <c r="C136" s="1434"/>
      <c r="D136" s="153" t="s">
        <v>445</v>
      </c>
      <c r="E136" s="1435"/>
      <c r="F136" s="162" t="s">
        <v>446</v>
      </c>
      <c r="G136" s="1434"/>
      <c r="H136" s="153" t="s">
        <v>445</v>
      </c>
      <c r="I136" s="1436"/>
    </row>
    <row r="137" spans="2:9" ht="15.75" hidden="1" customHeight="1" outlineLevel="1" thickBot="1">
      <c r="B137" s="159" t="s">
        <v>447</v>
      </c>
      <c r="C137" s="2401"/>
      <c r="D137" s="2402"/>
      <c r="E137" s="2402"/>
      <c r="F137" s="2402"/>
      <c r="G137" s="2402"/>
      <c r="H137" s="2402"/>
      <c r="I137" s="2403"/>
    </row>
    <row r="138" spans="2:9" ht="15.75" customHeight="1" collapsed="1" thickBot="1">
      <c r="B138" s="474"/>
      <c r="C138" s="2398" t="s">
        <v>451</v>
      </c>
      <c r="D138" s="2398"/>
      <c r="E138" s="475"/>
      <c r="F138" s="475"/>
      <c r="G138" s="475"/>
      <c r="H138" s="475"/>
      <c r="I138" s="476"/>
    </row>
    <row r="139" spans="2:9" ht="15.75" hidden="1" customHeight="1" outlineLevel="1">
      <c r="B139" s="157" t="s">
        <v>438</v>
      </c>
      <c r="C139" s="2404"/>
      <c r="D139" s="2404"/>
      <c r="E139" s="161" t="s">
        <v>439</v>
      </c>
      <c r="F139" s="1429"/>
      <c r="G139" s="161" t="s">
        <v>353</v>
      </c>
      <c r="H139" s="2405"/>
      <c r="I139" s="2406"/>
    </row>
    <row r="140" spans="2:9" ht="15.75" hidden="1" customHeight="1" outlineLevel="1">
      <c r="B140" s="158" t="s">
        <v>440</v>
      </c>
      <c r="C140" s="2399"/>
      <c r="D140" s="2399"/>
      <c r="E140" s="2399"/>
      <c r="F140" s="2399"/>
      <c r="G140" s="2399"/>
      <c r="H140" s="2399"/>
      <c r="I140" s="2400"/>
    </row>
    <row r="141" spans="2:9" ht="15.75" hidden="1" customHeight="1" outlineLevel="1">
      <c r="B141" s="159" t="s">
        <v>441</v>
      </c>
      <c r="C141" s="1433"/>
      <c r="D141" s="160" t="s">
        <v>442</v>
      </c>
      <c r="E141" s="1432"/>
      <c r="F141" s="153" t="s">
        <v>101</v>
      </c>
      <c r="G141" s="1431"/>
      <c r="H141" s="163" t="s">
        <v>443</v>
      </c>
      <c r="I141" s="1430"/>
    </row>
    <row r="142" spans="2:9" ht="15.75" hidden="1" customHeight="1" outlineLevel="1">
      <c r="B142" s="159" t="s">
        <v>444</v>
      </c>
      <c r="C142" s="1434"/>
      <c r="D142" s="153" t="s">
        <v>445</v>
      </c>
      <c r="E142" s="1435"/>
      <c r="F142" s="162" t="s">
        <v>446</v>
      </c>
      <c r="G142" s="1434"/>
      <c r="H142" s="153" t="s">
        <v>445</v>
      </c>
      <c r="I142" s="1436"/>
    </row>
    <row r="143" spans="2:9" ht="15.75" hidden="1" customHeight="1" outlineLevel="1" thickBot="1">
      <c r="B143" s="159" t="s">
        <v>447</v>
      </c>
      <c r="C143" s="2401"/>
      <c r="D143" s="2402"/>
      <c r="E143" s="2402"/>
      <c r="F143" s="2402"/>
      <c r="G143" s="2402"/>
      <c r="H143" s="2402"/>
      <c r="I143" s="2403"/>
    </row>
    <row r="144" spans="2:9" ht="15.75" customHeight="1" collapsed="1" thickBot="1">
      <c r="B144" s="474"/>
      <c r="C144" s="2398" t="s">
        <v>452</v>
      </c>
      <c r="D144" s="2398"/>
      <c r="E144" s="475"/>
      <c r="F144" s="475"/>
      <c r="G144" s="475"/>
      <c r="H144" s="475"/>
      <c r="I144" s="476"/>
    </row>
    <row r="145" spans="2:9" ht="15.75" hidden="1" customHeight="1" outlineLevel="1">
      <c r="B145" s="157" t="s">
        <v>438</v>
      </c>
      <c r="C145" s="2404"/>
      <c r="D145" s="2404"/>
      <c r="E145" s="161" t="s">
        <v>439</v>
      </c>
      <c r="F145" s="1429"/>
      <c r="G145" s="161" t="s">
        <v>353</v>
      </c>
      <c r="H145" s="2405"/>
      <c r="I145" s="2406"/>
    </row>
    <row r="146" spans="2:9" ht="15.75" hidden="1" customHeight="1" outlineLevel="1">
      <c r="B146" s="158" t="s">
        <v>440</v>
      </c>
      <c r="C146" s="2399"/>
      <c r="D146" s="2399"/>
      <c r="E146" s="2399"/>
      <c r="F146" s="2399"/>
      <c r="G146" s="2399"/>
      <c r="H146" s="2399"/>
      <c r="I146" s="2400"/>
    </row>
    <row r="147" spans="2:9" ht="15.75" hidden="1" customHeight="1" outlineLevel="1">
      <c r="B147" s="159" t="s">
        <v>441</v>
      </c>
      <c r="C147" s="1433"/>
      <c r="D147" s="160" t="s">
        <v>442</v>
      </c>
      <c r="E147" s="1432"/>
      <c r="F147" s="153" t="s">
        <v>101</v>
      </c>
      <c r="G147" s="1431"/>
      <c r="H147" s="163" t="s">
        <v>443</v>
      </c>
      <c r="I147" s="1430"/>
    </row>
    <row r="148" spans="2:9" ht="15.75" hidden="1" customHeight="1" outlineLevel="1">
      <c r="B148" s="159" t="s">
        <v>444</v>
      </c>
      <c r="C148" s="1434"/>
      <c r="D148" s="153" t="s">
        <v>445</v>
      </c>
      <c r="E148" s="1435"/>
      <c r="F148" s="162" t="s">
        <v>446</v>
      </c>
      <c r="G148" s="1434"/>
      <c r="H148" s="153" t="s">
        <v>445</v>
      </c>
      <c r="I148" s="1436"/>
    </row>
    <row r="149" spans="2:9" ht="15.75" hidden="1" customHeight="1" outlineLevel="1" thickBot="1">
      <c r="B149" s="159" t="s">
        <v>447</v>
      </c>
      <c r="C149" s="2401"/>
      <c r="D149" s="2402"/>
      <c r="E149" s="2402"/>
      <c r="F149" s="2402"/>
      <c r="G149" s="2402"/>
      <c r="H149" s="2402"/>
      <c r="I149" s="2403"/>
    </row>
    <row r="150" spans="2:9" ht="15.75" customHeight="1" collapsed="1" thickBot="1">
      <c r="B150" s="474"/>
      <c r="C150" s="2398" t="s">
        <v>453</v>
      </c>
      <c r="D150" s="2398"/>
      <c r="E150" s="475"/>
      <c r="F150" s="475"/>
      <c r="G150" s="475"/>
      <c r="H150" s="475"/>
      <c r="I150" s="476"/>
    </row>
    <row r="151" spans="2:9" ht="15.75" hidden="1" customHeight="1" outlineLevel="1">
      <c r="B151" s="157" t="s">
        <v>438</v>
      </c>
      <c r="C151" s="2404"/>
      <c r="D151" s="2404"/>
      <c r="E151" s="161" t="s">
        <v>439</v>
      </c>
      <c r="F151" s="1429"/>
      <c r="G151" s="161" t="s">
        <v>353</v>
      </c>
      <c r="H151" s="2405"/>
      <c r="I151" s="2406"/>
    </row>
    <row r="152" spans="2:9" ht="15.75" hidden="1" customHeight="1" outlineLevel="1">
      <c r="B152" s="158" t="s">
        <v>440</v>
      </c>
      <c r="C152" s="2399"/>
      <c r="D152" s="2399"/>
      <c r="E152" s="2399"/>
      <c r="F152" s="2399"/>
      <c r="G152" s="2399"/>
      <c r="H152" s="2399"/>
      <c r="I152" s="2400"/>
    </row>
    <row r="153" spans="2:9" ht="15.75" hidden="1" customHeight="1" outlineLevel="1">
      <c r="B153" s="159" t="s">
        <v>441</v>
      </c>
      <c r="C153" s="1433"/>
      <c r="D153" s="160" t="s">
        <v>442</v>
      </c>
      <c r="E153" s="1432"/>
      <c r="F153" s="153" t="s">
        <v>101</v>
      </c>
      <c r="G153" s="1431"/>
      <c r="H153" s="163" t="s">
        <v>443</v>
      </c>
      <c r="I153" s="1430"/>
    </row>
    <row r="154" spans="2:9" ht="15.75" hidden="1" customHeight="1" outlineLevel="1">
      <c r="B154" s="159" t="s">
        <v>444</v>
      </c>
      <c r="C154" s="1434"/>
      <c r="D154" s="153" t="s">
        <v>445</v>
      </c>
      <c r="E154" s="1435"/>
      <c r="F154" s="162" t="s">
        <v>446</v>
      </c>
      <c r="G154" s="1434"/>
      <c r="H154" s="153" t="s">
        <v>445</v>
      </c>
      <c r="I154" s="1436"/>
    </row>
    <row r="155" spans="2:9" ht="15.75" hidden="1" customHeight="1" outlineLevel="1" thickBot="1">
      <c r="B155" s="159" t="s">
        <v>447</v>
      </c>
      <c r="C155" s="2401"/>
      <c r="D155" s="2402"/>
      <c r="E155" s="2402"/>
      <c r="F155" s="2402"/>
      <c r="G155" s="2402"/>
      <c r="H155" s="2402"/>
      <c r="I155" s="2403"/>
    </row>
    <row r="156" spans="2:9" ht="15.75" customHeight="1" collapsed="1" thickBot="1">
      <c r="B156" s="474"/>
      <c r="C156" s="2398" t="s">
        <v>454</v>
      </c>
      <c r="D156" s="2398"/>
      <c r="E156" s="475"/>
      <c r="F156" s="475"/>
      <c r="G156" s="475"/>
      <c r="H156" s="475"/>
      <c r="I156" s="476"/>
    </row>
    <row r="157" spans="2:9" ht="15.75" customHeight="1" thickBot="1">
      <c r="B157" s="2442" t="s">
        <v>455</v>
      </c>
      <c r="C157" s="2443"/>
      <c r="D157" s="2443"/>
      <c r="E157" s="2443"/>
      <c r="F157" s="2443"/>
      <c r="G157" s="2443"/>
      <c r="H157" s="2443"/>
      <c r="I157" s="2444"/>
    </row>
    <row r="158" spans="2:9" ht="15.75" customHeight="1">
      <c r="B158" s="80"/>
      <c r="C158" s="145" t="s">
        <v>456</v>
      </c>
      <c r="D158" s="146"/>
      <c r="E158" s="2413"/>
      <c r="F158" s="2414"/>
      <c r="G158" s="2414"/>
      <c r="H158" s="2414"/>
      <c r="I158" s="2415"/>
    </row>
    <row r="159" spans="2:9" ht="15.75" customHeight="1">
      <c r="B159" s="147" t="s">
        <v>457</v>
      </c>
      <c r="C159" s="2416"/>
      <c r="D159" s="2417"/>
      <c r="E159" s="155" t="s">
        <v>458</v>
      </c>
      <c r="F159" s="1440"/>
      <c r="G159" s="156" t="s">
        <v>459</v>
      </c>
      <c r="H159" s="2418"/>
      <c r="I159" s="2419"/>
    </row>
    <row r="160" spans="2:9" ht="15.75" customHeight="1">
      <c r="B160" s="148" t="s">
        <v>460</v>
      </c>
      <c r="C160" s="2422">
        <v>0</v>
      </c>
      <c r="D160" s="2422"/>
      <c r="E160" s="154" t="s">
        <v>461</v>
      </c>
      <c r="F160" s="1441"/>
      <c r="G160" s="2423" t="s">
        <v>462</v>
      </c>
      <c r="H160" s="2423"/>
      <c r="I160" s="1437">
        <f>IF('Cash Flow'!G36&gt;1.25,'Cash Flow'!G36,'Cash Flow'!Q36)</f>
        <v>0</v>
      </c>
    </row>
    <row r="161" spans="2:9" ht="15.75" customHeight="1">
      <c r="B161" s="149" t="s">
        <v>463</v>
      </c>
      <c r="C161" s="2424"/>
      <c r="D161" s="2425"/>
      <c r="E161" s="2425"/>
      <c r="F161" s="143" t="s">
        <v>464</v>
      </c>
      <c r="G161" s="1438"/>
      <c r="H161" s="2426" t="str">
        <f>IF(G161="Not Clear","See Narrative for details"," ")</f>
        <v xml:space="preserve"> </v>
      </c>
      <c r="I161" s="2427"/>
    </row>
    <row r="162" spans="2:9" ht="15.75" customHeight="1">
      <c r="B162" s="150" t="s">
        <v>340</v>
      </c>
      <c r="C162" s="1442">
        <v>0</v>
      </c>
      <c r="D162" s="2431" t="s">
        <v>465</v>
      </c>
      <c r="E162" s="2432"/>
      <c r="F162" s="153" t="s">
        <v>166</v>
      </c>
      <c r="G162" s="502"/>
      <c r="H162" s="153" t="s">
        <v>466</v>
      </c>
      <c r="I162" s="1439"/>
    </row>
    <row r="163" spans="2:9" ht="15.75" customHeight="1">
      <c r="B163" s="2433" t="s">
        <v>438</v>
      </c>
      <c r="C163" s="2434"/>
      <c r="D163" s="2434"/>
      <c r="E163" s="152" t="s">
        <v>467</v>
      </c>
      <c r="F163" s="2434" t="s">
        <v>468</v>
      </c>
      <c r="G163" s="2434"/>
      <c r="H163" s="2434" t="s">
        <v>469</v>
      </c>
      <c r="I163" s="2435"/>
    </row>
    <row r="164" spans="2:9" ht="15.75" customHeight="1">
      <c r="B164" s="2429"/>
      <c r="C164" s="2425"/>
      <c r="D164" s="2430"/>
      <c r="E164" s="1443"/>
      <c r="F164" s="2421"/>
      <c r="G164" s="2421"/>
      <c r="H164" s="2407"/>
      <c r="I164" s="2408"/>
    </row>
    <row r="165" spans="2:9" ht="15.75" customHeight="1">
      <c r="B165" s="2420"/>
      <c r="C165" s="2421"/>
      <c r="D165" s="2421"/>
      <c r="E165" s="1443"/>
      <c r="F165" s="2421"/>
      <c r="G165" s="2421"/>
      <c r="H165" s="2407"/>
      <c r="I165" s="2408"/>
    </row>
    <row r="166" spans="2:9" ht="15.75" customHeight="1">
      <c r="B166" s="2420"/>
      <c r="C166" s="2421"/>
      <c r="D166" s="2421"/>
      <c r="E166" s="1443"/>
      <c r="F166" s="2421"/>
      <c r="G166" s="2421"/>
      <c r="H166" s="2407"/>
      <c r="I166" s="2408"/>
    </row>
    <row r="167" spans="2:9" ht="15.75" customHeight="1" thickBot="1">
      <c r="B167" s="2409"/>
      <c r="C167" s="2410"/>
      <c r="D167" s="2410"/>
      <c r="E167" s="1444"/>
      <c r="F167" s="2410"/>
      <c r="G167" s="2410"/>
      <c r="H167" s="2411"/>
      <c r="I167" s="2412"/>
    </row>
    <row r="168" spans="2:9" ht="15.75" customHeight="1" thickBot="1">
      <c r="B168" s="480"/>
      <c r="C168" s="481"/>
      <c r="D168" s="481"/>
      <c r="E168" s="482"/>
      <c r="F168" s="481"/>
      <c r="G168" s="481"/>
      <c r="H168" s="483"/>
      <c r="I168" s="484"/>
    </row>
    <row r="169" spans="2:9" ht="15.75" hidden="1" customHeight="1" outlineLevel="1">
      <c r="B169" s="80"/>
      <c r="C169" s="145" t="s">
        <v>456</v>
      </c>
      <c r="D169" s="146"/>
      <c r="E169" s="2413"/>
      <c r="F169" s="2414"/>
      <c r="G169" s="2414"/>
      <c r="H169" s="2414"/>
      <c r="I169" s="2415"/>
    </row>
    <row r="170" spans="2:9" ht="15.75" hidden="1" customHeight="1" outlineLevel="1">
      <c r="B170" s="147" t="s">
        <v>457</v>
      </c>
      <c r="C170" s="2416"/>
      <c r="D170" s="2417"/>
      <c r="E170" s="155" t="s">
        <v>458</v>
      </c>
      <c r="F170" s="1440"/>
      <c r="G170" s="156" t="s">
        <v>459</v>
      </c>
      <c r="H170" s="2418"/>
      <c r="I170" s="2419"/>
    </row>
    <row r="171" spans="2:9" ht="15.75" hidden="1" customHeight="1" outlineLevel="1">
      <c r="B171" s="148" t="s">
        <v>460</v>
      </c>
      <c r="C171" s="2422">
        <v>0</v>
      </c>
      <c r="D171" s="2422"/>
      <c r="E171" s="154" t="s">
        <v>461</v>
      </c>
      <c r="F171" s="1441"/>
      <c r="G171" s="2423" t="s">
        <v>462</v>
      </c>
      <c r="H171" s="2423"/>
      <c r="I171" s="1437"/>
    </row>
    <row r="172" spans="2:9" ht="15.75" hidden="1" customHeight="1" outlineLevel="1">
      <c r="B172" s="149" t="s">
        <v>463</v>
      </c>
      <c r="C172" s="2424"/>
      <c r="D172" s="2425"/>
      <c r="E172" s="2425"/>
      <c r="F172" s="143" t="s">
        <v>464</v>
      </c>
      <c r="G172" s="1438"/>
      <c r="H172" s="2426" t="str">
        <f>IF(G172="Not Clear","See Narrative for details"," ")</f>
        <v xml:space="preserve"> </v>
      </c>
      <c r="I172" s="2427"/>
    </row>
    <row r="173" spans="2:9" ht="15.75" hidden="1" customHeight="1" outlineLevel="1">
      <c r="B173" s="150" t="s">
        <v>340</v>
      </c>
      <c r="C173" s="1442"/>
      <c r="D173" s="2431" t="s">
        <v>465</v>
      </c>
      <c r="E173" s="2432"/>
      <c r="F173" s="153" t="s">
        <v>166</v>
      </c>
      <c r="G173" s="502"/>
      <c r="H173" s="153" t="s">
        <v>466</v>
      </c>
      <c r="I173" s="1439"/>
    </row>
    <row r="174" spans="2:9" ht="15.75" hidden="1" customHeight="1" outlineLevel="1">
      <c r="B174" s="2433" t="s">
        <v>438</v>
      </c>
      <c r="C174" s="2434"/>
      <c r="D174" s="2434"/>
      <c r="E174" s="152" t="s">
        <v>467</v>
      </c>
      <c r="F174" s="2434" t="s">
        <v>468</v>
      </c>
      <c r="G174" s="2434"/>
      <c r="H174" s="2434" t="s">
        <v>469</v>
      </c>
      <c r="I174" s="2435"/>
    </row>
    <row r="175" spans="2:9" ht="15.75" hidden="1" customHeight="1" outlineLevel="1">
      <c r="B175" s="2429"/>
      <c r="C175" s="2425"/>
      <c r="D175" s="2430"/>
      <c r="E175" s="1443"/>
      <c r="F175" s="2421"/>
      <c r="G175" s="2421"/>
      <c r="H175" s="2407"/>
      <c r="I175" s="2408"/>
    </row>
    <row r="176" spans="2:9" ht="15.75" hidden="1" customHeight="1" outlineLevel="1">
      <c r="B176" s="2420"/>
      <c r="C176" s="2421"/>
      <c r="D176" s="2421"/>
      <c r="E176" s="1443"/>
      <c r="F176" s="2421"/>
      <c r="G176" s="2421"/>
      <c r="H176" s="2407"/>
      <c r="I176" s="2408"/>
    </row>
    <row r="177" spans="2:9" ht="15.75" hidden="1" customHeight="1" outlineLevel="1">
      <c r="B177" s="2420"/>
      <c r="C177" s="2421"/>
      <c r="D177" s="2421"/>
      <c r="E177" s="1443"/>
      <c r="F177" s="2421"/>
      <c r="G177" s="2421"/>
      <c r="H177" s="2407"/>
      <c r="I177" s="2408"/>
    </row>
    <row r="178" spans="2:9" ht="15.75" hidden="1" customHeight="1" outlineLevel="1" thickBot="1">
      <c r="B178" s="2409"/>
      <c r="C178" s="2410"/>
      <c r="D178" s="2410"/>
      <c r="E178" s="1444"/>
      <c r="F178" s="2410"/>
      <c r="G178" s="2410"/>
      <c r="H178" s="2411"/>
      <c r="I178" s="2412"/>
    </row>
    <row r="179" spans="2:9" ht="15.75" customHeight="1" collapsed="1" thickBot="1">
      <c r="B179" s="474"/>
      <c r="C179" s="2398" t="s">
        <v>470</v>
      </c>
      <c r="D179" s="2398"/>
      <c r="E179" s="475"/>
      <c r="F179" s="475"/>
      <c r="G179" s="475"/>
      <c r="H179" s="475"/>
      <c r="I179" s="476"/>
    </row>
    <row r="180" spans="2:9" ht="15.75" hidden="1" customHeight="1" outlineLevel="1">
      <c r="B180" s="80"/>
      <c r="C180" s="145" t="s">
        <v>456</v>
      </c>
      <c r="D180" s="146"/>
      <c r="E180" s="2413"/>
      <c r="F180" s="2414"/>
      <c r="G180" s="2414"/>
      <c r="H180" s="2414"/>
      <c r="I180" s="2415"/>
    </row>
    <row r="181" spans="2:9" ht="15.75" hidden="1" customHeight="1" outlineLevel="1">
      <c r="B181" s="147" t="s">
        <v>457</v>
      </c>
      <c r="C181" s="2416"/>
      <c r="D181" s="2417"/>
      <c r="E181" s="155" t="s">
        <v>458</v>
      </c>
      <c r="F181" s="1440"/>
      <c r="G181" s="156" t="s">
        <v>459</v>
      </c>
      <c r="H181" s="2418"/>
      <c r="I181" s="2419"/>
    </row>
    <row r="182" spans="2:9" ht="15.75" hidden="1" customHeight="1" outlineLevel="1">
      <c r="B182" s="148" t="s">
        <v>460</v>
      </c>
      <c r="C182" s="2422">
        <v>0</v>
      </c>
      <c r="D182" s="2422"/>
      <c r="E182" s="154" t="s">
        <v>461</v>
      </c>
      <c r="F182" s="1441"/>
      <c r="G182" s="2423" t="s">
        <v>462</v>
      </c>
      <c r="H182" s="2423"/>
      <c r="I182" s="1437"/>
    </row>
    <row r="183" spans="2:9" ht="15.75" hidden="1" customHeight="1" outlineLevel="1">
      <c r="B183" s="149" t="s">
        <v>463</v>
      </c>
      <c r="C183" s="2424"/>
      <c r="D183" s="2425"/>
      <c r="E183" s="2425"/>
      <c r="F183" s="143" t="s">
        <v>464</v>
      </c>
      <c r="G183" s="1438"/>
      <c r="H183" s="2426" t="str">
        <f>IF(G183="Not Clear","See Narrative for details"," ")</f>
        <v xml:space="preserve"> </v>
      </c>
      <c r="I183" s="2427"/>
    </row>
    <row r="184" spans="2:9" ht="15.75" hidden="1" customHeight="1" outlineLevel="1">
      <c r="B184" s="150" t="s">
        <v>340</v>
      </c>
      <c r="C184" s="1442"/>
      <c r="D184" s="2431" t="s">
        <v>465</v>
      </c>
      <c r="E184" s="2432"/>
      <c r="F184" s="153" t="s">
        <v>166</v>
      </c>
      <c r="G184" s="502"/>
      <c r="H184" s="153" t="s">
        <v>466</v>
      </c>
      <c r="I184" s="1439"/>
    </row>
    <row r="185" spans="2:9" ht="15.75" hidden="1" customHeight="1" outlineLevel="1">
      <c r="B185" s="2433" t="s">
        <v>438</v>
      </c>
      <c r="C185" s="2434"/>
      <c r="D185" s="2434"/>
      <c r="E185" s="152" t="s">
        <v>467</v>
      </c>
      <c r="F185" s="2434" t="s">
        <v>468</v>
      </c>
      <c r="G185" s="2434"/>
      <c r="H185" s="2434" t="s">
        <v>469</v>
      </c>
      <c r="I185" s="2435"/>
    </row>
    <row r="186" spans="2:9" ht="15.75" hidden="1" customHeight="1" outlineLevel="1">
      <c r="B186" s="2429"/>
      <c r="C186" s="2425"/>
      <c r="D186" s="2430"/>
      <c r="E186" s="1443"/>
      <c r="F186" s="2421"/>
      <c r="G186" s="2421"/>
      <c r="H186" s="2407"/>
      <c r="I186" s="2408"/>
    </row>
    <row r="187" spans="2:9" ht="15.75" hidden="1" customHeight="1" outlineLevel="1">
      <c r="B187" s="2420"/>
      <c r="C187" s="2421"/>
      <c r="D187" s="2421"/>
      <c r="E187" s="1443"/>
      <c r="F187" s="2421"/>
      <c r="G187" s="2421"/>
      <c r="H187" s="2407"/>
      <c r="I187" s="2408"/>
    </row>
    <row r="188" spans="2:9" ht="15.75" hidden="1" customHeight="1" outlineLevel="1">
      <c r="B188" s="2420"/>
      <c r="C188" s="2421"/>
      <c r="D188" s="2421"/>
      <c r="E188" s="1443"/>
      <c r="F188" s="2421"/>
      <c r="G188" s="2421"/>
      <c r="H188" s="2407"/>
      <c r="I188" s="2408"/>
    </row>
    <row r="189" spans="2:9" ht="15.75" hidden="1" customHeight="1" outlineLevel="1" thickBot="1">
      <c r="B189" s="2409"/>
      <c r="C189" s="2410"/>
      <c r="D189" s="2410"/>
      <c r="E189" s="1444"/>
      <c r="F189" s="2410"/>
      <c r="G189" s="2410"/>
      <c r="H189" s="2411"/>
      <c r="I189" s="2412"/>
    </row>
    <row r="190" spans="2:9" ht="15.75" customHeight="1" collapsed="1" thickBot="1">
      <c r="B190" s="474"/>
      <c r="C190" s="2398" t="s">
        <v>471</v>
      </c>
      <c r="D190" s="2398"/>
      <c r="E190" s="475"/>
      <c r="F190" s="475"/>
      <c r="G190" s="475"/>
      <c r="H190" s="475"/>
      <c r="I190" s="476"/>
    </row>
    <row r="191" spans="2:9" ht="15.75" hidden="1" customHeight="1" outlineLevel="1">
      <c r="B191" s="80"/>
      <c r="C191" s="145" t="s">
        <v>456</v>
      </c>
      <c r="D191" s="146"/>
      <c r="E191" s="2413"/>
      <c r="F191" s="2414"/>
      <c r="G191" s="2414"/>
      <c r="H191" s="2414"/>
      <c r="I191" s="2415"/>
    </row>
    <row r="192" spans="2:9" ht="15.75" hidden="1" customHeight="1" outlineLevel="1">
      <c r="B192" s="147" t="s">
        <v>457</v>
      </c>
      <c r="C192" s="2416"/>
      <c r="D192" s="2417"/>
      <c r="E192" s="155" t="s">
        <v>458</v>
      </c>
      <c r="F192" s="1440"/>
      <c r="G192" s="156" t="s">
        <v>459</v>
      </c>
      <c r="H192" s="2418"/>
      <c r="I192" s="2419"/>
    </row>
    <row r="193" spans="2:9" ht="15.75" hidden="1" customHeight="1" outlineLevel="1">
      <c r="B193" s="148" t="s">
        <v>460</v>
      </c>
      <c r="C193" s="2422">
        <v>0</v>
      </c>
      <c r="D193" s="2422"/>
      <c r="E193" s="154" t="s">
        <v>461</v>
      </c>
      <c r="F193" s="1441"/>
      <c r="G193" s="2423" t="s">
        <v>462</v>
      </c>
      <c r="H193" s="2423"/>
      <c r="I193" s="1437"/>
    </row>
    <row r="194" spans="2:9" ht="15.75" hidden="1" customHeight="1" outlineLevel="1">
      <c r="B194" s="149" t="s">
        <v>463</v>
      </c>
      <c r="C194" s="2424"/>
      <c r="D194" s="2425"/>
      <c r="E194" s="2425"/>
      <c r="F194" s="143" t="s">
        <v>464</v>
      </c>
      <c r="G194" s="1438"/>
      <c r="H194" s="2426" t="str">
        <f>IF(G194="Not Clear","See Narrative for details"," ")</f>
        <v xml:space="preserve"> </v>
      </c>
      <c r="I194" s="2427"/>
    </row>
    <row r="195" spans="2:9" ht="15.75" hidden="1" customHeight="1" outlineLevel="1">
      <c r="B195" s="150" t="s">
        <v>340</v>
      </c>
      <c r="C195" s="1442"/>
      <c r="D195" s="2431" t="s">
        <v>465</v>
      </c>
      <c r="E195" s="2432"/>
      <c r="F195" s="153" t="s">
        <v>166</v>
      </c>
      <c r="G195" s="502"/>
      <c r="H195" s="153" t="s">
        <v>466</v>
      </c>
      <c r="I195" s="1439"/>
    </row>
    <row r="196" spans="2:9" ht="15.75" hidden="1" customHeight="1" outlineLevel="1">
      <c r="B196" s="2433" t="s">
        <v>438</v>
      </c>
      <c r="C196" s="2434"/>
      <c r="D196" s="2434"/>
      <c r="E196" s="152" t="s">
        <v>467</v>
      </c>
      <c r="F196" s="2434" t="s">
        <v>468</v>
      </c>
      <c r="G196" s="2434"/>
      <c r="H196" s="2434" t="s">
        <v>469</v>
      </c>
      <c r="I196" s="2435"/>
    </row>
    <row r="197" spans="2:9" ht="15.75" hidden="1" customHeight="1" outlineLevel="1">
      <c r="B197" s="2429"/>
      <c r="C197" s="2425"/>
      <c r="D197" s="2430"/>
      <c r="E197" s="1443"/>
      <c r="F197" s="2421"/>
      <c r="G197" s="2421"/>
      <c r="H197" s="2407"/>
      <c r="I197" s="2408"/>
    </row>
    <row r="198" spans="2:9" ht="15.75" hidden="1" customHeight="1" outlineLevel="1">
      <c r="B198" s="2420"/>
      <c r="C198" s="2421"/>
      <c r="D198" s="2421"/>
      <c r="E198" s="1443"/>
      <c r="F198" s="2421"/>
      <c r="G198" s="2421"/>
      <c r="H198" s="2407"/>
      <c r="I198" s="2408"/>
    </row>
    <row r="199" spans="2:9" ht="15.75" hidden="1" customHeight="1" outlineLevel="1">
      <c r="B199" s="2420"/>
      <c r="C199" s="2421"/>
      <c r="D199" s="2421"/>
      <c r="E199" s="1443"/>
      <c r="F199" s="2421"/>
      <c r="G199" s="2421"/>
      <c r="H199" s="2407"/>
      <c r="I199" s="2408"/>
    </row>
    <row r="200" spans="2:9" ht="15.75" hidden="1" customHeight="1" outlineLevel="1" thickBot="1">
      <c r="B200" s="2409"/>
      <c r="C200" s="2410"/>
      <c r="D200" s="2410"/>
      <c r="E200" s="1444"/>
      <c r="F200" s="2410"/>
      <c r="G200" s="2410"/>
      <c r="H200" s="2411"/>
      <c r="I200" s="2412"/>
    </row>
    <row r="201" spans="2:9" ht="15.75" customHeight="1" collapsed="1" thickBot="1">
      <c r="B201" s="474"/>
      <c r="C201" s="2398" t="s">
        <v>472</v>
      </c>
      <c r="D201" s="2398"/>
      <c r="E201" s="475"/>
      <c r="F201" s="475"/>
      <c r="G201" s="475"/>
      <c r="H201" s="475"/>
      <c r="I201" s="476"/>
    </row>
    <row r="202" spans="2:9" ht="15.75" hidden="1" customHeight="1" outlineLevel="1">
      <c r="B202" s="80"/>
      <c r="C202" s="145" t="s">
        <v>456</v>
      </c>
      <c r="D202" s="146"/>
      <c r="E202" s="2413"/>
      <c r="F202" s="2414"/>
      <c r="G202" s="2414"/>
      <c r="H202" s="2414"/>
      <c r="I202" s="2415"/>
    </row>
    <row r="203" spans="2:9" ht="15.75" hidden="1" customHeight="1" outlineLevel="1">
      <c r="B203" s="147" t="s">
        <v>457</v>
      </c>
      <c r="C203" s="2416"/>
      <c r="D203" s="2417"/>
      <c r="E203" s="155" t="s">
        <v>458</v>
      </c>
      <c r="F203" s="1440"/>
      <c r="G203" s="156" t="s">
        <v>459</v>
      </c>
      <c r="H203" s="2418"/>
      <c r="I203" s="2419"/>
    </row>
    <row r="204" spans="2:9" ht="15.75" hidden="1" customHeight="1" outlineLevel="1">
      <c r="B204" s="148" t="s">
        <v>460</v>
      </c>
      <c r="C204" s="2422">
        <v>0</v>
      </c>
      <c r="D204" s="2422"/>
      <c r="E204" s="154" t="s">
        <v>461</v>
      </c>
      <c r="F204" s="1441"/>
      <c r="G204" s="2423" t="s">
        <v>462</v>
      </c>
      <c r="H204" s="2423"/>
      <c r="I204" s="1437"/>
    </row>
    <row r="205" spans="2:9" ht="15.75" hidden="1" customHeight="1" outlineLevel="1">
      <c r="B205" s="149" t="s">
        <v>463</v>
      </c>
      <c r="C205" s="2424"/>
      <c r="D205" s="2425"/>
      <c r="E205" s="2425"/>
      <c r="F205" s="143" t="s">
        <v>464</v>
      </c>
      <c r="G205" s="1438"/>
      <c r="H205" s="2426" t="str">
        <f>IF(G205="Not Clear","See Narrative for details"," ")</f>
        <v xml:space="preserve"> </v>
      </c>
      <c r="I205" s="2427"/>
    </row>
    <row r="206" spans="2:9" ht="15.75" hidden="1" customHeight="1" outlineLevel="1">
      <c r="B206" s="150" t="s">
        <v>340</v>
      </c>
      <c r="C206" s="1442"/>
      <c r="D206" s="2431" t="s">
        <v>465</v>
      </c>
      <c r="E206" s="2432"/>
      <c r="F206" s="153" t="s">
        <v>166</v>
      </c>
      <c r="G206" s="502"/>
      <c r="H206" s="153" t="s">
        <v>466</v>
      </c>
      <c r="I206" s="1439"/>
    </row>
    <row r="207" spans="2:9" ht="15.75" hidden="1" customHeight="1" outlineLevel="1">
      <c r="B207" s="2433" t="s">
        <v>438</v>
      </c>
      <c r="C207" s="2434"/>
      <c r="D207" s="2434"/>
      <c r="E207" s="152" t="s">
        <v>467</v>
      </c>
      <c r="F207" s="2434" t="s">
        <v>468</v>
      </c>
      <c r="G207" s="2434"/>
      <c r="H207" s="2434" t="s">
        <v>469</v>
      </c>
      <c r="I207" s="2435"/>
    </row>
    <row r="208" spans="2:9" ht="15.75" hidden="1" customHeight="1" outlineLevel="1">
      <c r="B208" s="2429"/>
      <c r="C208" s="2425"/>
      <c r="D208" s="2430"/>
      <c r="E208" s="1443"/>
      <c r="F208" s="2421"/>
      <c r="G208" s="2421"/>
      <c r="H208" s="2407"/>
      <c r="I208" s="2408"/>
    </row>
    <row r="209" spans="2:9" ht="15.75" hidden="1" customHeight="1" outlineLevel="1">
      <c r="B209" s="2420"/>
      <c r="C209" s="2421"/>
      <c r="D209" s="2421"/>
      <c r="E209" s="1443"/>
      <c r="F209" s="2421"/>
      <c r="G209" s="2421"/>
      <c r="H209" s="2407"/>
      <c r="I209" s="2408"/>
    </row>
    <row r="210" spans="2:9" ht="15.75" hidden="1" customHeight="1" outlineLevel="1">
      <c r="B210" s="2420"/>
      <c r="C210" s="2421"/>
      <c r="D210" s="2421"/>
      <c r="E210" s="1443"/>
      <c r="F210" s="2421"/>
      <c r="G210" s="2421"/>
      <c r="H210" s="2407"/>
      <c r="I210" s="2408"/>
    </row>
    <row r="211" spans="2:9" ht="15.75" hidden="1" customHeight="1" outlineLevel="1" thickBot="1">
      <c r="B211" s="2409"/>
      <c r="C211" s="2410"/>
      <c r="D211" s="2410"/>
      <c r="E211" s="1444"/>
      <c r="F211" s="2410"/>
      <c r="G211" s="2410"/>
      <c r="H211" s="2411"/>
      <c r="I211" s="2412"/>
    </row>
    <row r="212" spans="2:9" ht="15.75" customHeight="1" collapsed="1" thickBot="1">
      <c r="B212" s="474"/>
      <c r="C212" s="2398" t="s">
        <v>473</v>
      </c>
      <c r="D212" s="2398"/>
      <c r="E212" s="475"/>
      <c r="F212" s="475"/>
      <c r="G212" s="475"/>
      <c r="H212" s="475"/>
      <c r="I212" s="476"/>
    </row>
    <row r="213" spans="2:9" ht="15.75" hidden="1" customHeight="1" outlineLevel="1">
      <c r="B213" s="80"/>
      <c r="C213" s="145" t="s">
        <v>456</v>
      </c>
      <c r="D213" s="146"/>
      <c r="E213" s="2413"/>
      <c r="F213" s="2414"/>
      <c r="G213" s="2414"/>
      <c r="H213" s="2414"/>
      <c r="I213" s="2415"/>
    </row>
    <row r="214" spans="2:9" ht="15.75" hidden="1" customHeight="1" outlineLevel="1">
      <c r="B214" s="147" t="s">
        <v>457</v>
      </c>
      <c r="C214" s="2416" t="s">
        <v>474</v>
      </c>
      <c r="D214" s="2417"/>
      <c r="E214" s="155" t="s">
        <v>458</v>
      </c>
      <c r="F214" s="1440"/>
      <c r="G214" s="156" t="s">
        <v>459</v>
      </c>
      <c r="H214" s="2418"/>
      <c r="I214" s="2419"/>
    </row>
    <row r="215" spans="2:9" ht="15.75" hidden="1" customHeight="1" outlineLevel="1">
      <c r="B215" s="148" t="s">
        <v>460</v>
      </c>
      <c r="C215" s="2422">
        <v>0</v>
      </c>
      <c r="D215" s="2422"/>
      <c r="E215" s="154" t="s">
        <v>461</v>
      </c>
      <c r="F215" s="1441"/>
      <c r="G215" s="2423" t="s">
        <v>462</v>
      </c>
      <c r="H215" s="2423"/>
      <c r="I215" s="1437"/>
    </row>
    <row r="216" spans="2:9" ht="15.75" hidden="1" customHeight="1" outlineLevel="1">
      <c r="B216" s="149" t="s">
        <v>463</v>
      </c>
      <c r="C216" s="2424"/>
      <c r="D216" s="2425"/>
      <c r="E216" s="2425"/>
      <c r="F216" s="143" t="s">
        <v>464</v>
      </c>
      <c r="G216" s="1438"/>
      <c r="H216" s="2426" t="str">
        <f>IF(G216="Not Clear","See Narrative for details"," ")</f>
        <v xml:space="preserve"> </v>
      </c>
      <c r="I216" s="2427"/>
    </row>
    <row r="217" spans="2:9" ht="15.75" hidden="1" customHeight="1" outlineLevel="1">
      <c r="B217" s="150" t="s">
        <v>340</v>
      </c>
      <c r="C217" s="1442"/>
      <c r="D217" s="2431" t="s">
        <v>465</v>
      </c>
      <c r="E217" s="2432"/>
      <c r="F217" s="153" t="s">
        <v>166</v>
      </c>
      <c r="G217" s="502"/>
      <c r="H217" s="153" t="s">
        <v>466</v>
      </c>
      <c r="I217" s="1439"/>
    </row>
    <row r="218" spans="2:9" ht="15.75" hidden="1" customHeight="1" outlineLevel="1">
      <c r="B218" s="2433" t="s">
        <v>438</v>
      </c>
      <c r="C218" s="2434"/>
      <c r="D218" s="2434"/>
      <c r="E218" s="152" t="s">
        <v>467</v>
      </c>
      <c r="F218" s="2434" t="s">
        <v>468</v>
      </c>
      <c r="G218" s="2434"/>
      <c r="H218" s="2434" t="s">
        <v>469</v>
      </c>
      <c r="I218" s="2435"/>
    </row>
    <row r="219" spans="2:9" ht="15.75" hidden="1" customHeight="1" outlineLevel="1">
      <c r="B219" s="2429"/>
      <c r="C219" s="2425"/>
      <c r="D219" s="2430"/>
      <c r="E219" s="1443"/>
      <c r="F219" s="2421"/>
      <c r="G219" s="2421"/>
      <c r="H219" s="2407"/>
      <c r="I219" s="2408"/>
    </row>
    <row r="220" spans="2:9" ht="15.75" hidden="1" customHeight="1" outlineLevel="1">
      <c r="B220" s="2420"/>
      <c r="C220" s="2421"/>
      <c r="D220" s="2421"/>
      <c r="E220" s="1443"/>
      <c r="F220" s="2421"/>
      <c r="G220" s="2421"/>
      <c r="H220" s="2407"/>
      <c r="I220" s="2408"/>
    </row>
    <row r="221" spans="2:9" ht="15.75" hidden="1" customHeight="1" outlineLevel="1">
      <c r="B221" s="2420"/>
      <c r="C221" s="2421"/>
      <c r="D221" s="2421"/>
      <c r="E221" s="1443"/>
      <c r="F221" s="2421"/>
      <c r="G221" s="2421"/>
      <c r="H221" s="2407"/>
      <c r="I221" s="2408"/>
    </row>
    <row r="222" spans="2:9" ht="15.75" hidden="1" customHeight="1" outlineLevel="1" thickBot="1">
      <c r="B222" s="2409"/>
      <c r="C222" s="2410"/>
      <c r="D222" s="2410"/>
      <c r="E222" s="1444"/>
      <c r="F222" s="2410"/>
      <c r="G222" s="2410"/>
      <c r="H222" s="2411"/>
      <c r="I222" s="2412"/>
    </row>
    <row r="223" spans="2:9" ht="15.75" customHeight="1" collapsed="1" thickBot="1">
      <c r="B223" s="474"/>
      <c r="C223" s="2398" t="s">
        <v>475</v>
      </c>
      <c r="D223" s="2398"/>
      <c r="E223" s="475"/>
      <c r="F223" s="475"/>
      <c r="G223" s="475"/>
      <c r="H223" s="475"/>
      <c r="I223" s="476"/>
    </row>
    <row r="224" spans="2:9">
      <c r="B224" s="2483" t="s">
        <v>476</v>
      </c>
      <c r="C224" s="2484"/>
      <c r="D224" s="2484"/>
      <c r="E224" s="2484"/>
      <c r="F224" s="2484"/>
      <c r="G224" s="2484"/>
      <c r="H224" s="2484"/>
      <c r="I224" s="2485"/>
    </row>
    <row r="225" spans="2:9">
      <c r="B225" s="167" t="s">
        <v>477</v>
      </c>
      <c r="C225" s="1445"/>
      <c r="D225" s="144" t="s">
        <v>478</v>
      </c>
      <c r="E225" s="1445"/>
      <c r="F225" s="144" t="s">
        <v>479</v>
      </c>
      <c r="G225" s="1445"/>
      <c r="H225" s="144" t="s">
        <v>480</v>
      </c>
      <c r="I225" s="1446"/>
    </row>
    <row r="226" spans="2:9">
      <c r="B226" s="168" t="s">
        <v>481</v>
      </c>
      <c r="C226" s="1445"/>
      <c r="D226" s="169" t="s">
        <v>481</v>
      </c>
      <c r="E226" s="1445"/>
      <c r="F226" s="169" t="s">
        <v>481</v>
      </c>
      <c r="G226" s="1445"/>
      <c r="H226" s="169" t="s">
        <v>481</v>
      </c>
      <c r="I226" s="1446"/>
    </row>
    <row r="227" spans="2:9">
      <c r="B227" s="2467" t="s">
        <v>482</v>
      </c>
      <c r="C227" s="2468"/>
      <c r="D227" s="2468"/>
      <c r="E227" s="2468"/>
      <c r="F227" s="2468"/>
      <c r="G227" s="2468"/>
      <c r="H227" s="2468"/>
      <c r="I227" s="2469"/>
    </row>
    <row r="228" spans="2:9" ht="16">
      <c r="B228" s="164" t="s">
        <v>483</v>
      </c>
      <c r="C228" s="2447"/>
      <c r="D228" s="2447"/>
      <c r="E228" s="2447"/>
      <c r="F228" s="2447"/>
      <c r="G228" s="2447"/>
      <c r="H228" s="2447"/>
      <c r="I228" s="2448"/>
    </row>
    <row r="229" spans="2:9" ht="16">
      <c r="B229" s="2457" t="s">
        <v>266</v>
      </c>
      <c r="C229" s="2458"/>
      <c r="D229" s="2458"/>
      <c r="E229" s="1393" t="s">
        <v>484</v>
      </c>
      <c r="F229" s="1393" t="s">
        <v>485</v>
      </c>
      <c r="G229" s="1393" t="s">
        <v>486</v>
      </c>
      <c r="H229" s="1393" t="s">
        <v>487</v>
      </c>
      <c r="I229" s="1447" t="s">
        <v>488</v>
      </c>
    </row>
    <row r="230" spans="2:9">
      <c r="B230" s="2454"/>
      <c r="C230" s="2455"/>
      <c r="D230" s="2456"/>
      <c r="E230" s="1427"/>
      <c r="F230" s="1783"/>
      <c r="G230" s="1784"/>
      <c r="H230" s="1427"/>
      <c r="I230" s="1785"/>
    </row>
    <row r="231" spans="2:9" ht="16">
      <c r="B231" s="164" t="s">
        <v>483</v>
      </c>
      <c r="C231" s="2447"/>
      <c r="D231" s="2447"/>
      <c r="E231" s="2447"/>
      <c r="F231" s="2447"/>
      <c r="G231" s="2447"/>
      <c r="H231" s="2447"/>
      <c r="I231" s="2448"/>
    </row>
    <row r="232" spans="2:9" ht="16">
      <c r="B232" s="2457" t="s">
        <v>266</v>
      </c>
      <c r="C232" s="2458"/>
      <c r="D232" s="2458"/>
      <c r="E232" s="1393" t="s">
        <v>484</v>
      </c>
      <c r="F232" s="1393" t="s">
        <v>485</v>
      </c>
      <c r="G232" s="1393" t="s">
        <v>486</v>
      </c>
      <c r="H232" s="1393" t="s">
        <v>487</v>
      </c>
      <c r="I232" s="1447" t="s">
        <v>488</v>
      </c>
    </row>
    <row r="233" spans="2:9">
      <c r="B233" s="2454"/>
      <c r="C233" s="2455"/>
      <c r="D233" s="2456"/>
      <c r="E233" s="1427"/>
      <c r="F233" s="1783"/>
      <c r="G233" s="1784"/>
      <c r="H233" s="1427"/>
      <c r="I233" s="1785"/>
    </row>
    <row r="234" spans="2:9" ht="16">
      <c r="B234" s="164" t="s">
        <v>483</v>
      </c>
      <c r="C234" s="2447"/>
      <c r="D234" s="2447"/>
      <c r="E234" s="2447"/>
      <c r="F234" s="2447"/>
      <c r="G234" s="2447"/>
      <c r="H234" s="2447"/>
      <c r="I234" s="2448"/>
    </row>
    <row r="235" spans="2:9" ht="16">
      <c r="B235" s="2457" t="s">
        <v>266</v>
      </c>
      <c r="C235" s="2458"/>
      <c r="D235" s="2458"/>
      <c r="E235" s="1393" t="s">
        <v>484</v>
      </c>
      <c r="F235" s="1393" t="s">
        <v>485</v>
      </c>
      <c r="G235" s="1393" t="s">
        <v>486</v>
      </c>
      <c r="H235" s="1393" t="s">
        <v>487</v>
      </c>
      <c r="I235" s="1447" t="s">
        <v>488</v>
      </c>
    </row>
    <row r="236" spans="2:9">
      <c r="B236" s="2454"/>
      <c r="C236" s="2455"/>
      <c r="D236" s="2456"/>
      <c r="E236" s="1427"/>
      <c r="F236" s="1783"/>
      <c r="G236" s="1784"/>
      <c r="H236" s="1427"/>
      <c r="I236" s="1785"/>
    </row>
    <row r="237" spans="2:9" ht="16">
      <c r="B237" s="164" t="s">
        <v>483</v>
      </c>
      <c r="C237" s="2470"/>
      <c r="D237" s="2470"/>
      <c r="E237" s="2470"/>
      <c r="F237" s="2470"/>
      <c r="G237" s="2470"/>
      <c r="H237" s="2470"/>
      <c r="I237" s="2471"/>
    </row>
    <row r="238" spans="2:9" ht="16">
      <c r="B238" s="2457" t="s">
        <v>266</v>
      </c>
      <c r="C238" s="2458"/>
      <c r="D238" s="2458"/>
      <c r="E238" s="49" t="s">
        <v>484</v>
      </c>
      <c r="F238" s="49" t="s">
        <v>485</v>
      </c>
      <c r="G238" s="49" t="s">
        <v>486</v>
      </c>
      <c r="H238" s="49" t="s">
        <v>487</v>
      </c>
      <c r="I238" s="170" t="s">
        <v>488</v>
      </c>
    </row>
    <row r="239" spans="2:9" ht="16" thickBot="1">
      <c r="B239" s="2472" t="s">
        <v>489</v>
      </c>
      <c r="C239" s="2473"/>
      <c r="D239" s="2473"/>
      <c r="E239" s="2473"/>
      <c r="F239" s="2473"/>
      <c r="G239" s="2473"/>
      <c r="H239" s="2473"/>
      <c r="I239" s="2474"/>
    </row>
    <row r="240" spans="2:9" ht="15.75" customHeight="1">
      <c r="B240" s="2475"/>
      <c r="C240" s="2476"/>
      <c r="D240" s="2476"/>
      <c r="E240" s="2476"/>
      <c r="F240" s="2476"/>
      <c r="G240" s="2476"/>
      <c r="H240" s="2476"/>
      <c r="I240" s="2477"/>
    </row>
    <row r="241" spans="2:9" ht="15.75" customHeight="1">
      <c r="B241" s="2478"/>
      <c r="C241" s="2479"/>
      <c r="D241" s="2479"/>
      <c r="E241" s="2479"/>
      <c r="F241" s="2479"/>
      <c r="G241" s="2479"/>
      <c r="H241" s="2479"/>
      <c r="I241" s="2480"/>
    </row>
    <row r="242" spans="2:9" ht="15.75" customHeight="1" thickBot="1">
      <c r="B242" s="2478"/>
      <c r="C242" s="2479"/>
      <c r="D242" s="2479"/>
      <c r="E242" s="2479"/>
      <c r="F242" s="2479"/>
      <c r="G242" s="2479"/>
      <c r="H242" s="2479"/>
      <c r="I242" s="2480"/>
    </row>
    <row r="243" spans="2:9" ht="16" thickBot="1">
      <c r="B243" s="2459" t="s">
        <v>490</v>
      </c>
      <c r="C243" s="2460"/>
      <c r="D243" s="2460"/>
      <c r="E243" s="2460"/>
      <c r="F243" s="2460"/>
      <c r="G243" s="2460"/>
      <c r="H243" s="2460"/>
      <c r="I243" s="2461"/>
    </row>
    <row r="244" spans="2:9" ht="16">
      <c r="B244" s="171" t="s">
        <v>491</v>
      </c>
      <c r="C244" s="2481"/>
      <c r="D244" s="2481"/>
      <c r="E244" s="2481"/>
      <c r="F244" s="2481"/>
      <c r="G244" s="2481"/>
      <c r="H244" s="2481"/>
      <c r="I244" s="2482"/>
    </row>
    <row r="245" spans="2:9" ht="16">
      <c r="B245" s="172" t="s">
        <v>492</v>
      </c>
      <c r="C245" s="2447"/>
      <c r="D245" s="2447"/>
      <c r="E245" s="2447"/>
      <c r="F245" s="2447"/>
      <c r="G245" s="2447"/>
      <c r="H245" s="2447"/>
      <c r="I245" s="2448"/>
    </row>
    <row r="246" spans="2:9" ht="16">
      <c r="B246" s="173" t="s">
        <v>491</v>
      </c>
      <c r="C246" s="2447"/>
      <c r="D246" s="2447"/>
      <c r="E246" s="2447"/>
      <c r="F246" s="2447"/>
      <c r="G246" s="2447"/>
      <c r="H246" s="2447"/>
      <c r="I246" s="2448"/>
    </row>
    <row r="247" spans="2:9" ht="16">
      <c r="B247" s="172" t="s">
        <v>492</v>
      </c>
      <c r="C247" s="2447"/>
      <c r="D247" s="2447"/>
      <c r="E247" s="2447"/>
      <c r="F247" s="2447"/>
      <c r="G247" s="2447"/>
      <c r="H247" s="2447"/>
      <c r="I247" s="2448"/>
    </row>
    <row r="248" spans="2:9" ht="16">
      <c r="B248" s="173" t="s">
        <v>491</v>
      </c>
      <c r="C248" s="2447"/>
      <c r="D248" s="2447"/>
      <c r="E248" s="2447"/>
      <c r="F248" s="2447"/>
      <c r="G248" s="2447"/>
      <c r="H248" s="2447"/>
      <c r="I248" s="2448"/>
    </row>
    <row r="249" spans="2:9" ht="16">
      <c r="B249" s="172" t="s">
        <v>492</v>
      </c>
      <c r="C249" s="2447"/>
      <c r="D249" s="2447"/>
      <c r="E249" s="2447"/>
      <c r="F249" s="2447"/>
      <c r="G249" s="2447"/>
      <c r="H249" s="2447"/>
      <c r="I249" s="2448"/>
    </row>
    <row r="250" spans="2:9" ht="16">
      <c r="B250" s="173" t="s">
        <v>491</v>
      </c>
      <c r="C250" s="2447"/>
      <c r="D250" s="2447"/>
      <c r="E250" s="2447"/>
      <c r="F250" s="2447"/>
      <c r="G250" s="2447"/>
      <c r="H250" s="2447"/>
      <c r="I250" s="2448"/>
    </row>
    <row r="251" spans="2:9" ht="17" thickBot="1">
      <c r="B251" s="205" t="s">
        <v>492</v>
      </c>
      <c r="C251" s="2449"/>
      <c r="D251" s="2449"/>
      <c r="E251" s="2449"/>
      <c r="F251" s="2449"/>
      <c r="G251" s="2449"/>
      <c r="H251" s="2449"/>
      <c r="I251" s="2450"/>
    </row>
    <row r="252" spans="2:9">
      <c r="B252" s="2462" t="s">
        <v>493</v>
      </c>
      <c r="C252" s="2463"/>
      <c r="D252" s="2463"/>
      <c r="E252" s="2463"/>
      <c r="F252" s="2463"/>
      <c r="G252" s="2463"/>
      <c r="H252" s="2463"/>
      <c r="I252" s="2464"/>
    </row>
    <row r="253" spans="2:9">
      <c r="B253" s="2465" t="s">
        <v>494</v>
      </c>
      <c r="C253" s="2466"/>
      <c r="D253" s="2466"/>
      <c r="E253" s="202" t="s">
        <v>495</v>
      </c>
      <c r="F253" s="1448"/>
      <c r="G253" s="204"/>
      <c r="H253" s="204"/>
      <c r="I253" s="206"/>
    </row>
    <row r="254" spans="2:9">
      <c r="B254" s="151" t="s">
        <v>496</v>
      </c>
      <c r="C254" s="152" t="s">
        <v>497</v>
      </c>
      <c r="D254" s="152" t="s">
        <v>498</v>
      </c>
      <c r="E254" s="203" t="s">
        <v>499</v>
      </c>
      <c r="F254" s="152" t="s">
        <v>500</v>
      </c>
      <c r="G254" s="152" t="s">
        <v>501</v>
      </c>
      <c r="H254" s="2451" t="s">
        <v>502</v>
      </c>
      <c r="I254" s="2452"/>
    </row>
    <row r="255" spans="2:9">
      <c r="B255" s="1786"/>
      <c r="C255" s="27"/>
      <c r="D255" s="130"/>
      <c r="E255" s="130"/>
      <c r="F255" s="130"/>
      <c r="G255" s="130"/>
      <c r="H255" s="130"/>
      <c r="I255" s="140"/>
    </row>
    <row r="256" spans="2:9">
      <c r="B256" s="489"/>
      <c r="C256" s="130"/>
      <c r="D256" s="130"/>
      <c r="E256" s="130"/>
      <c r="F256" s="130"/>
      <c r="G256" s="130"/>
      <c r="H256" s="130"/>
      <c r="I256" s="140"/>
    </row>
    <row r="257" spans="2:9">
      <c r="B257" s="489"/>
      <c r="C257" s="130"/>
      <c r="D257" s="130"/>
      <c r="E257" s="130"/>
      <c r="F257" s="130"/>
      <c r="G257" s="130"/>
      <c r="H257" s="130"/>
      <c r="I257" s="140"/>
    </row>
    <row r="258" spans="2:9">
      <c r="B258" s="489"/>
      <c r="C258" s="130"/>
      <c r="D258" s="130"/>
      <c r="E258" s="130"/>
      <c r="F258" s="130"/>
      <c r="G258" s="130"/>
      <c r="H258" s="130"/>
      <c r="I258" s="140"/>
    </row>
    <row r="259" spans="2:9">
      <c r="B259" s="1449"/>
      <c r="C259" s="27"/>
      <c r="D259" s="27"/>
      <c r="E259" s="27"/>
      <c r="F259" s="27"/>
      <c r="G259" s="27"/>
      <c r="H259" s="27"/>
      <c r="I259" s="1450"/>
    </row>
    <row r="260" spans="2:9">
      <c r="B260" s="489"/>
      <c r="C260" s="130"/>
      <c r="D260" s="130"/>
      <c r="E260" s="130"/>
      <c r="F260" s="130"/>
      <c r="G260" s="130"/>
      <c r="H260" s="130"/>
      <c r="I260" s="140"/>
    </row>
    <row r="261" spans="2:9">
      <c r="B261" s="2453" t="s">
        <v>503</v>
      </c>
      <c r="C261" s="2451"/>
      <c r="D261" s="165"/>
      <c r="E261" s="165"/>
      <c r="F261" s="165"/>
      <c r="G261" s="165"/>
      <c r="H261" s="165"/>
      <c r="I261" s="207"/>
    </row>
    <row r="262" spans="2:9">
      <c r="B262" s="2436"/>
      <c r="C262" s="2437"/>
      <c r="D262" s="2437"/>
      <c r="E262" s="2437"/>
      <c r="F262" s="2437"/>
      <c r="G262" s="2437"/>
      <c r="H262" s="2437"/>
      <c r="I262" s="2438"/>
    </row>
    <row r="263" spans="2:9">
      <c r="B263" s="2436"/>
      <c r="C263" s="2437"/>
      <c r="D263" s="2437"/>
      <c r="E263" s="2437"/>
      <c r="F263" s="2437"/>
      <c r="G263" s="2437"/>
      <c r="H263" s="2437"/>
      <c r="I263" s="2438"/>
    </row>
    <row r="264" spans="2:9" ht="16" thickBot="1">
      <c r="B264" s="2439"/>
      <c r="C264" s="2440"/>
      <c r="D264" s="2440"/>
      <c r="E264" s="2440"/>
      <c r="F264" s="2440"/>
      <c r="G264" s="2440"/>
      <c r="H264" s="2440"/>
      <c r="I264" s="2441"/>
    </row>
    <row r="265" spans="2:9">
      <c r="B265" s="2396" t="s">
        <v>504</v>
      </c>
      <c r="C265" s="2397"/>
      <c r="D265" s="2397"/>
      <c r="E265" s="1491" t="s">
        <v>495</v>
      </c>
      <c r="F265" s="1492"/>
      <c r="G265" s="204"/>
      <c r="H265" s="204"/>
      <c r="I265" s="206"/>
    </row>
    <row r="266" spans="2:9" ht="16">
      <c r="B266" s="159" t="s">
        <v>505</v>
      </c>
      <c r="C266" s="1489"/>
      <c r="D266" s="166" t="s">
        <v>506</v>
      </c>
      <c r="E266" s="166" t="s">
        <v>507</v>
      </c>
      <c r="F266" s="1489"/>
      <c r="G266" s="2581" t="s">
        <v>508</v>
      </c>
      <c r="H266" s="2582"/>
      <c r="I266" s="1490"/>
    </row>
    <row r="267" spans="2:9">
      <c r="B267" s="151" t="s">
        <v>496</v>
      </c>
      <c r="C267" s="152" t="s">
        <v>497</v>
      </c>
      <c r="D267" s="152" t="s">
        <v>498</v>
      </c>
      <c r="E267" s="203" t="s">
        <v>499</v>
      </c>
      <c r="F267" s="152" t="s">
        <v>500</v>
      </c>
      <c r="G267" s="152" t="s">
        <v>501</v>
      </c>
      <c r="H267" s="2451" t="s">
        <v>502</v>
      </c>
      <c r="I267" s="2452"/>
    </row>
    <row r="268" spans="2:9">
      <c r="B268" s="1786"/>
      <c r="C268" s="27"/>
      <c r="D268" s="130"/>
      <c r="E268" s="130"/>
      <c r="F268" s="130"/>
      <c r="G268" s="130"/>
      <c r="H268" s="130"/>
      <c r="I268" s="140"/>
    </row>
    <row r="269" spans="2:9">
      <c r="B269" s="489"/>
      <c r="C269" s="130"/>
      <c r="D269" s="130"/>
      <c r="E269" s="130"/>
      <c r="F269" s="130"/>
      <c r="G269" s="130"/>
      <c r="H269" s="130"/>
      <c r="I269" s="140"/>
    </row>
    <row r="270" spans="2:9">
      <c r="B270" s="489"/>
      <c r="C270" s="130"/>
      <c r="D270" s="130"/>
      <c r="E270" s="130"/>
      <c r="F270" s="130"/>
      <c r="G270" s="130"/>
      <c r="H270" s="130"/>
      <c r="I270" s="140"/>
    </row>
    <row r="271" spans="2:9">
      <c r="B271" s="489"/>
      <c r="C271" s="130"/>
      <c r="D271" s="130"/>
      <c r="E271" s="130"/>
      <c r="F271" s="130"/>
      <c r="G271" s="130"/>
      <c r="H271" s="130"/>
      <c r="I271" s="140"/>
    </row>
    <row r="272" spans="2:9">
      <c r="B272" s="1449"/>
      <c r="C272" s="27"/>
      <c r="D272" s="27"/>
      <c r="E272" s="27"/>
      <c r="F272" s="27"/>
      <c r="G272" s="27"/>
      <c r="H272" s="27"/>
      <c r="I272" s="1450"/>
    </row>
    <row r="273" spans="2:9">
      <c r="B273" s="489"/>
      <c r="C273" s="130"/>
      <c r="D273" s="130"/>
      <c r="E273" s="130"/>
      <c r="F273" s="130"/>
      <c r="G273" s="130"/>
      <c r="H273" s="130"/>
      <c r="I273" s="140"/>
    </row>
    <row r="274" spans="2:9">
      <c r="B274" s="2453" t="s">
        <v>509</v>
      </c>
      <c r="C274" s="2451"/>
      <c r="D274" s="165"/>
      <c r="E274" s="165"/>
      <c r="F274" s="165"/>
      <c r="G274" s="165"/>
      <c r="H274" s="165"/>
      <c r="I274" s="207"/>
    </row>
    <row r="275" spans="2:9">
      <c r="B275" s="2548"/>
      <c r="C275" s="2549"/>
      <c r="D275" s="2549"/>
      <c r="E275" s="2549"/>
      <c r="F275" s="2549"/>
      <c r="G275" s="2549"/>
      <c r="H275" s="2549"/>
      <c r="I275" s="2550"/>
    </row>
    <row r="276" spans="2:9">
      <c r="B276" s="2548"/>
      <c r="C276" s="2549"/>
      <c r="D276" s="2549"/>
      <c r="E276" s="2549"/>
      <c r="F276" s="2549"/>
      <c r="G276" s="2549"/>
      <c r="H276" s="2549"/>
      <c r="I276" s="2550"/>
    </row>
    <row r="277" spans="2:9" ht="16" thickBot="1">
      <c r="B277" s="2548"/>
      <c r="C277" s="2549"/>
      <c r="D277" s="2549"/>
      <c r="E277" s="2549"/>
      <c r="F277" s="2549"/>
      <c r="G277" s="2549"/>
      <c r="H277" s="2549"/>
      <c r="I277" s="2550"/>
    </row>
    <row r="278" spans="2:9" ht="16" thickBot="1">
      <c r="B278" s="2585" t="s">
        <v>510</v>
      </c>
      <c r="C278" s="2586"/>
      <c r="D278" s="2586"/>
      <c r="E278" s="2586"/>
      <c r="F278" s="2586"/>
      <c r="G278" s="2586"/>
      <c r="H278" s="2586"/>
      <c r="I278" s="2587"/>
    </row>
    <row r="279" spans="2:9">
      <c r="B279" s="1722"/>
      <c r="C279" s="1721"/>
      <c r="D279" s="2588" t="s">
        <v>511</v>
      </c>
      <c r="E279" s="2588"/>
      <c r="F279" s="1721"/>
      <c r="G279" s="2588" t="s">
        <v>512</v>
      </c>
      <c r="H279" s="2588"/>
      <c r="I279" s="1723"/>
    </row>
    <row r="280" spans="2:9">
      <c r="B280" s="2593" t="s">
        <v>114</v>
      </c>
      <c r="C280" s="2594"/>
      <c r="D280" s="2589">
        <f>UOP!H19</f>
        <v>0</v>
      </c>
      <c r="E280" s="2590"/>
      <c r="F280" s="128"/>
      <c r="G280" s="2589">
        <f>'UOP (2)'!H19</f>
        <v>0</v>
      </c>
      <c r="H280" s="2590"/>
      <c r="I280" s="1787"/>
    </row>
    <row r="281" spans="2:9">
      <c r="B281" s="2593" t="s">
        <v>513</v>
      </c>
      <c r="C281" s="2594"/>
      <c r="D281" s="2591">
        <f>UOP!H20</f>
        <v>0</v>
      </c>
      <c r="E281" s="2592"/>
      <c r="F281" s="128"/>
      <c r="G281" s="2591">
        <f>'UOP (2)'!H20</f>
        <v>0</v>
      </c>
      <c r="H281" s="2592"/>
      <c r="I281" s="1787"/>
    </row>
    <row r="282" spans="2:9">
      <c r="B282" s="2593" t="s">
        <v>514</v>
      </c>
      <c r="C282" s="2594"/>
      <c r="D282" s="2591">
        <f>UOP!H21</f>
        <v>0</v>
      </c>
      <c r="E282" s="2592"/>
      <c r="F282" s="128"/>
      <c r="G282" s="2591">
        <f>'UOP (2)'!H21</f>
        <v>0</v>
      </c>
      <c r="H282" s="2592"/>
      <c r="I282" s="1787"/>
    </row>
    <row r="283" spans="2:9">
      <c r="B283" s="2593" t="s">
        <v>119</v>
      </c>
      <c r="C283" s="2594"/>
      <c r="D283" s="2591">
        <f>UOP!H22</f>
        <v>0</v>
      </c>
      <c r="E283" s="2592"/>
      <c r="F283" s="128"/>
      <c r="G283" s="2591">
        <f>'UOP (2)'!H22</f>
        <v>0</v>
      </c>
      <c r="H283" s="2592"/>
      <c r="I283" s="1787"/>
    </row>
    <row r="284" spans="2:9">
      <c r="B284" s="2593" t="s">
        <v>515</v>
      </c>
      <c r="C284" s="2594"/>
      <c r="D284" s="2591">
        <f>UOP!H23</f>
        <v>0</v>
      </c>
      <c r="E284" s="2592"/>
      <c r="F284" s="128"/>
      <c r="G284" s="2591">
        <f>'UOP (2)'!H23</f>
        <v>0</v>
      </c>
      <c r="H284" s="2592"/>
      <c r="I284" s="1787"/>
    </row>
    <row r="285" spans="2:9">
      <c r="B285" s="2593" t="s">
        <v>516</v>
      </c>
      <c r="C285" s="2594"/>
      <c r="D285" s="2591">
        <f>UOP!H24</f>
        <v>0</v>
      </c>
      <c r="E285" s="2592"/>
      <c r="F285" s="128"/>
      <c r="G285" s="2591">
        <f>'UOP (2)'!H24</f>
        <v>0</v>
      </c>
      <c r="H285" s="2592"/>
      <c r="I285" s="1787"/>
    </row>
    <row r="286" spans="2:9">
      <c r="B286" s="2593" t="s">
        <v>517</v>
      </c>
      <c r="C286" s="2594"/>
      <c r="D286" s="2591">
        <f>UOP!H25</f>
        <v>0</v>
      </c>
      <c r="E286" s="2592"/>
      <c r="F286" s="128"/>
      <c r="G286" s="2591">
        <f>'UOP (2)'!H25</f>
        <v>0</v>
      </c>
      <c r="H286" s="2592"/>
      <c r="I286" s="1787"/>
    </row>
    <row r="287" spans="2:9">
      <c r="B287" s="2593" t="s">
        <v>116</v>
      </c>
      <c r="C287" s="2594"/>
      <c r="D287" s="2591">
        <f>UOP!H26</f>
        <v>0</v>
      </c>
      <c r="E287" s="2592"/>
      <c r="F287" s="128"/>
      <c r="G287" s="2591">
        <f>'UOP (2)'!H26</f>
        <v>0</v>
      </c>
      <c r="H287" s="2592"/>
      <c r="I287" s="1787"/>
    </row>
    <row r="288" spans="2:9">
      <c r="B288" s="2593" t="s">
        <v>518</v>
      </c>
      <c r="C288" s="2594"/>
      <c r="D288" s="2591">
        <f>UOP!H27</f>
        <v>0</v>
      </c>
      <c r="E288" s="2592"/>
      <c r="F288" s="128"/>
      <c r="G288" s="2591">
        <f>'UOP (2)'!H27</f>
        <v>0</v>
      </c>
      <c r="H288" s="2592"/>
      <c r="I288" s="1787"/>
    </row>
    <row r="289" spans="2:9">
      <c r="B289" s="2593" t="s">
        <v>111</v>
      </c>
      <c r="C289" s="2594"/>
      <c r="D289" s="2591">
        <f>UOP!H28</f>
        <v>0</v>
      </c>
      <c r="E289" s="2592"/>
      <c r="F289" s="128"/>
      <c r="G289" s="2591">
        <f>'UOP (2)'!H28</f>
        <v>0</v>
      </c>
      <c r="H289" s="2592"/>
      <c r="I289" s="1787"/>
    </row>
    <row r="290" spans="2:9">
      <c r="B290" s="2593" t="s">
        <v>519</v>
      </c>
      <c r="C290" s="2594"/>
      <c r="D290" s="2591">
        <f>UOP!H29</f>
        <v>0</v>
      </c>
      <c r="E290" s="2592"/>
      <c r="F290" s="128"/>
      <c r="G290" s="2591">
        <f>'UOP (2)'!H29</f>
        <v>0</v>
      </c>
      <c r="H290" s="2592"/>
      <c r="I290" s="1787"/>
    </row>
    <row r="291" spans="2:9" ht="16" thickBot="1">
      <c r="B291" s="2597" t="s">
        <v>520</v>
      </c>
      <c r="C291" s="2598"/>
      <c r="D291" s="2595">
        <f>UOP!H30</f>
        <v>0</v>
      </c>
      <c r="E291" s="2596"/>
      <c r="F291" s="128"/>
      <c r="G291" s="2595">
        <f>'UOP (2)'!H30</f>
        <v>0</v>
      </c>
      <c r="H291" s="2596"/>
      <c r="I291" s="1787"/>
    </row>
    <row r="292" spans="2:9" ht="16" thickBot="1">
      <c r="B292" s="1724"/>
      <c r="C292" s="1725"/>
      <c r="D292" s="1726"/>
      <c r="E292" s="1727" t="s">
        <v>521</v>
      </c>
      <c r="F292" s="1728" t="str">
        <f>Version!A72</f>
        <v>24-02(33)</v>
      </c>
      <c r="G292" s="1725"/>
      <c r="H292" s="1725"/>
      <c r="I292" s="1729"/>
    </row>
  </sheetData>
  <sheetProtection algorithmName="SHA-512" hashValue="KHhT10bbB352yTV9qC4OE4M1+ZbBddnDceyyyuLxZh5eHpi96D88qm16/vAEA3ZxTjaLkTesyQxwSfKYq/JI/A==" saltValue="BPF9k9BOxdJlZzG2wSWrfQ==" spinCount="100000" sheet="1" scenarios="1" formatCells="0" formatColumns="0" formatRows="0"/>
  <dataConsolidate/>
  <mergeCells count="360">
    <mergeCell ref="G286:H286"/>
    <mergeCell ref="G287:H287"/>
    <mergeCell ref="G288:H288"/>
    <mergeCell ref="G289:H289"/>
    <mergeCell ref="G290:H290"/>
    <mergeCell ref="G291:H291"/>
    <mergeCell ref="B289:C289"/>
    <mergeCell ref="B290:C290"/>
    <mergeCell ref="B291:C291"/>
    <mergeCell ref="D286:E286"/>
    <mergeCell ref="D287:E287"/>
    <mergeCell ref="D288:E288"/>
    <mergeCell ref="D289:E289"/>
    <mergeCell ref="D290:E290"/>
    <mergeCell ref="D291:E291"/>
    <mergeCell ref="B286:C286"/>
    <mergeCell ref="B287:C287"/>
    <mergeCell ref="B288:C288"/>
    <mergeCell ref="B278:I278"/>
    <mergeCell ref="D279:E279"/>
    <mergeCell ref="G279:H279"/>
    <mergeCell ref="D280:E280"/>
    <mergeCell ref="D281:E281"/>
    <mergeCell ref="D282:E282"/>
    <mergeCell ref="D283:E283"/>
    <mergeCell ref="D284:E284"/>
    <mergeCell ref="D285:E285"/>
    <mergeCell ref="G280:H280"/>
    <mergeCell ref="G281:H281"/>
    <mergeCell ref="G282:H282"/>
    <mergeCell ref="G283:H283"/>
    <mergeCell ref="G284:H284"/>
    <mergeCell ref="G285:H285"/>
    <mergeCell ref="B280:C280"/>
    <mergeCell ref="B281:C281"/>
    <mergeCell ref="B282:C282"/>
    <mergeCell ref="B283:C283"/>
    <mergeCell ref="B284:C284"/>
    <mergeCell ref="B285:C285"/>
    <mergeCell ref="F82:F83"/>
    <mergeCell ref="G82:G83"/>
    <mergeCell ref="K4:M4"/>
    <mergeCell ref="B106:H106"/>
    <mergeCell ref="B61:H61"/>
    <mergeCell ref="G266:H266"/>
    <mergeCell ref="H267:I267"/>
    <mergeCell ref="C77:I77"/>
    <mergeCell ref="B78:B80"/>
    <mergeCell ref="D78:I78"/>
    <mergeCell ref="D79:I79"/>
    <mergeCell ref="D80:I80"/>
    <mergeCell ref="C84:I84"/>
    <mergeCell ref="C85:F85"/>
    <mergeCell ref="C86:I86"/>
    <mergeCell ref="C90:D90"/>
    <mergeCell ref="B55:I55"/>
    <mergeCell ref="B56:I57"/>
    <mergeCell ref="B58:H58"/>
    <mergeCell ref="B59:H60"/>
    <mergeCell ref="I59:I60"/>
    <mergeCell ref="C45:D45"/>
    <mergeCell ref="B17:I17"/>
    <mergeCell ref="C27:D27"/>
    <mergeCell ref="B274:C274"/>
    <mergeCell ref="B275:I277"/>
    <mergeCell ref="G19:I19"/>
    <mergeCell ref="G64:I64"/>
    <mergeCell ref="D99:I99"/>
    <mergeCell ref="B100:I100"/>
    <mergeCell ref="B101:I102"/>
    <mergeCell ref="B103:H103"/>
    <mergeCell ref="B104:H105"/>
    <mergeCell ref="I104:I105"/>
    <mergeCell ref="C87:F87"/>
    <mergeCell ref="C88:I88"/>
    <mergeCell ref="C89:F89"/>
    <mergeCell ref="D91:I91"/>
    <mergeCell ref="B92:B98"/>
    <mergeCell ref="C92:G92"/>
    <mergeCell ref="C93:G93"/>
    <mergeCell ref="C94:G94"/>
    <mergeCell ref="C95:G95"/>
    <mergeCell ref="C96:G96"/>
    <mergeCell ref="C97:G97"/>
    <mergeCell ref="C98:G98"/>
    <mergeCell ref="B47:B53"/>
    <mergeCell ref="C47:G47"/>
    <mergeCell ref="D16:E16"/>
    <mergeCell ref="G16:H16"/>
    <mergeCell ref="C18:E18"/>
    <mergeCell ref="G20:I20"/>
    <mergeCell ref="C28:D28"/>
    <mergeCell ref="F28:I28"/>
    <mergeCell ref="C30:E30"/>
    <mergeCell ref="L2:N2"/>
    <mergeCell ref="C3:I3"/>
    <mergeCell ref="C6:D6"/>
    <mergeCell ref="H6:I6"/>
    <mergeCell ref="B2:I2"/>
    <mergeCell ref="C13:I13"/>
    <mergeCell ref="C4:E4"/>
    <mergeCell ref="G4:I4"/>
    <mergeCell ref="C5:E5"/>
    <mergeCell ref="G5:I5"/>
    <mergeCell ref="C10:E10"/>
    <mergeCell ref="C11:I11"/>
    <mergeCell ref="C12:E12"/>
    <mergeCell ref="G12:I12"/>
    <mergeCell ref="G9:I9"/>
    <mergeCell ref="C31:I31"/>
    <mergeCell ref="C32:I32"/>
    <mergeCell ref="B33:B35"/>
    <mergeCell ref="D33:I33"/>
    <mergeCell ref="D34:I34"/>
    <mergeCell ref="F37:F38"/>
    <mergeCell ref="G37:G38"/>
    <mergeCell ref="G23:I23"/>
    <mergeCell ref="D54:I54"/>
    <mergeCell ref="C48:G48"/>
    <mergeCell ref="C49:G49"/>
    <mergeCell ref="C50:G50"/>
    <mergeCell ref="C51:G51"/>
    <mergeCell ref="C52:G52"/>
    <mergeCell ref="C53:G53"/>
    <mergeCell ref="D35:I35"/>
    <mergeCell ref="C41:I41"/>
    <mergeCell ref="C43:I43"/>
    <mergeCell ref="C39:I39"/>
    <mergeCell ref="C40:F40"/>
    <mergeCell ref="C42:F42"/>
    <mergeCell ref="C44:F44"/>
    <mergeCell ref="D46:I46"/>
    <mergeCell ref="G27:H27"/>
    <mergeCell ref="B62:I62"/>
    <mergeCell ref="C76:I76"/>
    <mergeCell ref="C63:E63"/>
    <mergeCell ref="G65:I65"/>
    <mergeCell ref="C72:D72"/>
    <mergeCell ref="G72:H72"/>
    <mergeCell ref="C73:D73"/>
    <mergeCell ref="F73:I73"/>
    <mergeCell ref="C75:E75"/>
    <mergeCell ref="G68:I68"/>
    <mergeCell ref="B224:I224"/>
    <mergeCell ref="C228:I228"/>
    <mergeCell ref="B229:D229"/>
    <mergeCell ref="B108:I108"/>
    <mergeCell ref="D173:E173"/>
    <mergeCell ref="B174:D174"/>
    <mergeCell ref="F174:G174"/>
    <mergeCell ref="H174:I174"/>
    <mergeCell ref="B167:D167"/>
    <mergeCell ref="F167:G167"/>
    <mergeCell ref="H167:I167"/>
    <mergeCell ref="E169:I169"/>
    <mergeCell ref="C170:D170"/>
    <mergeCell ref="H170:I170"/>
    <mergeCell ref="B177:D177"/>
    <mergeCell ref="F177:G177"/>
    <mergeCell ref="H177:I177"/>
    <mergeCell ref="B178:D178"/>
    <mergeCell ref="F178:G178"/>
    <mergeCell ref="H178:I178"/>
    <mergeCell ref="B175:D175"/>
    <mergeCell ref="F175:G175"/>
    <mergeCell ref="H175:I175"/>
    <mergeCell ref="B176:D176"/>
    <mergeCell ref="B230:D230"/>
    <mergeCell ref="C231:I231"/>
    <mergeCell ref="B233:D233"/>
    <mergeCell ref="C234:I234"/>
    <mergeCell ref="B235:D235"/>
    <mergeCell ref="B243:I243"/>
    <mergeCell ref="B252:I252"/>
    <mergeCell ref="B253:D253"/>
    <mergeCell ref="B227:I227"/>
    <mergeCell ref="B232:D232"/>
    <mergeCell ref="B236:D236"/>
    <mergeCell ref="C237:I237"/>
    <mergeCell ref="B238:D238"/>
    <mergeCell ref="B239:I239"/>
    <mergeCell ref="B240:I242"/>
    <mergeCell ref="C244:I244"/>
    <mergeCell ref="C245:I245"/>
    <mergeCell ref="C246:I246"/>
    <mergeCell ref="C247:I247"/>
    <mergeCell ref="C248:I248"/>
    <mergeCell ref="C249:I249"/>
    <mergeCell ref="O108:P108"/>
    <mergeCell ref="C109:D109"/>
    <mergeCell ref="H109:I109"/>
    <mergeCell ref="O109:P109"/>
    <mergeCell ref="C250:I250"/>
    <mergeCell ref="C251:I251"/>
    <mergeCell ref="H254:I254"/>
    <mergeCell ref="B261:C261"/>
    <mergeCell ref="F165:G165"/>
    <mergeCell ref="H165:I165"/>
    <mergeCell ref="B166:D166"/>
    <mergeCell ref="F166:G166"/>
    <mergeCell ref="H166:I166"/>
    <mergeCell ref="D162:E162"/>
    <mergeCell ref="B163:D163"/>
    <mergeCell ref="F163:G163"/>
    <mergeCell ref="H163:I163"/>
    <mergeCell ref="B164:D164"/>
    <mergeCell ref="F164:G164"/>
    <mergeCell ref="H164:I164"/>
    <mergeCell ref="C171:D171"/>
    <mergeCell ref="G171:H171"/>
    <mergeCell ref="C172:E172"/>
    <mergeCell ref="H172:I172"/>
    <mergeCell ref="B262:I264"/>
    <mergeCell ref="C115:D115"/>
    <mergeCell ref="H115:I115"/>
    <mergeCell ref="C116:I116"/>
    <mergeCell ref="C110:I110"/>
    <mergeCell ref="C113:I113"/>
    <mergeCell ref="C125:I125"/>
    <mergeCell ref="C127:D127"/>
    <mergeCell ref="H127:I127"/>
    <mergeCell ref="C128:I128"/>
    <mergeCell ref="C119:I119"/>
    <mergeCell ref="C121:D121"/>
    <mergeCell ref="H121:I121"/>
    <mergeCell ref="C122:I122"/>
    <mergeCell ref="E158:I158"/>
    <mergeCell ref="C159:D159"/>
    <mergeCell ref="H159:I159"/>
    <mergeCell ref="C160:D160"/>
    <mergeCell ref="G160:H160"/>
    <mergeCell ref="C161:E161"/>
    <mergeCell ref="H161:I161"/>
    <mergeCell ref="C131:I131"/>
    <mergeCell ref="B157:I157"/>
    <mergeCell ref="B165:D165"/>
    <mergeCell ref="F176:G176"/>
    <mergeCell ref="H176:I176"/>
    <mergeCell ref="D184:E184"/>
    <mergeCell ref="B185:D185"/>
    <mergeCell ref="F185:G185"/>
    <mergeCell ref="H185:I185"/>
    <mergeCell ref="B186:D186"/>
    <mergeCell ref="F186:G186"/>
    <mergeCell ref="H186:I186"/>
    <mergeCell ref="E180:I180"/>
    <mergeCell ref="C181:D181"/>
    <mergeCell ref="H181:I181"/>
    <mergeCell ref="C182:D182"/>
    <mergeCell ref="G182:H182"/>
    <mergeCell ref="C183:E183"/>
    <mergeCell ref="H183:I183"/>
    <mergeCell ref="B189:D189"/>
    <mergeCell ref="F189:G189"/>
    <mergeCell ref="H189:I189"/>
    <mergeCell ref="E191:I191"/>
    <mergeCell ref="C192:D192"/>
    <mergeCell ref="H192:I192"/>
    <mergeCell ref="B187:D187"/>
    <mergeCell ref="F187:G187"/>
    <mergeCell ref="H187:I187"/>
    <mergeCell ref="B188:D188"/>
    <mergeCell ref="F188:G188"/>
    <mergeCell ref="H188:I188"/>
    <mergeCell ref="B197:D197"/>
    <mergeCell ref="F197:G197"/>
    <mergeCell ref="H197:I197"/>
    <mergeCell ref="B198:D198"/>
    <mergeCell ref="F198:G198"/>
    <mergeCell ref="H198:I198"/>
    <mergeCell ref="C193:D193"/>
    <mergeCell ref="G193:H193"/>
    <mergeCell ref="C194:E194"/>
    <mergeCell ref="H194:I194"/>
    <mergeCell ref="D195:E195"/>
    <mergeCell ref="B196:D196"/>
    <mergeCell ref="F196:G196"/>
    <mergeCell ref="H196:I196"/>
    <mergeCell ref="B210:D210"/>
    <mergeCell ref="F210:G210"/>
    <mergeCell ref="H210:I210"/>
    <mergeCell ref="D206:E206"/>
    <mergeCell ref="B207:D207"/>
    <mergeCell ref="F207:G207"/>
    <mergeCell ref="H207:I207"/>
    <mergeCell ref="B208:D208"/>
    <mergeCell ref="F208:G208"/>
    <mergeCell ref="H208:I208"/>
    <mergeCell ref="H209:I209"/>
    <mergeCell ref="C107:E107"/>
    <mergeCell ref="C120:D120"/>
    <mergeCell ref="C126:D126"/>
    <mergeCell ref="C132:D132"/>
    <mergeCell ref="C138:D138"/>
    <mergeCell ref="C144:D144"/>
    <mergeCell ref="C150:D150"/>
    <mergeCell ref="B221:D221"/>
    <mergeCell ref="F221:G221"/>
    <mergeCell ref="B219:D219"/>
    <mergeCell ref="F219:G219"/>
    <mergeCell ref="B220:D220"/>
    <mergeCell ref="F220:G220"/>
    <mergeCell ref="C215:D215"/>
    <mergeCell ref="G215:H215"/>
    <mergeCell ref="C216:E216"/>
    <mergeCell ref="H216:I216"/>
    <mergeCell ref="D217:E217"/>
    <mergeCell ref="B218:D218"/>
    <mergeCell ref="F218:G218"/>
    <mergeCell ref="H218:I218"/>
    <mergeCell ref="B211:D211"/>
    <mergeCell ref="F211:G211"/>
    <mergeCell ref="H211:I211"/>
    <mergeCell ref="C133:D133"/>
    <mergeCell ref="H133:I133"/>
    <mergeCell ref="C134:I134"/>
    <mergeCell ref="C137:I137"/>
    <mergeCell ref="C139:D139"/>
    <mergeCell ref="H139:I139"/>
    <mergeCell ref="C140:I140"/>
    <mergeCell ref="C143:I143"/>
    <mergeCell ref="C145:D145"/>
    <mergeCell ref="H145:I145"/>
    <mergeCell ref="E202:I202"/>
    <mergeCell ref="C203:D203"/>
    <mergeCell ref="H203:I203"/>
    <mergeCell ref="C204:D204"/>
    <mergeCell ref="G204:H204"/>
    <mergeCell ref="C205:E205"/>
    <mergeCell ref="H205:I205"/>
    <mergeCell ref="B199:D199"/>
    <mergeCell ref="F199:G199"/>
    <mergeCell ref="H199:I199"/>
    <mergeCell ref="B200:D200"/>
    <mergeCell ref="F200:G200"/>
    <mergeCell ref="H200:I200"/>
    <mergeCell ref="B265:D265"/>
    <mergeCell ref="C156:D156"/>
    <mergeCell ref="C179:D179"/>
    <mergeCell ref="C190:D190"/>
    <mergeCell ref="C201:D201"/>
    <mergeCell ref="C212:D212"/>
    <mergeCell ref="C223:D223"/>
    <mergeCell ref="C146:I146"/>
    <mergeCell ref="C149:I149"/>
    <mergeCell ref="C151:D151"/>
    <mergeCell ref="H151:I151"/>
    <mergeCell ref="C152:I152"/>
    <mergeCell ref="C155:I155"/>
    <mergeCell ref="H221:I221"/>
    <mergeCell ref="B222:D222"/>
    <mergeCell ref="F222:G222"/>
    <mergeCell ref="H222:I222"/>
    <mergeCell ref="H219:I219"/>
    <mergeCell ref="H220:I220"/>
    <mergeCell ref="E213:I213"/>
    <mergeCell ref="C214:D214"/>
    <mergeCell ref="H214:I214"/>
    <mergeCell ref="B209:D209"/>
    <mergeCell ref="F209:G209"/>
  </mergeCells>
  <conditionalFormatting sqref="C14">
    <cfRule type="cellIs" dxfId="46" priority="4" operator="notEqual">
      <formula>$C$18</formula>
    </cfRule>
  </conditionalFormatting>
  <conditionalFormatting sqref="E14">
    <cfRule type="cellIs" dxfId="45" priority="1" operator="notEqual">
      <formula>$C$63</formula>
    </cfRule>
  </conditionalFormatting>
  <dataValidations count="1">
    <dataValidation type="textLength" allowBlank="1" showInputMessage="1" showErrorMessage="1" sqref="E8" xr:uid="{7E1C52AC-2CB6-4990-ABBE-F65EF91794DC}">
      <formula1>2</formula1>
      <formula2>2</formula2>
    </dataValidation>
  </dataValidations>
  <hyperlinks>
    <hyperlink ref="K4" r:id="rId1" xr:uid="{28F2CB46-C895-4EBC-AC8E-4090AB7EF5BE}"/>
  </hyperlinks>
  <printOptions horizontalCentered="1"/>
  <pageMargins left="0.25" right="0.25" top="0.75" bottom="0.75" header="0.3" footer="0.3"/>
  <pageSetup scale="74" fitToHeight="0" orientation="portrait" r:id="rId2"/>
  <headerFooter differentFirst="1">
    <firstHeader>&amp;L&amp;G NA&amp;C&amp;8
&amp;18Loan Memo</firstHeader>
  </headerFooter>
  <rowBreaks count="4" manualBreakCount="4">
    <brk id="61" min="1" max="8" man="1"/>
    <brk id="107" min="1" max="8" man="1"/>
    <brk id="223" min="1" max="8" man="1"/>
    <brk id="277" min="1" max="8" man="1"/>
  </rowBreaks>
  <drawing r:id="rId3"/>
  <legacyDrawing r:id="rId4"/>
  <legacyDrawingHF r:id="rId5"/>
  <extLst>
    <ext xmlns:x14="http://schemas.microsoft.com/office/spreadsheetml/2009/9/main" uri="{CCE6A557-97BC-4b89-ADB6-D9C93CAAB3DF}">
      <x14:dataValidations xmlns:xm="http://schemas.microsoft.com/office/excel/2006/main" count="19">
        <x14:dataValidation type="list" allowBlank="1" showInputMessage="1" showErrorMessage="1" xr:uid="{3D09FC70-059D-4869-BCA3-4C442DAA016E}">
          <x14:formula1>
            <xm:f>Lists!$D$61:$D$64</xm:f>
          </x14:formula1>
          <xm:sqref>G161 G172 G183 G194 G205 G216</xm:sqref>
        </x14:dataValidation>
        <x14:dataValidation type="list" allowBlank="1" showInputMessage="1" showErrorMessage="1" xr:uid="{1A57A611-D334-42D4-9E12-819709B1174C}">
          <x14:formula1>
            <xm:f>Lists!$C$46:$C$50</xm:f>
          </x14:formula1>
          <xm:sqref>G112 I217 G206 C112 C118 G118 C124 G124 H175:I178 C130 G162 H197:I200 G154 G217 G184 I173 I162 I184 G173 I195 G195 G130 H164:I167 H186:I189 I206 H208:I211 C136 G136 C142 G142 C148 G148 C154 H219:I222</xm:sqref>
        </x14:dataValidation>
        <x14:dataValidation type="list" allowBlank="1" showInputMessage="1" showErrorMessage="1" xr:uid="{EBCDF381-5FDA-4FA4-A0E2-4CA561D65180}">
          <x14:formula1>
            <xm:f>Lists!$D$52:$D$58</xm:f>
          </x14:formula1>
          <xm:sqref>E112 E130 E124 E118 I118 I112 I124 I130 E136 I136 E142 I142 E148 I148 E154 I154</xm:sqref>
        </x14:dataValidation>
        <x14:dataValidation type="list" allowBlank="1" showInputMessage="1" showErrorMessage="1" xr:uid="{B6818DE8-FDC5-45A7-8ADA-3CC3C75F00B0}">
          <x14:formula1>
            <xm:f>Lists!$A$16:$A$26</xm:f>
          </x14:formula1>
          <xm:sqref>C214 C192 C181 C170 C203 C159</xm:sqref>
        </x14:dataValidation>
        <x14:dataValidation type="list" allowBlank="1" showInputMessage="1" showErrorMessage="1" xr:uid="{CD1357E3-582A-4E83-ACBA-E468EDC38376}">
          <x14:formula1>
            <xm:f>Lists!$E$53:$E$55</xm:f>
          </x14:formula1>
          <xm:sqref>C65 C20 C23 C68</xm:sqref>
        </x14:dataValidation>
        <x14:dataValidation type="list" allowBlank="1" showInputMessage="1" showErrorMessage="1" xr:uid="{A1D6F7D8-266A-431C-9847-846B3C9F34C3}">
          <x14:formula1>
            <xm:f>Lists!$C$8:$C$10</xm:f>
          </x14:formula1>
          <xm:sqref>G26 G71</xm:sqref>
        </x14:dataValidation>
        <x14:dataValidation type="list" allowBlank="1" showInputMessage="1" showErrorMessage="1" xr:uid="{4781801D-12E2-4430-A8B8-9AB47FA8D1D5}">
          <x14:formula1>
            <xm:f>Lists!$A$39:$A$42</xm:f>
          </x14:formula1>
          <xm:sqref>B191 B202 B158 B169 B180 B213</xm:sqref>
        </x14:dataValidation>
        <x14:dataValidation type="list" allowBlank="1" showInputMessage="1" showErrorMessage="1" xr:uid="{493E161A-1719-454D-85D1-DF51EAB8851C}">
          <x14:formula1>
            <xm:f>Lists!$C$2:$C$5</xm:f>
          </x14:formula1>
          <xm:sqref>I103:I104 H92:H98 C91 C99 I58:I59 I61 H47:H53 C46 C54 I106</xm:sqref>
        </x14:dataValidation>
        <x14:dataValidation type="list" allowBlank="1" showInputMessage="1" showErrorMessage="1" xr:uid="{873BA031-52B8-49CC-844D-8BC5163B45A9}">
          <x14:formula1>
            <xm:f>Lists!$C$2:$C$4</xm:f>
          </x14:formula1>
          <xm:sqref>I71 I26 E7 I63 G18 E29 E74 I18 G37 G63 C266 F266 I266 G82</xm:sqref>
        </x14:dataValidation>
        <x14:dataValidation type="list" allowBlank="1" showInputMessage="1" showErrorMessage="1" xr:uid="{B937B9EE-B231-49A7-9B32-FE0044E79F78}">
          <x14:formula1>
            <xm:f>Lists!$A$71:$A$75</xm:f>
          </x14:formula1>
          <xm:sqref>C9</xm:sqref>
        </x14:dataValidation>
        <x14:dataValidation type="list" allowBlank="1" showInputMessage="1" showErrorMessage="1" xr:uid="{D57246B6-D5C5-4C5A-B836-EBC99952F985}">
          <x14:formula1>
            <xm:f>Lists!$A$30:$A$34</xm:f>
          </x14:formula1>
          <xm:sqref>E20 E65 E23 E68</xm:sqref>
        </x14:dataValidation>
        <x14:dataValidation type="list" allowBlank="1" showInputMessage="1" showErrorMessage="1" xr:uid="{F5800257-F450-47C2-AD93-4771459FABD9}">
          <x14:formula1>
            <xm:f>Lists!$B$61:$B$64</xm:f>
          </x14:formula1>
          <xm:sqref>C28:D28 C73:D73</xm:sqref>
        </x14:dataValidation>
        <x14:dataValidation type="list" allowBlank="1" showInputMessage="1" showErrorMessage="1" xr:uid="{E75B4FEE-1E3A-44DE-A5F4-03B9E3209973}">
          <x14:formula1>
            <xm:f>Lists!$A$61:$A$68</xm:f>
          </x14:formula1>
          <xm:sqref>G19:I19 G64:I64</xm:sqref>
        </x14:dataValidation>
        <x14:dataValidation type="list" allowBlank="1" showInputMessage="1" showErrorMessage="1" xr:uid="{ABD353A9-85C9-4D69-B0B3-CF87A57263C7}">
          <x14:formula1>
            <xm:f>Lists!$D$71:$D$77</xm:f>
          </x14:formula1>
          <xm:sqref>F6</xm:sqref>
        </x14:dataValidation>
        <x14:dataValidation type="list" allowBlank="1" showInputMessage="1" showErrorMessage="1" xr:uid="{D7174AC4-A9C3-4294-836E-E5247535E0FD}">
          <x14:formula1>
            <xm:f>Lists!$E$71:$E$76</xm:f>
          </x14:formula1>
          <xm:sqref>C7</xm:sqref>
        </x14:dataValidation>
        <x14:dataValidation type="list" allowBlank="1" showInputMessage="1" showErrorMessage="1" xr:uid="{98A390FC-B9D8-47F0-B487-7EF458F33D96}">
          <x14:formula1>
            <xm:f>Lists!$C$16:$C$26</xm:f>
          </x14:formula1>
          <xm:sqref>G7</xm:sqref>
        </x14:dataValidation>
        <x14:dataValidation type="list" allowBlank="1" showInputMessage="1" showErrorMessage="1" xr:uid="{573802C4-0D7D-4153-88E4-14C3EAAD8C6E}">
          <x14:formula1>
            <xm:f>Lists!$F$29:$F$31</xm:f>
          </x14:formula1>
          <xm:sqref>E19 E64</xm:sqref>
        </x14:dataValidation>
        <x14:dataValidation type="list" allowBlank="1" showInputMessage="1" showErrorMessage="1" xr:uid="{6501B17A-FC28-4EF2-AF60-383BEAD2AD4A}">
          <x14:formula1>
            <xm:f>Lists!$F$2:$F$18</xm:f>
          </x14:formula1>
          <xm:sqref>H6:I6</xm:sqref>
        </x14:dataValidation>
        <x14:dataValidation type="list" allowBlank="1" showInputMessage="1" showErrorMessage="1" xr:uid="{0AE40DDF-FDD9-4E2E-8153-751A14CB10D3}">
          <x14:formula1>
            <xm:f>Lists!$F$75:$F$84</xm:f>
          </x14:formula1>
          <xm:sqref>C10:E10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B1:S137"/>
  <sheetViews>
    <sheetView showGridLines="0" topLeftCell="A76" zoomScale="85" zoomScaleNormal="85" workbookViewId="0">
      <selection activeCell="N89" sqref="N89"/>
    </sheetView>
  </sheetViews>
  <sheetFormatPr baseColWidth="10" defaultColWidth="8.83203125" defaultRowHeight="15"/>
  <cols>
    <col min="1" max="1" width="5.6640625" customWidth="1"/>
    <col min="2" max="2" width="35" customWidth="1"/>
    <col min="3" max="3" width="12.6640625" customWidth="1"/>
    <col min="4" max="4" width="18.5" bestFit="1" customWidth="1"/>
    <col min="5" max="5" width="12.5" bestFit="1" customWidth="1"/>
    <col min="6" max="6" width="14" customWidth="1"/>
    <col min="7" max="7" width="13.33203125" customWidth="1"/>
    <col min="8" max="8" width="14" customWidth="1"/>
    <col min="9" max="9" width="14.33203125" customWidth="1"/>
    <col min="10" max="10" width="11.33203125" customWidth="1"/>
    <col min="11" max="11" width="21.33203125" customWidth="1"/>
    <col min="13" max="13" width="9.6640625" customWidth="1"/>
    <col min="14" max="14" width="15.1640625" customWidth="1"/>
    <col min="16" max="16" width="13.33203125" customWidth="1"/>
  </cols>
  <sheetData>
    <row r="1" spans="2:19">
      <c r="B1" s="2694" t="s">
        <v>522</v>
      </c>
      <c r="C1" s="2695"/>
      <c r="D1" s="2696"/>
      <c r="E1" s="2696"/>
      <c r="F1" s="2696"/>
      <c r="G1" s="2696"/>
      <c r="H1" s="2696"/>
      <c r="I1" s="2696"/>
      <c r="J1" s="2696"/>
      <c r="K1" s="2697"/>
      <c r="N1" s="1741"/>
      <c r="O1" s="1741"/>
      <c r="P1" s="1741"/>
    </row>
    <row r="2" spans="2:19" ht="32">
      <c r="B2" s="2672"/>
      <c r="C2" s="2673"/>
      <c r="D2" s="210" t="s">
        <v>105</v>
      </c>
      <c r="E2" s="211" t="s">
        <v>106</v>
      </c>
      <c r="F2" s="210" t="s">
        <v>127</v>
      </c>
      <c r="G2" s="210" t="s">
        <v>128</v>
      </c>
      <c r="H2" s="211" t="s">
        <v>104</v>
      </c>
      <c r="I2" s="211" t="s">
        <v>129</v>
      </c>
      <c r="J2" s="211" t="s">
        <v>130</v>
      </c>
      <c r="K2" s="212" t="s">
        <v>131</v>
      </c>
      <c r="N2" s="1"/>
      <c r="O2" s="1"/>
      <c r="P2" s="1"/>
    </row>
    <row r="3" spans="2:19" ht="16" thickBot="1">
      <c r="B3" s="225" t="s">
        <v>133</v>
      </c>
      <c r="C3" s="371"/>
      <c r="D3" s="371"/>
      <c r="E3" s="371"/>
      <c r="F3" s="371"/>
      <c r="G3" s="371"/>
      <c r="H3" s="230"/>
      <c r="I3" s="371"/>
      <c r="J3" s="371"/>
      <c r="K3" s="372"/>
      <c r="M3" s="79"/>
      <c r="N3" s="1"/>
      <c r="O3" s="1"/>
      <c r="P3" s="1"/>
    </row>
    <row r="4" spans="2:19">
      <c r="B4" s="2593" t="s">
        <v>135</v>
      </c>
      <c r="C4" s="2594"/>
      <c r="D4" s="503">
        <f>H4-SUM(E4:G4)</f>
        <v>0</v>
      </c>
      <c r="E4" s="485">
        <v>0</v>
      </c>
      <c r="F4" s="485"/>
      <c r="G4" s="500"/>
      <c r="H4" s="341">
        <v>0</v>
      </c>
      <c r="I4" s="340">
        <v>25</v>
      </c>
      <c r="J4" s="504">
        <f t="shared" ref="J4:J14" si="0">IF($D$59=0,0,D4/$D$59)</f>
        <v>0</v>
      </c>
      <c r="K4" s="505">
        <f>I4*J4</f>
        <v>0</v>
      </c>
      <c r="N4" s="1"/>
      <c r="O4" s="1"/>
      <c r="P4" s="1"/>
    </row>
    <row r="5" spans="2:19">
      <c r="B5" s="2593" t="s">
        <v>137</v>
      </c>
      <c r="C5" s="2594"/>
      <c r="D5" s="503">
        <f t="shared" ref="D5:D13" si="1">H5-SUM(E5:G5)</f>
        <v>0</v>
      </c>
      <c r="E5" s="485"/>
      <c r="F5" s="485"/>
      <c r="G5" s="500"/>
      <c r="H5" s="342"/>
      <c r="I5" s="340">
        <v>25</v>
      </c>
      <c r="J5" s="504">
        <f t="shared" si="0"/>
        <v>0</v>
      </c>
      <c r="K5" s="505">
        <f>I5*J5</f>
        <v>0</v>
      </c>
      <c r="N5" s="1"/>
      <c r="O5" s="1"/>
      <c r="P5" s="1"/>
      <c r="R5" s="26"/>
      <c r="S5" s="26"/>
    </row>
    <row r="6" spans="2:19">
      <c r="B6" s="2593" t="s">
        <v>139</v>
      </c>
      <c r="C6" s="2594"/>
      <c r="D6" s="503">
        <f t="shared" si="1"/>
        <v>0</v>
      </c>
      <c r="E6" s="485"/>
      <c r="F6" s="485"/>
      <c r="G6" s="500"/>
      <c r="H6" s="342"/>
      <c r="I6" s="340">
        <v>10</v>
      </c>
      <c r="J6" s="504">
        <f t="shared" si="0"/>
        <v>0</v>
      </c>
      <c r="K6" s="505">
        <f>I6*J6</f>
        <v>0</v>
      </c>
      <c r="N6" s="2679" t="s">
        <v>108</v>
      </c>
      <c r="O6" s="2680"/>
      <c r="P6" s="2678"/>
      <c r="Q6" s="2678"/>
      <c r="R6" s="26"/>
      <c r="S6" s="26"/>
    </row>
    <row r="7" spans="2:19">
      <c r="B7" s="2593" t="s">
        <v>143</v>
      </c>
      <c r="C7" s="2594"/>
      <c r="D7" s="503">
        <f t="shared" si="1"/>
        <v>0</v>
      </c>
      <c r="E7" s="485"/>
      <c r="F7" s="485"/>
      <c r="G7" s="500"/>
      <c r="H7" s="342"/>
      <c r="I7" s="340">
        <v>10</v>
      </c>
      <c r="J7" s="504">
        <f t="shared" si="0"/>
        <v>0</v>
      </c>
      <c r="K7" s="505">
        <f>I7*J7</f>
        <v>0</v>
      </c>
      <c r="N7" s="2625" t="s">
        <v>144</v>
      </c>
      <c r="O7" s="2626"/>
      <c r="P7" s="2665">
        <f>IF(P6=504,D66,D59)</f>
        <v>0</v>
      </c>
      <c r="Q7" s="2665"/>
      <c r="R7" s="26"/>
      <c r="S7" s="26"/>
    </row>
    <row r="8" spans="2:19">
      <c r="B8" s="2593" t="s">
        <v>145</v>
      </c>
      <c r="C8" s="2594"/>
      <c r="D8" s="503">
        <f t="shared" si="1"/>
        <v>0</v>
      </c>
      <c r="E8" s="485"/>
      <c r="F8" s="485"/>
      <c r="G8" s="500"/>
      <c r="H8" s="342"/>
      <c r="I8" s="340">
        <v>10</v>
      </c>
      <c r="J8" s="504">
        <f t="shared" si="0"/>
        <v>0</v>
      </c>
      <c r="K8" s="505">
        <f t="shared" ref="K8:K23" si="2">I8*J8</f>
        <v>0</v>
      </c>
      <c r="N8" s="2625" t="s">
        <v>523</v>
      </c>
      <c r="O8" s="2626"/>
      <c r="P8" s="2666"/>
      <c r="Q8" s="2666"/>
      <c r="R8" s="26"/>
      <c r="S8" s="26"/>
    </row>
    <row r="9" spans="2:19">
      <c r="B9" s="2593" t="s">
        <v>147</v>
      </c>
      <c r="C9" s="2594"/>
      <c r="D9" s="503">
        <f t="shared" si="1"/>
        <v>0</v>
      </c>
      <c r="E9" s="485"/>
      <c r="F9" s="485"/>
      <c r="G9" s="500"/>
      <c r="H9" s="342"/>
      <c r="I9" s="340">
        <v>10</v>
      </c>
      <c r="J9" s="504">
        <f t="shared" si="0"/>
        <v>0</v>
      </c>
      <c r="K9" s="505">
        <f>I9*J9</f>
        <v>0</v>
      </c>
      <c r="N9" s="2625" t="s">
        <v>524</v>
      </c>
      <c r="O9" s="2626"/>
      <c r="P9" s="2693"/>
      <c r="Q9" s="2693"/>
      <c r="R9" s="26"/>
      <c r="S9" s="26"/>
    </row>
    <row r="10" spans="2:19">
      <c r="B10" s="2593" t="s">
        <v>149</v>
      </c>
      <c r="C10" s="2594"/>
      <c r="D10" s="503">
        <f t="shared" si="1"/>
        <v>0</v>
      </c>
      <c r="E10" s="485"/>
      <c r="F10" s="485"/>
      <c r="G10" s="500"/>
      <c r="H10" s="342"/>
      <c r="I10" s="340">
        <v>10</v>
      </c>
      <c r="J10" s="504">
        <f t="shared" si="0"/>
        <v>0</v>
      </c>
      <c r="K10" s="505">
        <f t="shared" si="2"/>
        <v>0</v>
      </c>
      <c r="N10" s="2625" t="s">
        <v>112</v>
      </c>
      <c r="O10" s="2626"/>
      <c r="P10" s="2667"/>
      <c r="Q10" s="2667"/>
      <c r="R10" s="26"/>
      <c r="S10" s="26"/>
    </row>
    <row r="11" spans="2:19">
      <c r="B11" s="2593" t="s">
        <v>151</v>
      </c>
      <c r="C11" s="2594"/>
      <c r="D11" s="503">
        <f t="shared" si="1"/>
        <v>0</v>
      </c>
      <c r="E11" s="485"/>
      <c r="F11" s="485"/>
      <c r="G11" s="500"/>
      <c r="H11" s="342">
        <v>0</v>
      </c>
      <c r="I11" s="340">
        <v>10</v>
      </c>
      <c r="J11" s="504">
        <f t="shared" si="0"/>
        <v>0</v>
      </c>
      <c r="K11" s="505">
        <f t="shared" ref="K11" si="3">I11*J11</f>
        <v>0</v>
      </c>
      <c r="N11" s="2625" t="s">
        <v>113</v>
      </c>
      <c r="O11" s="2626"/>
      <c r="P11" s="2667"/>
      <c r="Q11" s="2667"/>
      <c r="R11" s="26"/>
      <c r="S11" s="26"/>
    </row>
    <row r="12" spans="2:19">
      <c r="B12" s="2593" t="s">
        <v>153</v>
      </c>
      <c r="C12" s="2594"/>
      <c r="D12" s="503">
        <f t="shared" si="1"/>
        <v>0</v>
      </c>
      <c r="E12" s="485"/>
      <c r="F12" s="485"/>
      <c r="G12" s="500"/>
      <c r="H12" s="342"/>
      <c r="I12" s="340">
        <v>10</v>
      </c>
      <c r="J12" s="504">
        <f t="shared" si="0"/>
        <v>0</v>
      </c>
      <c r="K12" s="505">
        <f t="shared" si="2"/>
        <v>0</v>
      </c>
      <c r="N12" s="2625" t="s">
        <v>115</v>
      </c>
      <c r="O12" s="2626"/>
      <c r="P12" s="2668">
        <f>P10+P11</f>
        <v>0</v>
      </c>
      <c r="Q12" s="2668"/>
      <c r="R12" s="26"/>
      <c r="S12" s="26"/>
    </row>
    <row r="13" spans="2:19" ht="16" thickBot="1">
      <c r="B13" s="2593" t="s">
        <v>154</v>
      </c>
      <c r="C13" s="2594"/>
      <c r="D13" s="503">
        <f t="shared" si="1"/>
        <v>0</v>
      </c>
      <c r="E13" s="485"/>
      <c r="F13" s="485"/>
      <c r="G13" s="500"/>
      <c r="H13" s="343"/>
      <c r="I13" s="340">
        <v>10</v>
      </c>
      <c r="J13" s="504">
        <f t="shared" si="0"/>
        <v>0</v>
      </c>
      <c r="K13" s="505">
        <f t="shared" ref="K13" si="4">I13*J13</f>
        <v>0</v>
      </c>
      <c r="N13" s="2625" t="s">
        <v>373</v>
      </c>
      <c r="O13" s="2626"/>
      <c r="P13" s="2692"/>
      <c r="Q13" s="2692"/>
      <c r="R13" s="26"/>
      <c r="S13" s="26"/>
    </row>
    <row r="14" spans="2:19">
      <c r="B14" s="2669" t="s">
        <v>525</v>
      </c>
      <c r="C14" s="2670"/>
      <c r="D14" s="503">
        <f>SUM(D4:D13)</f>
        <v>0</v>
      </c>
      <c r="E14" s="503">
        <f>SUM(E4:E13)</f>
        <v>0</v>
      </c>
      <c r="F14" s="503">
        <f>SUM(F4:F12)</f>
        <v>0</v>
      </c>
      <c r="G14" s="503">
        <f>SUM(G4:G13)</f>
        <v>0</v>
      </c>
      <c r="H14" s="521">
        <f>SUM(H4:H13)</f>
        <v>0</v>
      </c>
      <c r="I14" s="143"/>
      <c r="J14" s="504">
        <f t="shared" si="0"/>
        <v>0</v>
      </c>
      <c r="K14" s="505"/>
      <c r="N14" s="2625" t="s">
        <v>374</v>
      </c>
      <c r="O14" s="2626"/>
      <c r="P14" s="2692"/>
      <c r="Q14" s="2692"/>
      <c r="R14" s="26"/>
      <c r="S14" s="26"/>
    </row>
    <row r="15" spans="2:19">
      <c r="B15" s="2682"/>
      <c r="C15" s="2683"/>
      <c r="D15" s="2683"/>
      <c r="E15" s="2683"/>
      <c r="F15" s="2683"/>
      <c r="G15" s="2683"/>
      <c r="H15" s="2683"/>
      <c r="I15" s="2683"/>
      <c r="J15" s="2683"/>
      <c r="K15" s="2684"/>
      <c r="N15" s="2625" t="s">
        <v>387</v>
      </c>
      <c r="O15" s="2626"/>
      <c r="P15" s="2692"/>
      <c r="Q15" s="2692"/>
    </row>
    <row r="16" spans="2:19" ht="16" thickBot="1">
      <c r="B16" s="2685" t="s">
        <v>102</v>
      </c>
      <c r="C16" s="2686"/>
      <c r="D16" s="2687"/>
      <c r="E16" s="2686"/>
      <c r="F16" s="2686"/>
      <c r="G16" s="2686"/>
      <c r="H16" s="2686"/>
      <c r="I16" s="2686"/>
      <c r="J16" s="2686"/>
      <c r="K16" s="2688"/>
      <c r="N16" s="2625" t="s">
        <v>526</v>
      </c>
      <c r="O16" s="2626"/>
      <c r="P16" s="2681"/>
      <c r="Q16" s="2681"/>
    </row>
    <row r="17" spans="2:17" ht="16" thickBot="1">
      <c r="B17" s="2593" t="s">
        <v>527</v>
      </c>
      <c r="C17" s="2689"/>
      <c r="D17" s="369">
        <v>0</v>
      </c>
      <c r="E17" s="520">
        <f>H17-D17</f>
        <v>0</v>
      </c>
      <c r="F17" s="2690"/>
      <c r="G17" s="2691"/>
      <c r="H17" s="522">
        <f>SUM(E98:E99)</f>
        <v>0</v>
      </c>
      <c r="I17" s="27">
        <v>10</v>
      </c>
      <c r="J17" s="504">
        <f t="shared" ref="J17:J30" si="5">IF($D$59=0,0,D17/$D$59)</f>
        <v>0</v>
      </c>
      <c r="K17" s="505">
        <f t="shared" si="2"/>
        <v>0</v>
      </c>
      <c r="N17" s="2625" t="s">
        <v>117</v>
      </c>
      <c r="O17" s="2626"/>
      <c r="P17" s="2634"/>
      <c r="Q17" s="2634"/>
    </row>
    <row r="18" spans="2:17">
      <c r="B18" s="2593" t="s">
        <v>124</v>
      </c>
      <c r="C18" s="2594"/>
      <c r="D18" s="521">
        <f t="shared" ref="D18:D32" si="6">H18-SUM(E18:G18)</f>
        <v>0</v>
      </c>
      <c r="E18" s="45"/>
      <c r="F18" s="45"/>
      <c r="G18" s="339"/>
      <c r="H18" s="341"/>
      <c r="I18" s="340">
        <v>10</v>
      </c>
      <c r="J18" s="504">
        <f t="shared" si="5"/>
        <v>0</v>
      </c>
      <c r="K18" s="505">
        <f t="shared" si="2"/>
        <v>0</v>
      </c>
      <c r="M18" s="760"/>
      <c r="N18" s="2625" t="s">
        <v>120</v>
      </c>
      <c r="O18" s="2626"/>
      <c r="P18" s="2635"/>
      <c r="Q18" s="2635"/>
    </row>
    <row r="19" spans="2:17">
      <c r="B19" s="2593" t="s">
        <v>114</v>
      </c>
      <c r="C19" s="2594"/>
      <c r="D19" s="521">
        <f t="shared" si="6"/>
        <v>0</v>
      </c>
      <c r="E19" s="45"/>
      <c r="F19" s="45"/>
      <c r="G19" s="339"/>
      <c r="H19" s="664">
        <v>0</v>
      </c>
      <c r="I19" s="340">
        <v>10</v>
      </c>
      <c r="J19" s="504">
        <f t="shared" si="5"/>
        <v>0</v>
      </c>
      <c r="K19" s="505">
        <f t="shared" ref="K19" si="7">I19*J19</f>
        <v>0</v>
      </c>
      <c r="N19" s="2625" t="s">
        <v>121</v>
      </c>
      <c r="O19" s="2626"/>
      <c r="P19" s="2635"/>
      <c r="Q19" s="2635"/>
    </row>
    <row r="20" spans="2:17">
      <c r="B20" s="2593" t="s">
        <v>513</v>
      </c>
      <c r="C20" s="2594"/>
      <c r="D20" s="503">
        <f t="shared" si="6"/>
        <v>0</v>
      </c>
      <c r="E20" s="45">
        <v>0</v>
      </c>
      <c r="F20" s="45">
        <v>0</v>
      </c>
      <c r="G20" s="339"/>
      <c r="H20" s="342">
        <v>0</v>
      </c>
      <c r="I20" s="340">
        <v>10</v>
      </c>
      <c r="J20" s="504">
        <f t="shared" si="5"/>
        <v>0</v>
      </c>
      <c r="K20" s="505">
        <f t="shared" ref="K20" si="8">I20*J20</f>
        <v>0</v>
      </c>
      <c r="L20" s="25"/>
      <c r="N20" s="2625" t="s">
        <v>122</v>
      </c>
      <c r="O20" s="2626"/>
      <c r="P20" s="2629">
        <f>'Wksht Print Separately'!I25</f>
        <v>0</v>
      </c>
      <c r="Q20" s="2629"/>
    </row>
    <row r="21" spans="2:17">
      <c r="B21" s="2593" t="s">
        <v>514</v>
      </c>
      <c r="C21" s="2594"/>
      <c r="D21" s="503">
        <f t="shared" si="6"/>
        <v>0</v>
      </c>
      <c r="E21" s="45"/>
      <c r="F21" s="45"/>
      <c r="G21" s="339"/>
      <c r="H21" s="342"/>
      <c r="I21" s="340">
        <v>10</v>
      </c>
      <c r="J21" s="504">
        <f t="shared" si="5"/>
        <v>0</v>
      </c>
      <c r="K21" s="505">
        <f t="shared" si="2"/>
        <v>0</v>
      </c>
      <c r="N21" s="2625" t="s">
        <v>528</v>
      </c>
      <c r="O21" s="2626"/>
      <c r="P21" s="2630"/>
      <c r="Q21" s="2630"/>
    </row>
    <row r="22" spans="2:17">
      <c r="B22" s="2593" t="s">
        <v>119</v>
      </c>
      <c r="C22" s="2594"/>
      <c r="D22" s="503">
        <f t="shared" si="6"/>
        <v>0</v>
      </c>
      <c r="E22" s="45"/>
      <c r="F22" s="45"/>
      <c r="G22" s="339"/>
      <c r="H22" s="342"/>
      <c r="I22" s="340">
        <v>10</v>
      </c>
      <c r="J22" s="504">
        <f t="shared" si="5"/>
        <v>0</v>
      </c>
      <c r="K22" s="505">
        <f t="shared" si="2"/>
        <v>0</v>
      </c>
      <c r="N22" s="2625" t="s">
        <v>529</v>
      </c>
      <c r="O22" s="2631"/>
      <c r="P22" s="2632">
        <v>0.75</v>
      </c>
      <c r="Q22" s="2633"/>
    </row>
    <row r="23" spans="2:17">
      <c r="B23" s="2593" t="s">
        <v>515</v>
      </c>
      <c r="C23" s="2594"/>
      <c r="D23" s="503">
        <f t="shared" si="6"/>
        <v>0</v>
      </c>
      <c r="E23" s="45">
        <v>0</v>
      </c>
      <c r="F23" s="45">
        <v>0</v>
      </c>
      <c r="G23" s="339"/>
      <c r="H23" s="342">
        <v>0</v>
      </c>
      <c r="I23" s="340">
        <v>10</v>
      </c>
      <c r="J23" s="504">
        <f t="shared" si="5"/>
        <v>0</v>
      </c>
      <c r="K23" s="505">
        <f t="shared" si="2"/>
        <v>0</v>
      </c>
      <c r="N23" s="2627" t="s">
        <v>530</v>
      </c>
      <c r="O23" s="2628"/>
      <c r="P23" s="2629">
        <f>D59*(1-G116)</f>
        <v>0</v>
      </c>
      <c r="Q23" s="2629"/>
    </row>
    <row r="24" spans="2:17">
      <c r="B24" s="2593" t="s">
        <v>516</v>
      </c>
      <c r="C24" s="2594"/>
      <c r="D24" s="503">
        <f t="shared" si="6"/>
        <v>0</v>
      </c>
      <c r="E24" s="45"/>
      <c r="F24" s="45"/>
      <c r="G24" s="339"/>
      <c r="H24" s="342"/>
      <c r="I24" s="340">
        <v>10</v>
      </c>
      <c r="J24" s="504">
        <f t="shared" si="5"/>
        <v>0</v>
      </c>
      <c r="K24" s="505">
        <f t="shared" ref="K24:K25" si="9">I24*J24</f>
        <v>0</v>
      </c>
    </row>
    <row r="25" spans="2:17">
      <c r="B25" s="2593" t="s">
        <v>517</v>
      </c>
      <c r="C25" s="2594"/>
      <c r="D25" s="503">
        <f t="shared" si="6"/>
        <v>0</v>
      </c>
      <c r="E25" s="45"/>
      <c r="F25" s="45"/>
      <c r="G25" s="339"/>
      <c r="H25" s="342"/>
      <c r="I25" s="340">
        <v>10</v>
      </c>
      <c r="J25" s="504">
        <f t="shared" si="5"/>
        <v>0</v>
      </c>
      <c r="K25" s="505">
        <f t="shared" si="9"/>
        <v>0</v>
      </c>
      <c r="N25" s="217"/>
      <c r="O25" s="217"/>
      <c r="P25" s="217"/>
    </row>
    <row r="26" spans="2:17">
      <c r="B26" s="2593" t="s">
        <v>116</v>
      </c>
      <c r="C26" s="2594"/>
      <c r="D26" s="503">
        <f t="shared" si="6"/>
        <v>0</v>
      </c>
      <c r="E26" s="45"/>
      <c r="F26" s="45"/>
      <c r="G26" s="339"/>
      <c r="H26" s="342"/>
      <c r="I26" s="340">
        <v>10</v>
      </c>
      <c r="J26" s="504">
        <f t="shared" si="5"/>
        <v>0</v>
      </c>
      <c r="K26" s="505">
        <f t="shared" ref="K26:K33" si="10">I26*J26</f>
        <v>0</v>
      </c>
      <c r="N26" s="2671"/>
      <c r="O26" s="2671"/>
      <c r="Q26" s="24"/>
    </row>
    <row r="27" spans="2:17">
      <c r="B27" s="2593" t="s">
        <v>518</v>
      </c>
      <c r="C27" s="2594"/>
      <c r="D27" s="503">
        <f t="shared" si="6"/>
        <v>0</v>
      </c>
      <c r="E27" s="45"/>
      <c r="F27" s="45"/>
      <c r="G27" s="339"/>
      <c r="H27" s="342"/>
      <c r="I27" s="340">
        <v>10</v>
      </c>
      <c r="J27" s="504">
        <f t="shared" si="5"/>
        <v>0</v>
      </c>
      <c r="K27" s="505">
        <f t="shared" si="10"/>
        <v>0</v>
      </c>
      <c r="N27" s="126"/>
      <c r="O27" s="126"/>
      <c r="Q27" s="24"/>
    </row>
    <row r="28" spans="2:17">
      <c r="B28" s="2593" t="s">
        <v>111</v>
      </c>
      <c r="C28" s="2594"/>
      <c r="D28" s="503">
        <f t="shared" si="6"/>
        <v>0</v>
      </c>
      <c r="E28" s="45"/>
      <c r="F28" s="45"/>
      <c r="G28" s="339"/>
      <c r="H28" s="342"/>
      <c r="I28" s="340">
        <v>10</v>
      </c>
      <c r="J28" s="504">
        <f t="shared" si="5"/>
        <v>0</v>
      </c>
      <c r="K28" s="505">
        <f t="shared" si="10"/>
        <v>0</v>
      </c>
      <c r="N28" s="2671"/>
      <c r="O28" s="2671"/>
    </row>
    <row r="29" spans="2:17">
      <c r="B29" s="2593" t="s">
        <v>519</v>
      </c>
      <c r="C29" s="2594"/>
      <c r="D29" s="503">
        <f t="shared" si="6"/>
        <v>0</v>
      </c>
      <c r="E29" s="45"/>
      <c r="F29" s="45"/>
      <c r="G29" s="339"/>
      <c r="H29" s="342"/>
      <c r="I29" s="340">
        <v>10</v>
      </c>
      <c r="J29" s="504">
        <f t="shared" si="5"/>
        <v>0</v>
      </c>
      <c r="K29" s="505">
        <f t="shared" si="10"/>
        <v>0</v>
      </c>
      <c r="Q29" s="763"/>
    </row>
    <row r="30" spans="2:17" ht="16" thickBot="1">
      <c r="B30" s="2593" t="s">
        <v>520</v>
      </c>
      <c r="C30" s="2594"/>
      <c r="D30" s="522">
        <f t="shared" si="6"/>
        <v>0</v>
      </c>
      <c r="E30" s="45"/>
      <c r="F30" s="45"/>
      <c r="G30" s="339"/>
      <c r="H30" s="342"/>
      <c r="I30" s="340">
        <v>10</v>
      </c>
      <c r="J30" s="504">
        <f t="shared" si="5"/>
        <v>0</v>
      </c>
      <c r="K30" s="505">
        <f t="shared" si="10"/>
        <v>0</v>
      </c>
      <c r="N30" s="2623"/>
      <c r="O30" s="2623"/>
      <c r="P30" s="2623"/>
      <c r="Q30" s="2623"/>
    </row>
    <row r="31" spans="2:17" ht="16" thickBot="1">
      <c r="B31" s="2593" t="s">
        <v>531</v>
      </c>
      <c r="C31" s="2689"/>
      <c r="D31" s="369"/>
      <c r="F31" s="45"/>
      <c r="G31" s="520">
        <f>H31-D31-E31-F31</f>
        <v>0</v>
      </c>
      <c r="H31" s="522">
        <f>I102</f>
        <v>0</v>
      </c>
      <c r="I31" s="340">
        <v>10</v>
      </c>
      <c r="J31" s="504">
        <f t="shared" ref="J31" si="11">IF($D$59=0,0,D31/$D$59)</f>
        <v>0</v>
      </c>
      <c r="K31" s="505">
        <f t="shared" ref="K31" si="12">I31*J31</f>
        <v>0</v>
      </c>
      <c r="N31" s="763"/>
      <c r="O31" s="764"/>
      <c r="P31" s="2624"/>
      <c r="Q31" s="2624"/>
    </row>
    <row r="32" spans="2:17" ht="16" thickBot="1">
      <c r="B32" s="2593" t="s">
        <v>218</v>
      </c>
      <c r="C32" s="2594"/>
      <c r="D32" s="521">
        <f t="shared" si="6"/>
        <v>0</v>
      </c>
      <c r="E32" s="485"/>
      <c r="F32" s="485"/>
      <c r="G32" s="500"/>
      <c r="H32" s="343"/>
      <c r="I32" s="340">
        <v>10</v>
      </c>
      <c r="J32" s="504">
        <f>IF($D$59=0,0,D32/$D$59)</f>
        <v>0</v>
      </c>
      <c r="K32" s="505">
        <f t="shared" si="10"/>
        <v>0</v>
      </c>
      <c r="N32" s="763"/>
      <c r="O32" s="764"/>
      <c r="P32" s="2624"/>
      <c r="Q32" s="2624"/>
    </row>
    <row r="33" spans="2:17">
      <c r="B33" s="2672" t="s">
        <v>532</v>
      </c>
      <c r="C33" s="2673"/>
      <c r="D33" s="503">
        <f>E112-E33-F33-G33</f>
        <v>0</v>
      </c>
      <c r="E33" s="45">
        <v>0</v>
      </c>
      <c r="F33" s="45">
        <v>0</v>
      </c>
      <c r="G33" s="45"/>
      <c r="H33" s="521">
        <f t="shared" ref="H33" si="13">SUM(D33:G33)</f>
        <v>0</v>
      </c>
      <c r="I33" s="27">
        <v>10</v>
      </c>
      <c r="J33" s="504">
        <f>IF($D$59=0,0,D33/$D$59)</f>
        <v>0</v>
      </c>
      <c r="K33" s="505">
        <f t="shared" si="10"/>
        <v>0</v>
      </c>
      <c r="N33" s="763"/>
      <c r="O33" s="764"/>
      <c r="P33" s="2624"/>
      <c r="Q33" s="2624"/>
    </row>
    <row r="34" spans="2:17">
      <c r="B34" s="213" t="s">
        <v>533</v>
      </c>
      <c r="C34" s="524"/>
      <c r="D34" s="503">
        <f>SUM(D17:D33)</f>
        <v>0</v>
      </c>
      <c r="E34" s="503">
        <f>SUM(E17:E33)</f>
        <v>0</v>
      </c>
      <c r="F34" s="503">
        <f>SUM(F17:F33)</f>
        <v>0</v>
      </c>
      <c r="G34" s="503">
        <f>SUM(G17:G33)</f>
        <v>0</v>
      </c>
      <c r="H34" s="503">
        <f>SUM(H17:H33)</f>
        <v>0</v>
      </c>
      <c r="I34" s="143"/>
      <c r="J34" s="504">
        <f>IF($D$59=0,0,D34/$D$59)</f>
        <v>0</v>
      </c>
      <c r="K34" s="505"/>
      <c r="N34" s="763"/>
      <c r="O34" s="764"/>
      <c r="P34" s="2624"/>
      <c r="Q34" s="2624"/>
    </row>
    <row r="35" spans="2:17">
      <c r="B35" s="2682"/>
      <c r="C35" s="2683"/>
      <c r="D35" s="2683"/>
      <c r="E35" s="2683"/>
      <c r="F35" s="2683"/>
      <c r="G35" s="2683"/>
      <c r="H35" s="2683"/>
      <c r="I35" s="2683"/>
      <c r="J35" s="2683"/>
      <c r="K35" s="2684"/>
      <c r="N35" s="2671"/>
      <c r="O35" s="2671"/>
    </row>
    <row r="36" spans="2:17" ht="16" thickBot="1">
      <c r="B36" s="219" t="s">
        <v>159</v>
      </c>
      <c r="C36" s="218"/>
      <c r="D36" s="525" t="s">
        <v>534</v>
      </c>
      <c r="E36" s="624">
        <v>0</v>
      </c>
      <c r="F36" s="486" t="s">
        <v>535</v>
      </c>
      <c r="G36" s="625">
        <f>'Wksht Print Separately'!C22</f>
        <v>0</v>
      </c>
      <c r="H36" s="526"/>
      <c r="I36" s="218"/>
      <c r="J36" s="218"/>
      <c r="K36" s="527"/>
      <c r="N36" s="126"/>
      <c r="O36" s="126"/>
    </row>
    <row r="37" spans="2:17">
      <c r="B37" s="2593" t="s">
        <v>536</v>
      </c>
      <c r="C37" s="2594"/>
      <c r="D37" s="528">
        <f t="shared" ref="D37:D38" si="14">H37-SUM(E37:G37)</f>
        <v>0</v>
      </c>
      <c r="E37" s="485"/>
      <c r="F37" s="485"/>
      <c r="G37" s="500"/>
      <c r="H37" s="341"/>
      <c r="I37" s="340">
        <v>25</v>
      </c>
      <c r="J37" s="504">
        <f>IF($D$59=0,0,D37/$D$59)</f>
        <v>0</v>
      </c>
      <c r="K37" s="505">
        <f>I37*J37</f>
        <v>0</v>
      </c>
      <c r="N37" s="126"/>
      <c r="O37" s="126"/>
    </row>
    <row r="38" spans="2:17" ht="16" thickBot="1">
      <c r="B38" s="2593" t="s">
        <v>537</v>
      </c>
      <c r="C38" s="2594"/>
      <c r="D38" s="528">
        <f t="shared" si="14"/>
        <v>0</v>
      </c>
      <c r="E38" s="45"/>
      <c r="F38" s="45"/>
      <c r="G38" s="339"/>
      <c r="H38" s="343"/>
      <c r="I38" s="340">
        <v>25</v>
      </c>
      <c r="J38" s="504">
        <f>IF($D$59=0,0,D38/$D$59)</f>
        <v>0</v>
      </c>
      <c r="K38" s="505">
        <f>I38*J38</f>
        <v>0</v>
      </c>
      <c r="N38" s="126"/>
      <c r="O38" s="126"/>
    </row>
    <row r="39" spans="2:17">
      <c r="B39" s="2669" t="s">
        <v>538</v>
      </c>
      <c r="C39" s="2670"/>
      <c r="D39" s="503">
        <f>SUM(D37:D38)</f>
        <v>0</v>
      </c>
      <c r="E39" s="503">
        <f>SUM(E37:E38)</f>
        <v>0</v>
      </c>
      <c r="F39" s="503">
        <f>SUM(F37:F38)</f>
        <v>0</v>
      </c>
      <c r="G39" s="503">
        <f>SUM(G37:G38)</f>
        <v>0</v>
      </c>
      <c r="H39" s="521">
        <f>SUM(H37:H38)</f>
        <v>0</v>
      </c>
      <c r="I39" s="143"/>
      <c r="J39" s="504">
        <f>IF($D$59=0,0,D39/$D$59)</f>
        <v>0</v>
      </c>
      <c r="K39" s="505"/>
      <c r="N39" s="126"/>
      <c r="O39" s="126"/>
    </row>
    <row r="40" spans="2:17">
      <c r="B40" s="2702"/>
      <c r="C40" s="2703"/>
      <c r="D40" s="2703"/>
      <c r="E40" s="2703"/>
      <c r="F40" s="2703"/>
      <c r="G40" s="2703"/>
      <c r="H40" s="2703"/>
      <c r="I40" s="2703"/>
      <c r="J40" s="2703"/>
      <c r="K40" s="2704"/>
      <c r="N40" s="126"/>
      <c r="O40" s="126"/>
    </row>
    <row r="41" spans="2:17" ht="16" thickBot="1">
      <c r="B41" s="2698" t="s">
        <v>539</v>
      </c>
      <c r="C41" s="2699"/>
      <c r="D41" s="2699"/>
      <c r="E41" s="2699"/>
      <c r="F41" s="2699"/>
      <c r="G41" s="2699"/>
      <c r="H41" s="2700"/>
      <c r="I41" s="2699"/>
      <c r="J41" s="2699"/>
      <c r="K41" s="2701"/>
      <c r="N41" s="126"/>
      <c r="O41" s="126"/>
    </row>
    <row r="42" spans="2:17">
      <c r="B42" s="2593" t="s">
        <v>540</v>
      </c>
      <c r="C42" s="2594"/>
      <c r="D42" s="503">
        <f t="shared" ref="D42:D55" si="15">H42-SUM(E42:G42)</f>
        <v>0</v>
      </c>
      <c r="E42" s="485"/>
      <c r="F42" s="485"/>
      <c r="G42" s="500"/>
      <c r="H42" s="341"/>
      <c r="I42" s="340">
        <v>25</v>
      </c>
      <c r="J42" s="504">
        <f t="shared" ref="J42:J57" si="16">IF($D$59=0,0,D42/$D$59)</f>
        <v>0</v>
      </c>
      <c r="K42" s="505">
        <f>I42*J42</f>
        <v>0</v>
      </c>
      <c r="L42" s="23"/>
      <c r="N42" s="126"/>
      <c r="O42" s="126"/>
    </row>
    <row r="43" spans="2:17">
      <c r="B43" s="2593" t="s">
        <v>541</v>
      </c>
      <c r="C43" s="2594"/>
      <c r="D43" s="503">
        <f>H43-SUM(E43:G43)</f>
        <v>0</v>
      </c>
      <c r="E43" s="45"/>
      <c r="F43" s="45"/>
      <c r="G43" s="339"/>
      <c r="H43" s="342"/>
      <c r="I43" s="340">
        <v>25</v>
      </c>
      <c r="J43" s="504">
        <f t="shared" si="16"/>
        <v>0</v>
      </c>
      <c r="K43" s="505">
        <f t="shared" ref="K43:K55" si="17">I43*J43</f>
        <v>0</v>
      </c>
      <c r="L43" s="23"/>
    </row>
    <row r="44" spans="2:17">
      <c r="B44" s="2593" t="s">
        <v>542</v>
      </c>
      <c r="C44" s="2594"/>
      <c r="D44" s="503">
        <f t="shared" si="15"/>
        <v>0</v>
      </c>
      <c r="E44" s="45"/>
      <c r="F44" s="45"/>
      <c r="G44" s="339"/>
      <c r="H44" s="342"/>
      <c r="I44" s="340">
        <v>25</v>
      </c>
      <c r="J44" s="504">
        <f t="shared" si="16"/>
        <v>0</v>
      </c>
      <c r="K44" s="505">
        <f t="shared" si="17"/>
        <v>0</v>
      </c>
      <c r="L44" s="22"/>
    </row>
    <row r="45" spans="2:17">
      <c r="B45" s="2593" t="s">
        <v>543</v>
      </c>
      <c r="C45" s="2594"/>
      <c r="D45" s="503">
        <f t="shared" si="15"/>
        <v>0</v>
      </c>
      <c r="E45" s="45"/>
      <c r="F45" s="45"/>
      <c r="G45" s="339"/>
      <c r="H45" s="342"/>
      <c r="I45" s="340">
        <v>25</v>
      </c>
      <c r="J45" s="504">
        <f t="shared" si="16"/>
        <v>0</v>
      </c>
      <c r="K45" s="505">
        <f t="shared" si="17"/>
        <v>0</v>
      </c>
      <c r="L45" s="23"/>
    </row>
    <row r="46" spans="2:17">
      <c r="B46" s="2593" t="s">
        <v>544</v>
      </c>
      <c r="C46" s="2594"/>
      <c r="D46" s="503">
        <f t="shared" si="15"/>
        <v>0</v>
      </c>
      <c r="E46" s="45"/>
      <c r="F46" s="45"/>
      <c r="G46" s="339"/>
      <c r="H46" s="342"/>
      <c r="I46" s="340">
        <v>25</v>
      </c>
      <c r="J46" s="504">
        <f t="shared" si="16"/>
        <v>0</v>
      </c>
      <c r="K46" s="505">
        <f t="shared" si="17"/>
        <v>0</v>
      </c>
      <c r="L46" s="22"/>
    </row>
    <row r="47" spans="2:17">
      <c r="B47" s="2593" t="s">
        <v>545</v>
      </c>
      <c r="C47" s="2594"/>
      <c r="D47" s="503">
        <f t="shared" si="15"/>
        <v>0</v>
      </c>
      <c r="E47" s="45"/>
      <c r="F47" s="45"/>
      <c r="G47" s="339"/>
      <c r="H47" s="342"/>
      <c r="I47" s="340">
        <v>25</v>
      </c>
      <c r="J47" s="504">
        <f t="shared" si="16"/>
        <v>0</v>
      </c>
      <c r="K47" s="505">
        <f t="shared" si="17"/>
        <v>0</v>
      </c>
      <c r="L47" s="23"/>
    </row>
    <row r="48" spans="2:17">
      <c r="B48" s="2593" t="s">
        <v>546</v>
      </c>
      <c r="C48" s="2594"/>
      <c r="D48" s="503">
        <f t="shared" si="15"/>
        <v>0</v>
      </c>
      <c r="E48" s="45"/>
      <c r="F48" s="45"/>
      <c r="G48" s="339"/>
      <c r="H48" s="342"/>
      <c r="I48" s="340">
        <v>25</v>
      </c>
      <c r="J48" s="504">
        <f t="shared" si="16"/>
        <v>0</v>
      </c>
      <c r="K48" s="505">
        <f t="shared" si="17"/>
        <v>0</v>
      </c>
      <c r="L48" s="22"/>
    </row>
    <row r="49" spans="2:12" ht="16" thickBot="1">
      <c r="B49" s="2593" t="s">
        <v>547</v>
      </c>
      <c r="C49" s="2594"/>
      <c r="D49" s="522">
        <f t="shared" si="15"/>
        <v>0</v>
      </c>
      <c r="E49" s="45"/>
      <c r="F49" s="45"/>
      <c r="G49" s="339"/>
      <c r="H49" s="343"/>
      <c r="I49" s="340">
        <v>25</v>
      </c>
      <c r="J49" s="504">
        <f t="shared" si="16"/>
        <v>0</v>
      </c>
      <c r="K49" s="505">
        <f t="shared" si="17"/>
        <v>0</v>
      </c>
      <c r="L49" s="22"/>
    </row>
    <row r="50" spans="2:12" ht="16" thickBot="1">
      <c r="B50" s="2593" t="s">
        <v>161</v>
      </c>
      <c r="C50" s="2689"/>
      <c r="D50" s="370">
        <v>0</v>
      </c>
      <c r="E50" s="520">
        <f>H50-D50</f>
        <v>0</v>
      </c>
      <c r="F50" s="45"/>
      <c r="G50" s="45"/>
      <c r="H50" s="521">
        <f>(ROUND(((D4+G4)*G36/12*E36)+((D59-D4+G59-G4)*G36*0.6/12*E36),0))</f>
        <v>0</v>
      </c>
      <c r="I50" s="27">
        <v>25</v>
      </c>
      <c r="J50" s="504">
        <f t="shared" si="16"/>
        <v>0</v>
      </c>
      <c r="K50" s="505">
        <f t="shared" si="17"/>
        <v>0</v>
      </c>
      <c r="L50" s="23"/>
    </row>
    <row r="51" spans="2:12" ht="16" thickBot="1">
      <c r="B51" s="7" t="s">
        <v>548</v>
      </c>
      <c r="C51" s="47">
        <v>0.1</v>
      </c>
      <c r="D51" s="521">
        <f>H51-E51-F51-G51</f>
        <v>0</v>
      </c>
      <c r="E51" s="45"/>
      <c r="F51" s="45"/>
      <c r="G51" s="45"/>
      <c r="H51" s="344">
        <f>ROUND(H37*C51,0)</f>
        <v>0</v>
      </c>
      <c r="I51" s="27">
        <v>25</v>
      </c>
      <c r="J51" s="504">
        <f t="shared" si="16"/>
        <v>0</v>
      </c>
      <c r="K51" s="505">
        <f t="shared" si="17"/>
        <v>0</v>
      </c>
      <c r="L51" s="23"/>
    </row>
    <row r="52" spans="2:12">
      <c r="B52" s="2593" t="s">
        <v>549</v>
      </c>
      <c r="C52" s="2594"/>
      <c r="D52" s="503">
        <f t="shared" si="15"/>
        <v>0</v>
      </c>
      <c r="E52" s="45"/>
      <c r="F52" s="45"/>
      <c r="G52" s="339"/>
      <c r="H52" s="341"/>
      <c r="I52" s="340">
        <v>25</v>
      </c>
      <c r="J52" s="504">
        <f t="shared" si="16"/>
        <v>0</v>
      </c>
      <c r="K52" s="505">
        <f t="shared" si="17"/>
        <v>0</v>
      </c>
      <c r="L52" s="23"/>
    </row>
    <row r="53" spans="2:12">
      <c r="B53" s="2593" t="s">
        <v>550</v>
      </c>
      <c r="C53" s="2594"/>
      <c r="D53" s="503">
        <f t="shared" si="15"/>
        <v>0</v>
      </c>
      <c r="E53" s="45"/>
      <c r="F53" s="45"/>
      <c r="G53" s="339"/>
      <c r="H53" s="342"/>
      <c r="I53" s="340">
        <v>25</v>
      </c>
      <c r="J53" s="504">
        <f t="shared" si="16"/>
        <v>0</v>
      </c>
      <c r="K53" s="505">
        <f t="shared" ref="K53" si="18">I53*J53</f>
        <v>0</v>
      </c>
      <c r="L53" s="23"/>
    </row>
    <row r="54" spans="2:12">
      <c r="B54" s="2593" t="s">
        <v>551</v>
      </c>
      <c r="C54" s="2594"/>
      <c r="D54" s="503">
        <f t="shared" si="15"/>
        <v>0</v>
      </c>
      <c r="E54" s="45"/>
      <c r="F54" s="45"/>
      <c r="G54" s="339"/>
      <c r="H54" s="342"/>
      <c r="I54" s="340">
        <v>25</v>
      </c>
      <c r="J54" s="504">
        <f t="shared" si="16"/>
        <v>0</v>
      </c>
      <c r="K54" s="505">
        <f t="shared" si="17"/>
        <v>0</v>
      </c>
    </row>
    <row r="55" spans="2:12" ht="16" thickBot="1">
      <c r="B55" s="2593" t="s">
        <v>218</v>
      </c>
      <c r="C55" s="2594"/>
      <c r="D55" s="503">
        <f t="shared" si="15"/>
        <v>0</v>
      </c>
      <c r="E55" s="45"/>
      <c r="F55" s="45"/>
      <c r="G55" s="339"/>
      <c r="H55" s="343"/>
      <c r="I55" s="340">
        <v>25</v>
      </c>
      <c r="J55" s="504">
        <f t="shared" si="16"/>
        <v>0</v>
      </c>
      <c r="K55" s="505">
        <f t="shared" si="17"/>
        <v>0</v>
      </c>
    </row>
    <row r="56" spans="2:12">
      <c r="B56" s="2669" t="s">
        <v>552</v>
      </c>
      <c r="C56" s="2670"/>
      <c r="D56" s="503">
        <f>SUM(D42:D55)</f>
        <v>0</v>
      </c>
      <c r="E56" s="503">
        <f>SUM(E42:E55)</f>
        <v>0</v>
      </c>
      <c r="F56" s="503">
        <f>SUM(F42:F55)</f>
        <v>0</v>
      </c>
      <c r="G56" s="503">
        <f>SUM(G42:G55)</f>
        <v>0</v>
      </c>
      <c r="H56" s="521">
        <f>SUM(H42:H55)</f>
        <v>0</v>
      </c>
      <c r="I56" s="143"/>
      <c r="J56" s="504">
        <f t="shared" si="16"/>
        <v>0</v>
      </c>
      <c r="K56" s="505"/>
    </row>
    <row r="57" spans="2:12">
      <c r="B57" s="2669" t="s">
        <v>553</v>
      </c>
      <c r="C57" s="2670"/>
      <c r="D57" s="503">
        <f>D56+D39</f>
        <v>0</v>
      </c>
      <c r="E57" s="503">
        <f>E56+E39</f>
        <v>0</v>
      </c>
      <c r="F57" s="503">
        <f>F56+F39</f>
        <v>0</v>
      </c>
      <c r="G57" s="503">
        <f>G56+G39</f>
        <v>0</v>
      </c>
      <c r="H57" s="503">
        <f>H56+H39</f>
        <v>0</v>
      </c>
      <c r="I57" s="143"/>
      <c r="J57" s="504">
        <f t="shared" si="16"/>
        <v>0</v>
      </c>
      <c r="K57" s="505"/>
    </row>
    <row r="58" spans="2:12">
      <c r="B58" s="529" t="str">
        <f>IF(H56&lt;&gt;SUM(D56:G56),"There is an ERROR in the Const","")</f>
        <v/>
      </c>
      <c r="C58" s="530" t="str">
        <f>IF(H56&lt;&gt;SUM(D56:G56),"soft costs.  Totals do not match","")</f>
        <v/>
      </c>
      <c r="D58" s="531"/>
      <c r="E58" s="371"/>
      <c r="F58" s="371"/>
      <c r="G58" s="371"/>
      <c r="H58" s="532" t="str">
        <f>IF(H56&lt;&gt;SUM(D56:G56),"SUM of Const Soft Costs =","")</f>
        <v/>
      </c>
      <c r="I58" s="533" t="str">
        <f>IF(H56&lt;&gt;SUM(D56:G56),SUM(D56:G56),"")</f>
        <v/>
      </c>
      <c r="J58" s="371"/>
      <c r="K58" s="372"/>
    </row>
    <row r="59" spans="2:12">
      <c r="B59" s="2669" t="s">
        <v>554</v>
      </c>
      <c r="C59" s="2670"/>
      <c r="D59" s="534">
        <f>SUM(D4:D13,D17:D33,D37:D38,D42:D55)</f>
        <v>0</v>
      </c>
      <c r="E59" s="534">
        <f>SUM(E4:E13,E17:E33,E37:E38,E42:E55)</f>
        <v>0</v>
      </c>
      <c r="F59" s="534">
        <f>SUM(F4:F13,F17:F33,F37:F38,F42:F55)</f>
        <v>0</v>
      </c>
      <c r="G59" s="534">
        <f>SUM(G4:G13,G17:G33,G37:G38,G42:G55)</f>
        <v>0</v>
      </c>
      <c r="H59" s="535">
        <f>H57+H34+H14</f>
        <v>0</v>
      </c>
      <c r="I59" s="536" t="s">
        <v>555</v>
      </c>
      <c r="J59" s="504">
        <f>SUM(J4:J12,J17:J33,J37:J38,J42:J55)</f>
        <v>0</v>
      </c>
      <c r="K59" s="505">
        <f>SUM(K4:K12,K17:K33,K37:K38,K42:K55)</f>
        <v>0</v>
      </c>
    </row>
    <row r="60" spans="2:12">
      <c r="B60" s="2669" t="s">
        <v>556</v>
      </c>
      <c r="C60" s="2670"/>
      <c r="D60" s="537">
        <f>IF(D59=0,0,D59/$H$59)</f>
        <v>0</v>
      </c>
      <c r="E60" s="537">
        <f>IF(E59=0,0,E59/$H$59)</f>
        <v>0</v>
      </c>
      <c r="F60" s="537">
        <f>IF(F59=0,0,F59/$H$59)</f>
        <v>0</v>
      </c>
      <c r="G60" s="537">
        <f>IF(G59=0,0,G59/$H$59)</f>
        <v>0</v>
      </c>
      <c r="H60" s="538">
        <f>SUM(D60:G60)</f>
        <v>0</v>
      </c>
      <c r="I60" s="536"/>
      <c r="J60" s="143"/>
      <c r="K60" s="539"/>
    </row>
    <row r="61" spans="2:12">
      <c r="B61" s="540" t="str">
        <f>IF(H59&lt;&gt;SUM(D59:G59),"There is an ERROR in the total","")</f>
        <v/>
      </c>
      <c r="C61" s="541" t="str">
        <f>IF(H59&lt;&gt;SUM(D59:G59),"project.  Totals do not match","")</f>
        <v/>
      </c>
      <c r="D61" s="542"/>
      <c r="E61" s="542"/>
      <c r="F61" s="543"/>
      <c r="G61" s="542"/>
      <c r="H61" s="544" t="str">
        <f>IF(H59&lt;&gt;SUM(D59:G59),"SUM of project columns =","")</f>
        <v/>
      </c>
      <c r="I61" s="545" t="str">
        <f>IF(H59&lt;&gt;SUM(D59:G59),SUM(D59:G59),"")</f>
        <v/>
      </c>
      <c r="J61" s="204"/>
      <c r="K61" s="206"/>
    </row>
    <row r="62" spans="2:12" ht="16" thickBot="1">
      <c r="B62" s="2641" t="s">
        <v>557</v>
      </c>
      <c r="C62" s="2642"/>
      <c r="D62" s="2642"/>
      <c r="E62" s="2642"/>
      <c r="F62" s="2642"/>
      <c r="G62" s="2642"/>
      <c r="H62" s="2642"/>
      <c r="I62" s="2642"/>
      <c r="J62" s="2642"/>
      <c r="K62" s="2643"/>
    </row>
    <row r="63" spans="2:12">
      <c r="B63" s="121"/>
      <c r="C63" s="122"/>
      <c r="D63" s="2636" t="s">
        <v>558</v>
      </c>
      <c r="E63" s="2676" t="str">
        <f>E2</f>
        <v>Borrower</v>
      </c>
      <c r="F63" s="2676" t="str">
        <f>F2</f>
        <v>Seller/Other</v>
      </c>
      <c r="G63" s="2636" t="str">
        <f>G2</f>
        <v>3rd Party/CDC Loan</v>
      </c>
      <c r="H63" s="2636" t="str">
        <f>H2</f>
        <v>Total</v>
      </c>
      <c r="I63" s="2661"/>
      <c r="J63" s="230"/>
      <c r="K63" s="231"/>
    </row>
    <row r="64" spans="2:12">
      <c r="B64" s="121"/>
      <c r="C64" s="122"/>
      <c r="D64" s="2637"/>
      <c r="E64" s="2677"/>
      <c r="F64" s="2677"/>
      <c r="G64" s="2637"/>
      <c r="H64" s="2637"/>
      <c r="I64" s="2662"/>
      <c r="J64" s="546"/>
      <c r="K64" s="547"/>
    </row>
    <row r="65" spans="2:11">
      <c r="B65" s="2669" t="s">
        <v>559</v>
      </c>
      <c r="C65" s="2670"/>
      <c r="D65" s="1698">
        <v>0.5</v>
      </c>
      <c r="E65" s="1698">
        <v>0.2</v>
      </c>
      <c r="F65" s="1699">
        <f>F60</f>
        <v>0</v>
      </c>
      <c r="G65" s="1699">
        <f>100%-D65-E65-F65</f>
        <v>0.3</v>
      </c>
      <c r="H65" s="1700">
        <f>SUM(D65:G65)</f>
        <v>1</v>
      </c>
      <c r="I65" s="1629"/>
      <c r="J65" s="548"/>
      <c r="K65" s="549"/>
    </row>
    <row r="66" spans="2:11">
      <c r="B66" s="550"/>
      <c r="C66" s="551" t="s">
        <v>560</v>
      </c>
      <c r="D66" s="552">
        <f>IF($P$6=504,$H$59*D65,0)</f>
        <v>0</v>
      </c>
      <c r="E66" s="552">
        <f>IF($P$6=504,$H$59*E65,0)</f>
        <v>0</v>
      </c>
      <c r="F66" s="552">
        <f>IF($P$6=504,$H$59*F65,0)</f>
        <v>0</v>
      </c>
      <c r="G66" s="552">
        <f>IF($P$6=504,$H$59*G65,0)</f>
        <v>0</v>
      </c>
      <c r="H66" s="552">
        <f>SUM(D66:G66)</f>
        <v>0</v>
      </c>
      <c r="I66" s="553"/>
      <c r="J66" s="548"/>
      <c r="K66" s="549"/>
    </row>
    <row r="67" spans="2:11">
      <c r="B67" s="550"/>
      <c r="C67" s="551"/>
      <c r="D67" s="554"/>
      <c r="E67" s="554"/>
      <c r="F67" s="122"/>
      <c r="G67" s="122"/>
      <c r="H67" s="554"/>
      <c r="I67" s="122"/>
      <c r="J67" s="548"/>
      <c r="K67" s="549"/>
    </row>
    <row r="68" spans="2:11">
      <c r="B68" s="550"/>
      <c r="C68" s="551" t="s">
        <v>561</v>
      </c>
      <c r="D68" s="554"/>
      <c r="E68" s="554"/>
      <c r="F68" s="122"/>
      <c r="G68" s="122"/>
      <c r="H68" s="554"/>
      <c r="I68" s="122"/>
      <c r="J68" s="548"/>
      <c r="K68" s="549"/>
    </row>
    <row r="69" spans="2:11">
      <c r="B69" s="2593" t="s">
        <v>562</v>
      </c>
      <c r="C69" s="2594"/>
      <c r="D69" s="733"/>
      <c r="E69" s="733"/>
      <c r="F69" s="733"/>
      <c r="G69" s="555">
        <f>SUM(F79,F80,F81,F82,F83)</f>
        <v>3500</v>
      </c>
      <c r="H69" s="556">
        <f>SUM(D69:G69)</f>
        <v>3500</v>
      </c>
      <c r="I69" s="548"/>
      <c r="J69" s="548"/>
      <c r="K69" s="549"/>
    </row>
    <row r="70" spans="2:11">
      <c r="B70" s="2593" t="s">
        <v>147</v>
      </c>
      <c r="C70" s="2594"/>
      <c r="D70" s="733"/>
      <c r="E70" s="733"/>
      <c r="F70" s="733"/>
      <c r="G70" s="557"/>
      <c r="H70" s="556">
        <f>SUM(D70:E70)</f>
        <v>0</v>
      </c>
      <c r="I70" s="548"/>
      <c r="J70" s="548"/>
      <c r="K70" s="549"/>
    </row>
    <row r="71" spans="2:11">
      <c r="B71" s="2593" t="s">
        <v>149</v>
      </c>
      <c r="C71" s="2594"/>
      <c r="D71" s="733"/>
      <c r="E71" s="733"/>
      <c r="F71" s="733"/>
      <c r="G71" s="557"/>
      <c r="H71" s="556">
        <f>SUM(D71:E71)</f>
        <v>0</v>
      </c>
      <c r="I71" s="548"/>
      <c r="J71" s="548"/>
      <c r="K71" s="549"/>
    </row>
    <row r="72" spans="2:11">
      <c r="B72" s="2593" t="s">
        <v>153</v>
      </c>
      <c r="C72" s="2594"/>
      <c r="D72" s="733"/>
      <c r="E72" s="733"/>
      <c r="F72" s="733"/>
      <c r="G72" s="557"/>
      <c r="H72" s="556">
        <f>SUM(D72:E72)</f>
        <v>0</v>
      </c>
      <c r="I72" s="548"/>
      <c r="J72" s="548"/>
      <c r="K72" s="549"/>
    </row>
    <row r="73" spans="2:11">
      <c r="B73" s="2593" t="s">
        <v>154</v>
      </c>
      <c r="C73" s="2594"/>
      <c r="D73" s="733"/>
      <c r="E73" s="733"/>
      <c r="F73" s="733"/>
      <c r="G73" s="558"/>
      <c r="H73" s="556">
        <f>SUM(D73:E73)</f>
        <v>0</v>
      </c>
      <c r="I73" s="548"/>
      <c r="J73" s="548"/>
      <c r="K73" s="549"/>
    </row>
    <row r="74" spans="2:11">
      <c r="B74" s="2672" t="s">
        <v>563</v>
      </c>
      <c r="C74" s="2673"/>
      <c r="D74" s="534">
        <f t="shared" ref="D74:F74" si="19">SUM(D69:D73)</f>
        <v>0</v>
      </c>
      <c r="E74" s="534">
        <f t="shared" si="19"/>
        <v>0</v>
      </c>
      <c r="F74" s="534">
        <f t="shared" si="19"/>
        <v>0</v>
      </c>
      <c r="G74" s="534">
        <f>SUM(G69:G73)</f>
        <v>3500</v>
      </c>
      <c r="H74" s="534">
        <f>SUM(H69:H73)</f>
        <v>3500</v>
      </c>
      <c r="I74" s="548"/>
      <c r="J74" s="548"/>
      <c r="K74" s="549"/>
    </row>
    <row r="75" spans="2:11">
      <c r="B75" s="2672" t="s">
        <v>564</v>
      </c>
      <c r="C75" s="2673"/>
      <c r="D75" s="534">
        <f>D66+D74</f>
        <v>0</v>
      </c>
      <c r="E75" s="534">
        <f>E66+E74</f>
        <v>0</v>
      </c>
      <c r="F75" s="534">
        <f>F66+F74</f>
        <v>0</v>
      </c>
      <c r="G75" s="534">
        <f>IF(B80&gt;=20,ROUNDUP((B82+G69),-3),IF(B80=10,ROUNDUP((B82+G69),-3),0))</f>
        <v>0</v>
      </c>
      <c r="H75" s="534">
        <f>I66+H74</f>
        <v>3500</v>
      </c>
      <c r="I75" s="548"/>
      <c r="J75" s="548"/>
      <c r="K75" s="549"/>
    </row>
    <row r="76" spans="2:11">
      <c r="B76" s="559"/>
      <c r="C76" s="560"/>
      <c r="D76" s="561">
        <f>D75/$H75</f>
        <v>0</v>
      </c>
      <c r="E76" s="561">
        <f>E75/$H75</f>
        <v>0</v>
      </c>
      <c r="F76" s="561">
        <f>F75/$H75</f>
        <v>0</v>
      </c>
      <c r="G76" s="561">
        <f>G75/$H75</f>
        <v>0</v>
      </c>
      <c r="H76" s="562">
        <f>SUM(D76:G76)</f>
        <v>0</v>
      </c>
      <c r="I76" s="548"/>
      <c r="J76" s="548"/>
      <c r="K76" s="549"/>
    </row>
    <row r="77" spans="2:11">
      <c r="B77" s="368"/>
      <c r="C77" s="546"/>
      <c r="D77" s="546"/>
      <c r="E77" s="546"/>
      <c r="F77" s="546"/>
      <c r="G77" s="546"/>
      <c r="H77" s="546"/>
      <c r="I77" s="546"/>
      <c r="J77" s="546"/>
      <c r="K77" s="547"/>
    </row>
    <row r="78" spans="2:11" ht="16" thickBot="1">
      <c r="B78" s="2641" t="s">
        <v>565</v>
      </c>
      <c r="C78" s="2642"/>
      <c r="D78" s="2642"/>
      <c r="E78" s="2642"/>
      <c r="F78" s="2642"/>
      <c r="G78" s="2642"/>
      <c r="H78" s="2642"/>
      <c r="I78" s="2642"/>
      <c r="J78" s="2642"/>
      <c r="K78" s="2643"/>
    </row>
    <row r="79" spans="2:11">
      <c r="B79" s="563" t="s">
        <v>566</v>
      </c>
      <c r="C79" s="564"/>
      <c r="D79" s="122"/>
      <c r="E79" s="565" t="s">
        <v>567</v>
      </c>
      <c r="F79" s="566">
        <f>B82*G79</f>
        <v>0</v>
      </c>
      <c r="G79" s="229">
        <v>2.5000000000000001E-3</v>
      </c>
      <c r="H79" s="567"/>
      <c r="I79" s="204"/>
      <c r="J79" s="567"/>
      <c r="K79" s="206"/>
    </row>
    <row r="80" spans="2:11">
      <c r="B80" s="628"/>
      <c r="C80" s="568"/>
      <c r="D80" s="122"/>
      <c r="E80" s="565" t="s">
        <v>568</v>
      </c>
      <c r="F80" s="569">
        <f>B82*G80</f>
        <v>0</v>
      </c>
      <c r="G80" s="227">
        <v>1.4999999999999999E-2</v>
      </c>
      <c r="H80" s="567"/>
      <c r="I80" s="204"/>
      <c r="J80" s="567"/>
      <c r="K80" s="206"/>
    </row>
    <row r="81" spans="2:13">
      <c r="B81" s="211" t="s">
        <v>569</v>
      </c>
      <c r="C81" s="568"/>
      <c r="D81" s="122"/>
      <c r="E81" s="565" t="s">
        <v>570</v>
      </c>
      <c r="F81" s="569">
        <f>B82*G81</f>
        <v>0</v>
      </c>
      <c r="G81" s="227">
        <v>0</v>
      </c>
      <c r="H81" s="570"/>
      <c r="I81" s="570"/>
      <c r="J81" s="567"/>
      <c r="K81" s="206"/>
    </row>
    <row r="82" spans="2:13">
      <c r="B82" s="534">
        <f>IF(P6=504,UOP!G66,0)</f>
        <v>0</v>
      </c>
      <c r="C82" s="568"/>
      <c r="D82" s="122"/>
      <c r="E82" s="565" t="s">
        <v>571</v>
      </c>
      <c r="F82" s="228">
        <v>3500</v>
      </c>
      <c r="G82" s="571"/>
      <c r="H82" s="567"/>
      <c r="I82" s="204"/>
      <c r="J82" s="567"/>
      <c r="K82" s="206"/>
    </row>
    <row r="83" spans="2:13">
      <c r="B83" s="211" t="s">
        <v>572</v>
      </c>
      <c r="C83" s="568"/>
      <c r="D83" s="122"/>
      <c r="E83" s="565" t="s">
        <v>573</v>
      </c>
      <c r="F83" s="569">
        <f>IF(B80&gt;=20,(B84*H83),IF(B80=10,(B84*J83),0))</f>
        <v>0</v>
      </c>
      <c r="G83" s="185" t="s">
        <v>574</v>
      </c>
      <c r="H83" s="572">
        <v>4.0000000000000001E-3</v>
      </c>
      <c r="I83" s="143" t="s">
        <v>575</v>
      </c>
      <c r="J83" s="573">
        <v>3.7499999999999999E-3</v>
      </c>
      <c r="K83" s="206"/>
    </row>
    <row r="84" spans="2:13">
      <c r="B84" s="534">
        <f>IF(B80&gt;=20,ROUNDUP((B82+SUM(F79:F82))/0.996,-3),IF(B80=10,ROUNDUP((B82+SUM(F79:F82))/0.99625,-3),0))</f>
        <v>0</v>
      </c>
      <c r="C84" s="560"/>
      <c r="D84" s="224"/>
      <c r="E84" s="574" t="s">
        <v>576</v>
      </c>
      <c r="F84" s="575">
        <f>B84-B82-SUM(F79:F83)</f>
        <v>-3500</v>
      </c>
      <c r="G84" s="576"/>
      <c r="H84" s="567"/>
      <c r="I84" s="204"/>
      <c r="J84" s="567"/>
      <c r="K84" s="206"/>
    </row>
    <row r="85" spans="2:13">
      <c r="B85" s="2638" t="s">
        <v>577</v>
      </c>
      <c r="C85" s="2639"/>
      <c r="D85" s="2639"/>
      <c r="E85" s="2639"/>
      <c r="F85" s="2639"/>
      <c r="G85" s="2639"/>
      <c r="H85" s="2639"/>
      <c r="I85" s="2639"/>
      <c r="J85" s="2639"/>
      <c r="K85" s="2640"/>
    </row>
    <row r="86" spans="2:13" ht="14.5" customHeight="1">
      <c r="B86" s="2707" t="s">
        <v>578</v>
      </c>
      <c r="C86" s="2708"/>
      <c r="D86" s="144" t="s">
        <v>382</v>
      </c>
      <c r="E86" s="44">
        <f>B80</f>
        <v>0</v>
      </c>
      <c r="F86" s="144" t="s">
        <v>579</v>
      </c>
      <c r="G86" s="27"/>
      <c r="H86" s="144" t="s">
        <v>486</v>
      </c>
      <c r="I86" s="2"/>
      <c r="J86" s="143" t="s">
        <v>176</v>
      </c>
      <c r="K86" s="577">
        <f>IFERROR(IF(B82&gt;0,PMT(I86/12,G86,-B84),0),0)</f>
        <v>0</v>
      </c>
    </row>
    <row r="87" spans="2:13">
      <c r="B87" s="2705" t="s">
        <v>580</v>
      </c>
      <c r="C87" s="2706"/>
      <c r="D87" s="2709" t="s">
        <v>581</v>
      </c>
      <c r="E87" s="2709"/>
      <c r="F87" s="2663"/>
      <c r="G87" s="2663"/>
      <c r="H87" s="2663"/>
      <c r="I87" s="2663"/>
      <c r="J87" s="2663"/>
      <c r="K87" s="2664"/>
    </row>
    <row r="88" spans="2:13">
      <c r="B88" s="2638" t="s">
        <v>582</v>
      </c>
      <c r="C88" s="2639"/>
      <c r="D88" s="2639"/>
      <c r="E88" s="2639"/>
      <c r="F88" s="2639"/>
      <c r="G88" s="2639"/>
      <c r="H88" s="2639"/>
      <c r="I88" s="2639"/>
      <c r="J88" s="2639"/>
      <c r="K88" s="2640"/>
    </row>
    <row r="89" spans="2:13">
      <c r="B89" s="2655" t="s">
        <v>583</v>
      </c>
      <c r="C89" s="2656"/>
      <c r="D89" s="144" t="s">
        <v>382</v>
      </c>
      <c r="E89" s="27"/>
      <c r="F89" s="144" t="s">
        <v>579</v>
      </c>
      <c r="G89" s="27"/>
      <c r="H89" s="144" t="s">
        <v>486</v>
      </c>
      <c r="I89" s="226"/>
      <c r="J89" s="143" t="s">
        <v>176</v>
      </c>
      <c r="K89" s="577">
        <f>IFERROR(IF(F59=0,0,PMT(I89/12,G89,-F59)),0)</f>
        <v>0</v>
      </c>
    </row>
    <row r="90" spans="2:13" ht="16" thickBot="1">
      <c r="B90" s="2657"/>
      <c r="C90" s="2658"/>
      <c r="D90" s="2608" t="s">
        <v>584</v>
      </c>
      <c r="E90" s="2608"/>
      <c r="F90" s="2606"/>
      <c r="G90" s="2606"/>
      <c r="H90" s="2606"/>
      <c r="I90" s="2606"/>
      <c r="J90" s="2606"/>
      <c r="K90" s="2607"/>
    </row>
    <row r="91" spans="2:13">
      <c r="B91" s="2638" t="s">
        <v>585</v>
      </c>
      <c r="C91" s="2639"/>
      <c r="D91" s="2639"/>
      <c r="E91" s="2639"/>
      <c r="F91" s="2639"/>
      <c r="G91" s="2639"/>
      <c r="H91" s="2639"/>
      <c r="I91" s="2639"/>
      <c r="J91" s="2639"/>
      <c r="K91" s="2640"/>
    </row>
    <row r="92" spans="2:13">
      <c r="B92" s="2655" t="s">
        <v>586</v>
      </c>
      <c r="C92" s="2656"/>
      <c r="D92" s="144" t="s">
        <v>382</v>
      </c>
      <c r="E92" s="27"/>
      <c r="F92" s="144" t="s">
        <v>579</v>
      </c>
      <c r="G92" s="27"/>
      <c r="H92" s="144" t="s">
        <v>486</v>
      </c>
      <c r="I92" s="226"/>
      <c r="J92" s="143" t="s">
        <v>176</v>
      </c>
      <c r="K92" s="577">
        <f>IF(F62=0,0,PMT(I92/12,G92,-F62))</f>
        <v>0</v>
      </c>
    </row>
    <row r="93" spans="2:13" ht="16" thickBot="1">
      <c r="B93" s="2657"/>
      <c r="C93" s="2658"/>
      <c r="D93" s="2608" t="s">
        <v>584</v>
      </c>
      <c r="E93" s="2608"/>
      <c r="F93" s="2606"/>
      <c r="G93" s="2606"/>
      <c r="H93" s="2606"/>
      <c r="I93" s="2606"/>
      <c r="J93" s="2606"/>
      <c r="K93" s="2607"/>
    </row>
    <row r="94" spans="2:13">
      <c r="B94" s="2609" t="s">
        <v>587</v>
      </c>
      <c r="C94" s="2610"/>
      <c r="D94" s="2610"/>
      <c r="E94" s="2610"/>
      <c r="F94" s="2610"/>
      <c r="G94" s="2610"/>
      <c r="H94" s="2610"/>
      <c r="I94" s="2610"/>
      <c r="J94" s="2610"/>
      <c r="K94" s="2611"/>
      <c r="M94" s="760"/>
    </row>
    <row r="95" spans="2:13">
      <c r="B95" s="578"/>
      <c r="C95" s="357"/>
      <c r="D95" s="357"/>
      <c r="E95" s="122"/>
      <c r="F95" s="122"/>
      <c r="G95" s="122"/>
      <c r="H95" s="122"/>
      <c r="I95" s="122"/>
      <c r="J95" s="122"/>
      <c r="K95" s="195"/>
      <c r="M95" s="760"/>
    </row>
    <row r="96" spans="2:13">
      <c r="B96" s="2615" t="s">
        <v>588</v>
      </c>
      <c r="C96" s="2616"/>
      <c r="D96" s="2616"/>
      <c r="E96" s="2616"/>
      <c r="F96" s="2616"/>
      <c r="G96" s="2616"/>
      <c r="H96" s="2616"/>
      <c r="I96" s="2616"/>
      <c r="J96" s="2616"/>
      <c r="K96" s="2617"/>
    </row>
    <row r="97" spans="2:16" ht="17" thickBot="1">
      <c r="B97" s="2599"/>
      <c r="C97" s="2600"/>
      <c r="D97" s="2600"/>
      <c r="E97" s="579" t="s">
        <v>589</v>
      </c>
      <c r="F97" s="580"/>
      <c r="G97" s="580" t="s">
        <v>590</v>
      </c>
      <c r="H97" s="358"/>
      <c r="I97" s="122"/>
      <c r="J97" s="2659"/>
      <c r="K97" s="2660"/>
    </row>
    <row r="98" spans="2:16">
      <c r="B98" s="2647" t="s">
        <v>527</v>
      </c>
      <c r="C98" s="2648"/>
      <c r="D98" s="2649"/>
      <c r="E98" s="581">
        <f>E126</f>
        <v>0</v>
      </c>
      <c r="F98" s="582"/>
      <c r="G98" s="583" t="s">
        <v>591</v>
      </c>
      <c r="H98" s="630">
        <v>0.02</v>
      </c>
      <c r="I98" s="1712">
        <f>IF($P$6=504,(D$59*D65)*H98,0)</f>
        <v>0</v>
      </c>
      <c r="J98" s="1718" t="s">
        <v>592</v>
      </c>
      <c r="K98" s="585"/>
    </row>
    <row r="99" spans="2:16" ht="16" thickBot="1">
      <c r="B99" s="2650" t="s">
        <v>593</v>
      </c>
      <c r="C99" s="2651"/>
      <c r="D99" s="2652"/>
      <c r="E99" s="586">
        <f>IF(F118&gt;0,(K126-H126-E126),0)</f>
        <v>0</v>
      </c>
      <c r="F99" s="582"/>
      <c r="G99" s="583" t="s">
        <v>594</v>
      </c>
      <c r="H99" s="631">
        <v>0</v>
      </c>
      <c r="I99" s="1713">
        <f>IF($P$6=504,D$59*H99,0)</f>
        <v>0</v>
      </c>
      <c r="J99" s="1718" t="s">
        <v>592</v>
      </c>
      <c r="K99" s="585"/>
    </row>
    <row r="100" spans="2:16" ht="16" thickBot="1">
      <c r="B100" s="2618" t="s">
        <v>595</v>
      </c>
      <c r="C100" s="2619"/>
      <c r="D100" s="2619"/>
      <c r="E100" s="2620"/>
      <c r="F100" s="582"/>
      <c r="G100" s="583" t="s">
        <v>596</v>
      </c>
      <c r="H100" s="631">
        <v>5.0000000000000001E-3</v>
      </c>
      <c r="I100" s="1713"/>
      <c r="J100" s="1718" t="s">
        <v>597</v>
      </c>
      <c r="K100" s="585"/>
    </row>
    <row r="101" spans="2:16">
      <c r="B101" s="587" t="s">
        <v>598</v>
      </c>
      <c r="C101" s="588">
        <v>300</v>
      </c>
      <c r="D101" s="1486"/>
      <c r="E101" s="1710">
        <f t="shared" ref="E101:E111" si="20">D101*C101</f>
        <v>0</v>
      </c>
      <c r="F101" s="582"/>
      <c r="G101" s="583" t="s">
        <v>218</v>
      </c>
      <c r="H101" s="632">
        <v>0</v>
      </c>
      <c r="I101" s="1714"/>
      <c r="J101" s="584"/>
      <c r="K101" s="589"/>
    </row>
    <row r="102" spans="2:16">
      <c r="B102" s="590" t="s">
        <v>599</v>
      </c>
      <c r="C102" s="1485">
        <v>6000</v>
      </c>
      <c r="D102" s="1487"/>
      <c r="E102" s="1710">
        <f t="shared" si="20"/>
        <v>0</v>
      </c>
      <c r="F102" s="582"/>
      <c r="G102" s="583" t="s">
        <v>104</v>
      </c>
      <c r="H102" s="762">
        <f>SUM(H98:H101)</f>
        <v>2.5000000000000001E-2</v>
      </c>
      <c r="I102" s="1715">
        <f>SUM(I98:I101)</f>
        <v>0</v>
      </c>
      <c r="J102" s="584"/>
      <c r="K102" s="589"/>
    </row>
    <row r="103" spans="2:16">
      <c r="B103" s="1740" t="s">
        <v>218</v>
      </c>
      <c r="C103" s="1485"/>
      <c r="D103" s="1487"/>
      <c r="E103" s="1710">
        <f t="shared" si="20"/>
        <v>0</v>
      </c>
      <c r="F103" s="582"/>
      <c r="G103" s="583"/>
      <c r="H103" s="583" t="s">
        <v>600</v>
      </c>
      <c r="I103" s="122"/>
      <c r="J103" s="591"/>
      <c r="K103" s="589"/>
    </row>
    <row r="104" spans="2:16">
      <c r="B104" s="1740" t="s">
        <v>218</v>
      </c>
      <c r="C104" s="1485"/>
      <c r="D104" s="1487"/>
      <c r="E104" s="1710">
        <f t="shared" si="20"/>
        <v>0</v>
      </c>
      <c r="F104" s="582"/>
      <c r="G104" s="583"/>
      <c r="H104" s="583" t="s">
        <v>601</v>
      </c>
      <c r="I104" s="122"/>
      <c r="J104" s="591"/>
      <c r="K104" s="589"/>
    </row>
    <row r="105" spans="2:16">
      <c r="B105" s="1740" t="s">
        <v>218</v>
      </c>
      <c r="C105" s="1485"/>
      <c r="D105" s="1487"/>
      <c r="E105" s="1710">
        <f t="shared" si="20"/>
        <v>0</v>
      </c>
      <c r="F105" s="582"/>
      <c r="G105" s="583"/>
      <c r="H105" s="583"/>
      <c r="I105" s="122"/>
      <c r="J105" s="591"/>
      <c r="K105" s="589"/>
    </row>
    <row r="106" spans="2:16">
      <c r="B106" s="1740" t="s">
        <v>218</v>
      </c>
      <c r="C106" s="1485"/>
      <c r="D106" s="1487"/>
      <c r="E106" s="1710">
        <f t="shared" si="20"/>
        <v>0</v>
      </c>
      <c r="F106" s="582"/>
      <c r="G106" s="583"/>
      <c r="H106" s="583"/>
      <c r="I106" s="122"/>
      <c r="J106" s="591"/>
      <c r="K106" s="589"/>
    </row>
    <row r="107" spans="2:16">
      <c r="B107" s="1740" t="s">
        <v>218</v>
      </c>
      <c r="C107" s="1485"/>
      <c r="D107" s="1487"/>
      <c r="E107" s="1710">
        <f t="shared" si="20"/>
        <v>0</v>
      </c>
      <c r="F107" s="582"/>
      <c r="G107" s="583"/>
      <c r="H107" s="583"/>
      <c r="I107" s="122"/>
      <c r="J107" s="591"/>
      <c r="K107" s="589"/>
    </row>
    <row r="108" spans="2:16">
      <c r="B108" s="1740" t="s">
        <v>218</v>
      </c>
      <c r="C108" s="1485"/>
      <c r="D108" s="1487"/>
      <c r="E108" s="1710">
        <f t="shared" si="20"/>
        <v>0</v>
      </c>
      <c r="F108" s="582"/>
      <c r="G108" s="583"/>
      <c r="H108" s="583"/>
      <c r="I108" s="122"/>
      <c r="J108" s="591"/>
      <c r="K108" s="589"/>
    </row>
    <row r="109" spans="2:16">
      <c r="B109" s="1740" t="s">
        <v>218</v>
      </c>
      <c r="C109" s="1485"/>
      <c r="D109" s="1487"/>
      <c r="E109" s="1710">
        <f t="shared" si="20"/>
        <v>0</v>
      </c>
      <c r="F109" s="582"/>
      <c r="G109" s="583"/>
      <c r="H109" s="583"/>
      <c r="I109" s="122"/>
      <c r="J109" s="591"/>
      <c r="K109" s="589"/>
    </row>
    <row r="110" spans="2:16">
      <c r="B110" s="1740" t="s">
        <v>218</v>
      </c>
      <c r="C110" s="1709"/>
      <c r="D110" s="1487"/>
      <c r="E110" s="1710">
        <v>0</v>
      </c>
      <c r="F110" s="582"/>
      <c r="G110" s="583"/>
      <c r="H110" s="583"/>
      <c r="I110" s="122"/>
      <c r="J110" s="591"/>
      <c r="K110" s="589"/>
      <c r="N110" s="1"/>
      <c r="O110" s="1"/>
      <c r="P110" s="1"/>
    </row>
    <row r="111" spans="2:16">
      <c r="B111" s="1740" t="s">
        <v>218</v>
      </c>
      <c r="C111" s="1709"/>
      <c r="D111" s="1487"/>
      <c r="E111" s="1710">
        <f t="shared" si="20"/>
        <v>0</v>
      </c>
      <c r="F111" s="582"/>
      <c r="G111" s="583"/>
      <c r="H111" s="583"/>
      <c r="I111" s="122"/>
      <c r="J111" s="591"/>
      <c r="K111" s="589"/>
      <c r="N111" s="1"/>
      <c r="O111" s="1"/>
      <c r="P111" s="1"/>
    </row>
    <row r="112" spans="2:16" ht="16" thickBot="1">
      <c r="B112" s="2612" t="s">
        <v>104</v>
      </c>
      <c r="C112" s="2613"/>
      <c r="D112" s="2614"/>
      <c r="E112" s="1711">
        <f>SUM(E101:E111)</f>
        <v>0</v>
      </c>
      <c r="F112" s="592"/>
      <c r="G112" s="592"/>
      <c r="H112" s="592"/>
      <c r="I112" s="122"/>
      <c r="J112" s="591"/>
      <c r="K112" s="589"/>
    </row>
    <row r="113" spans="2:16">
      <c r="B113" s="2653"/>
      <c r="C113" s="2654"/>
      <c r="D113" s="2654"/>
      <c r="E113" s="2654"/>
      <c r="F113" s="583"/>
      <c r="G113" s="359"/>
      <c r="H113" s="122"/>
      <c r="I113" s="591"/>
      <c r="J113" s="591"/>
      <c r="K113" s="589"/>
    </row>
    <row r="114" spans="2:16">
      <c r="B114" s="360"/>
      <c r="C114" s="359"/>
      <c r="D114" s="593"/>
      <c r="E114" s="594"/>
      <c r="F114" s="593"/>
      <c r="G114" s="122"/>
      <c r="H114" s="122"/>
      <c r="I114" s="591"/>
      <c r="J114" s="591"/>
      <c r="K114" s="589"/>
    </row>
    <row r="115" spans="2:16">
      <c r="B115" s="2644" t="str">
        <f>IF(('Wksht Print Separately'!C19="SBA 7a"),"SBA 7a","Not 7a, Guaranty Calculation not applicable")</f>
        <v>Not 7a, Guaranty Calculation not applicable</v>
      </c>
      <c r="C115" s="2645"/>
      <c r="D115" s="2645"/>
      <c r="E115" s="2645"/>
      <c r="F115" s="2645"/>
      <c r="G115" s="2645"/>
      <c r="H115" s="2645"/>
      <c r="I115" s="2645"/>
      <c r="J115" s="2645"/>
      <c r="K115" s="2646"/>
      <c r="N115" s="1"/>
      <c r="O115" s="1"/>
      <c r="P115" s="1"/>
    </row>
    <row r="116" spans="2:16">
      <c r="B116" s="121"/>
      <c r="C116" s="122"/>
      <c r="D116" s="122"/>
      <c r="E116" s="2431" t="s">
        <v>126</v>
      </c>
      <c r="F116" s="2432"/>
      <c r="G116" s="633">
        <f>P22</f>
        <v>0.75</v>
      </c>
      <c r="H116" s="595"/>
      <c r="I116" s="595"/>
      <c r="J116" s="595"/>
      <c r="K116" s="596"/>
    </row>
    <row r="117" spans="2:16">
      <c r="B117" s="2601" t="s">
        <v>132</v>
      </c>
      <c r="C117" s="2602"/>
      <c r="D117" s="2602"/>
      <c r="E117" s="2602"/>
      <c r="F117" s="2602"/>
      <c r="G117" s="2602"/>
      <c r="H117" s="2602"/>
      <c r="I117" s="2602"/>
      <c r="J117" s="2602"/>
      <c r="K117" s="2603"/>
    </row>
    <row r="118" spans="2:16">
      <c r="B118" s="2604" t="s">
        <v>134</v>
      </c>
      <c r="C118" s="2605"/>
      <c r="D118" s="2605"/>
      <c r="E118" s="2605"/>
      <c r="F118" s="2621"/>
      <c r="G118" s="2622"/>
      <c r="H118" s="597"/>
      <c r="I118" s="598"/>
      <c r="J118" s="598"/>
      <c r="K118" s="599"/>
    </row>
    <row r="119" spans="2:16">
      <c r="B119" s="2604" t="s">
        <v>136</v>
      </c>
      <c r="C119" s="2605"/>
      <c r="D119" s="2605"/>
      <c r="E119" s="2605"/>
      <c r="F119" s="2674"/>
      <c r="G119" s="2675"/>
      <c r="H119" s="600"/>
      <c r="I119" s="359"/>
      <c r="J119" s="598"/>
      <c r="K119" s="599"/>
    </row>
    <row r="120" spans="2:16">
      <c r="B120" s="2337" t="s">
        <v>138</v>
      </c>
      <c r="C120" s="2338"/>
      <c r="D120" s="2339"/>
      <c r="E120" s="2339"/>
      <c r="F120" s="2339"/>
      <c r="G120" s="2339"/>
      <c r="H120" s="2339"/>
      <c r="I120" s="2339"/>
      <c r="J120" s="2339"/>
      <c r="K120" s="2340"/>
    </row>
    <row r="121" spans="2:16">
      <c r="B121" s="2341" t="s">
        <v>140</v>
      </c>
      <c r="C121" s="2342"/>
      <c r="D121" s="2343"/>
      <c r="E121" s="2344"/>
      <c r="F121" s="2342" t="s">
        <v>141</v>
      </c>
      <c r="G121" s="2343"/>
      <c r="H121" s="2344"/>
      <c r="I121" s="2342" t="s">
        <v>142</v>
      </c>
      <c r="J121" s="2343"/>
      <c r="K121" s="2345"/>
    </row>
    <row r="122" spans="2:16">
      <c r="B122" s="360" t="s">
        <v>144</v>
      </c>
      <c r="C122" s="359"/>
      <c r="D122" s="1363"/>
      <c r="E122" s="1364">
        <f>IF(B115="SBA 7a",D59,0)</f>
        <v>0</v>
      </c>
      <c r="F122" s="361" t="s">
        <v>144</v>
      </c>
      <c r="G122" s="359"/>
      <c r="H122" s="601">
        <f>F118</f>
        <v>0</v>
      </c>
      <c r="I122" s="361" t="s">
        <v>144</v>
      </c>
      <c r="J122" s="359"/>
      <c r="K122" s="602">
        <f>H122+E122</f>
        <v>0</v>
      </c>
    </row>
    <row r="123" spans="2:16">
      <c r="B123" s="360" t="s">
        <v>146</v>
      </c>
      <c r="C123" s="359"/>
      <c r="D123" s="1365"/>
      <c r="E123" s="1366">
        <f>E122*G116</f>
        <v>0</v>
      </c>
      <c r="F123" s="361" t="s">
        <v>146</v>
      </c>
      <c r="G123" s="359"/>
      <c r="H123" s="601">
        <f>H122*F119</f>
        <v>0</v>
      </c>
      <c r="I123" s="361" t="s">
        <v>146</v>
      </c>
      <c r="J123" s="359"/>
      <c r="K123" s="602">
        <f>E123+H123</f>
        <v>0</v>
      </c>
    </row>
    <row r="124" spans="2:16">
      <c r="B124" s="360" t="s">
        <v>148</v>
      </c>
      <c r="C124" s="359"/>
      <c r="D124" s="1365"/>
      <c r="E124" s="1366">
        <f>SUM(E129:E133)</f>
        <v>0</v>
      </c>
      <c r="F124" s="361" t="s">
        <v>148</v>
      </c>
      <c r="G124" s="359"/>
      <c r="H124" s="601">
        <f>SUM(F129:G133)</f>
        <v>0</v>
      </c>
      <c r="I124" s="361" t="s">
        <v>148</v>
      </c>
      <c r="J124" s="359"/>
      <c r="K124" s="602">
        <f>SUM(I129:J133)</f>
        <v>0</v>
      </c>
    </row>
    <row r="125" spans="2:16">
      <c r="B125" s="362" t="s">
        <v>150</v>
      </c>
      <c r="C125" s="363"/>
      <c r="D125" s="1367"/>
      <c r="E125" s="1368">
        <f>IF(F118&gt;0,K124-H124-E124,0)</f>
        <v>0</v>
      </c>
      <c r="F125" s="364"/>
      <c r="G125" s="363"/>
      <c r="H125" s="603"/>
      <c r="I125" s="364"/>
      <c r="J125" s="363"/>
      <c r="K125" s="604"/>
    </row>
    <row r="126" spans="2:16" ht="16" thickBot="1">
      <c r="B126" s="365" t="s">
        <v>152</v>
      </c>
      <c r="C126" s="366"/>
      <c r="D126" s="1369"/>
      <c r="E126" s="1370">
        <f>ROUNDUP(E124+E125,-0.1)</f>
        <v>0</v>
      </c>
      <c r="F126" s="367" t="s">
        <v>152</v>
      </c>
      <c r="G126" s="366"/>
      <c r="H126" s="605">
        <f>ROUNDUP(H124+H125,-0.1)</f>
        <v>0</v>
      </c>
      <c r="I126" s="367" t="s">
        <v>152</v>
      </c>
      <c r="J126" s="366"/>
      <c r="K126" s="606">
        <f>ROUNDUP(K124+K125,-0.1)</f>
        <v>0</v>
      </c>
    </row>
    <row r="127" spans="2:16" ht="17" thickBot="1">
      <c r="B127" s="2367"/>
      <c r="C127" s="2368"/>
      <c r="D127" s="2368"/>
      <c r="E127" s="2368"/>
      <c r="F127" s="2368"/>
      <c r="G127" s="2368"/>
      <c r="H127" s="2368"/>
      <c r="I127" s="2368"/>
      <c r="J127" s="2368"/>
      <c r="K127" s="2369"/>
    </row>
    <row r="128" spans="2:16">
      <c r="B128" s="221" t="s">
        <v>155</v>
      </c>
      <c r="C128" s="119" t="s">
        <v>156</v>
      </c>
      <c r="D128" s="119"/>
      <c r="E128" s="119"/>
      <c r="F128" s="2372" t="s">
        <v>157</v>
      </c>
      <c r="G128" s="2372"/>
      <c r="H128" s="119"/>
      <c r="I128" s="119" t="s">
        <v>158</v>
      </c>
      <c r="J128" s="119" t="s">
        <v>156</v>
      </c>
      <c r="K128" s="120"/>
    </row>
    <row r="129" spans="2:11">
      <c r="B129" s="607" t="s">
        <v>160</v>
      </c>
      <c r="C129" s="608">
        <v>150000</v>
      </c>
      <c r="D129" s="871">
        <v>0.02</v>
      </c>
      <c r="E129" s="609">
        <f>IF($E$122&lt;=$C$129,$E$123*$D$129,0)</f>
        <v>0</v>
      </c>
      <c r="F129" s="1371"/>
      <c r="G129" s="1371">
        <f>IF($H$122&lt;=($C$129+1),$H$123*$D$129,0)</f>
        <v>0</v>
      </c>
      <c r="H129" s="122"/>
      <c r="I129" s="1361"/>
      <c r="J129" s="1361">
        <f>IF($K$122&lt;=($C$129+1),$K$123*$D$129,0)</f>
        <v>0</v>
      </c>
      <c r="K129" s="610"/>
    </row>
    <row r="130" spans="2:11">
      <c r="B130" s="1359">
        <v>150001</v>
      </c>
      <c r="C130" s="1344">
        <v>700000</v>
      </c>
      <c r="D130" s="871">
        <v>0.03</v>
      </c>
      <c r="E130" s="1717">
        <f>IF($E$122&gt;=($C$130+1),0,IF($E$122&gt;=$B$130,$E$123*$D$130,0))</f>
        <v>0</v>
      </c>
      <c r="F130" s="1371"/>
      <c r="G130" s="1717">
        <f>IF($H$122&gt;=($C$130+1),0,IF($H$122&gt;=$B$130,$H$123*$D$130,0))</f>
        <v>0</v>
      </c>
      <c r="H130" s="122"/>
      <c r="I130" s="1361"/>
      <c r="J130" s="1717">
        <f>IF($K$122&gt;=($C$130+1),0,IF($K$122&gt;=$B$130,$K$123*$D$130,0))</f>
        <v>0</v>
      </c>
      <c r="K130" s="610"/>
    </row>
    <row r="131" spans="2:11">
      <c r="B131" s="1766"/>
      <c r="C131" s="1767"/>
      <c r="D131" s="1768">
        <v>0</v>
      </c>
      <c r="E131" s="1769">
        <f>IF($E$122&gt;=($C$130+1),0,IF($E$123&gt;=$B$130,IF(E123&gt;1000000,(($E$123-1000000)*$D$131),0),0))</f>
        <v>0</v>
      </c>
      <c r="F131" s="1770"/>
      <c r="G131" s="1770">
        <f>IF($H$122&gt;=($C$130+1),0,IF($H$123&gt;=$B$130,IF(H123&gt;1000000,(($H$123-1000000)*$D$131),0),0))</f>
        <v>0</v>
      </c>
      <c r="H131" s="1771"/>
      <c r="I131" s="1772"/>
      <c r="J131" s="1772">
        <f>IF($K$122&gt;=($C$130+1),0,IF($K$123&gt;=$B$130,IF(K123&gt;1000000,(($K$123-1000000)*$D$131),0),0))</f>
        <v>0</v>
      </c>
      <c r="K131" s="1773"/>
    </row>
    <row r="132" spans="2:11">
      <c r="B132" s="1359">
        <v>700001</v>
      </c>
      <c r="C132" s="1344">
        <v>5000000</v>
      </c>
      <c r="D132" s="871">
        <v>3.5000000000000003E-2</v>
      </c>
      <c r="E132" s="609">
        <f>IF($E$122&gt;=($B$132),1000000*$D$132,0)</f>
        <v>0</v>
      </c>
      <c r="F132" s="1371"/>
      <c r="G132" s="1372">
        <f>IF($H$122&gt;=($B$132),1000000*$D$132,0)</f>
        <v>0</v>
      </c>
      <c r="H132" s="122"/>
      <c r="I132" s="1361"/>
      <c r="J132" s="1361">
        <f>IF($K$122&gt;=($B$132),1000000*$D$132,0)</f>
        <v>0</v>
      </c>
      <c r="K132" s="610"/>
    </row>
    <row r="133" spans="2:11" ht="16" thickBot="1">
      <c r="B133" s="1360"/>
      <c r="C133" s="1345"/>
      <c r="D133" s="872">
        <v>3.7499999999999999E-2</v>
      </c>
      <c r="E133" s="611">
        <f>IF($E$122&gt;=($B$132),(E123-1000000)*$D$133,0)</f>
        <v>0</v>
      </c>
      <c r="F133" s="1373"/>
      <c r="G133" s="1373">
        <f>IF($H$122&gt;=($B$132),(H123-1000000)*$D$133,0)</f>
        <v>0</v>
      </c>
      <c r="H133" s="124"/>
      <c r="I133" s="1362"/>
      <c r="J133" s="1362">
        <f>IF($K$122&gt;=($B$132),(K123-1000000)*$D$133,0)</f>
        <v>0</v>
      </c>
      <c r="K133" s="612"/>
    </row>
    <row r="134" spans="2:11">
      <c r="C134" s="220"/>
    </row>
    <row r="135" spans="2:11">
      <c r="B135" s="222"/>
      <c r="C135" s="223"/>
    </row>
    <row r="136" spans="2:11">
      <c r="B136" s="222"/>
      <c r="C136" s="223"/>
    </row>
    <row r="137" spans="2:11">
      <c r="C137" s="223"/>
    </row>
  </sheetData>
  <sheetProtection algorithmName="SHA-512" hashValue="aiIN0kxVRUnsBIDuE/X0BQPrIFWCOXLxzewabmhqTzzmIVu78n6sHwT98RiMPKnZzeCArc/2c2f2tKGW+Nvoeg==" saltValue="Bq+lxvQSPc6fn9i2hu6Y2g==" spinCount="100000" sheet="1" scenarios="1" formatCells="0" formatColumns="0" formatRows="0"/>
  <customSheetViews>
    <customSheetView guid="{EDC0EC15-0264-48C8-A990-093960AE8EF3}" scale="85" showGridLines="0" printArea="1">
      <selection activeCell="A3" sqref="A3:J3"/>
      <rowBreaks count="1" manualBreakCount="1">
        <brk id="65" max="9" man="1"/>
      </rowBreaks>
      <pageMargins left="0" right="0" top="0" bottom="0" header="0" footer="0"/>
      <printOptions horizontalCentered="1"/>
      <pageSetup scale="63" orientation="portrait" r:id="rId1"/>
      <headerFooter differentFirst="1">
        <firstHeader>&amp;L&amp;G&amp;C&amp;8
&amp;18Credit Memo</firstHeader>
      </headerFooter>
    </customSheetView>
    <customSheetView guid="{6E1FDEE6-49D0-4876-8C7C-09893145D2CE}" scale="85" showGridLines="0" printArea="1">
      <selection activeCell="A3" sqref="A3:J3"/>
      <rowBreaks count="1" manualBreakCount="1">
        <brk id="65" max="9" man="1"/>
      </rowBreaks>
      <pageMargins left="0" right="0" top="0" bottom="0" header="0" footer="0"/>
      <printOptions horizontalCentered="1"/>
      <pageSetup scale="63" orientation="portrait" r:id="rId2"/>
      <headerFooter differentFirst="1">
        <firstHeader>&amp;L&amp;G&amp;C&amp;8
&amp;18Credit Memo</firstHeader>
      </headerFooter>
    </customSheetView>
    <customSheetView guid="{DB1F6E98-7FCC-445F-9DA6-47D8BF8BE969}" scale="85" showGridLines="0" printArea="1">
      <selection activeCell="M1" sqref="M1:O1"/>
      <rowBreaks count="1" manualBreakCount="1">
        <brk id="65" max="9" man="1"/>
      </rowBreaks>
      <pageMargins left="0" right="0" top="0" bottom="0" header="0" footer="0"/>
      <printOptions horizontalCentered="1"/>
      <pageSetup scale="63" orientation="portrait" r:id="rId3"/>
      <headerFooter differentFirst="1">
        <firstHeader>&amp;L&amp;G&amp;C&amp;8
&amp;18Credit Memo</firstHeader>
      </headerFooter>
    </customSheetView>
    <customSheetView guid="{C02CA8E5-5D4C-45E5-BC4A-4C9BE481059B}" scale="85" showGridLines="0" printArea="1">
      <selection activeCell="M1" sqref="M1:O1"/>
      <rowBreaks count="1" manualBreakCount="1">
        <brk id="65" max="9" man="1"/>
      </rowBreaks>
      <pageMargins left="0" right="0" top="0" bottom="0" header="0" footer="0"/>
      <printOptions horizontalCentered="1"/>
      <pageSetup scale="63" orientation="portrait" r:id="rId4"/>
      <headerFooter differentFirst="1">
        <firstHeader>&amp;L&amp;G&amp;C&amp;8
&amp;18Credit Memo</firstHeader>
      </headerFooter>
    </customSheetView>
  </customSheetViews>
  <mergeCells count="151">
    <mergeCell ref="B49:C49"/>
    <mergeCell ref="B87:C87"/>
    <mergeCell ref="B86:C86"/>
    <mergeCell ref="B53:C53"/>
    <mergeCell ref="D87:E87"/>
    <mergeCell ref="B59:C59"/>
    <mergeCell ref="B60:C60"/>
    <mergeCell ref="B65:C65"/>
    <mergeCell ref="B75:C75"/>
    <mergeCell ref="D63:D64"/>
    <mergeCell ref="E63:E64"/>
    <mergeCell ref="B1:K1"/>
    <mergeCell ref="B31:C31"/>
    <mergeCell ref="B50:C50"/>
    <mergeCell ref="B38:C38"/>
    <mergeCell ref="B39:C39"/>
    <mergeCell ref="B42:C42"/>
    <mergeCell ref="B43:C43"/>
    <mergeCell ref="B44:C44"/>
    <mergeCell ref="B41:K41"/>
    <mergeCell ref="B35:K35"/>
    <mergeCell ref="B40:K40"/>
    <mergeCell ref="B27:C27"/>
    <mergeCell ref="B28:C28"/>
    <mergeCell ref="B29:C29"/>
    <mergeCell ref="B30:C30"/>
    <mergeCell ref="B32:C32"/>
    <mergeCell ref="B5:C5"/>
    <mergeCell ref="B6:C6"/>
    <mergeCell ref="B11:C11"/>
    <mergeCell ref="B18:C18"/>
    <mergeCell ref="B45:C45"/>
    <mergeCell ref="B46:C46"/>
    <mergeCell ref="B47:C47"/>
    <mergeCell ref="B48:C48"/>
    <mergeCell ref="P6:Q6"/>
    <mergeCell ref="N6:O6"/>
    <mergeCell ref="B13:C13"/>
    <mergeCell ref="B14:C14"/>
    <mergeCell ref="N16:O16"/>
    <mergeCell ref="P16:Q16"/>
    <mergeCell ref="N17:O17"/>
    <mergeCell ref="N18:O18"/>
    <mergeCell ref="P19:Q19"/>
    <mergeCell ref="B15:K15"/>
    <mergeCell ref="B16:K16"/>
    <mergeCell ref="B17:C17"/>
    <mergeCell ref="F17:G17"/>
    <mergeCell ref="N13:O13"/>
    <mergeCell ref="P13:Q13"/>
    <mergeCell ref="N14:O14"/>
    <mergeCell ref="P14:Q14"/>
    <mergeCell ref="N9:O9"/>
    <mergeCell ref="P9:Q9"/>
    <mergeCell ref="N15:O15"/>
    <mergeCell ref="P15:Q15"/>
    <mergeCell ref="N7:O7"/>
    <mergeCell ref="N8:O8"/>
    <mergeCell ref="N10:O10"/>
    <mergeCell ref="B4:C4"/>
    <mergeCell ref="B7:C7"/>
    <mergeCell ref="B8:C8"/>
    <mergeCell ref="B9:C9"/>
    <mergeCell ref="B10:C10"/>
    <mergeCell ref="B2:C2"/>
    <mergeCell ref="B12:C12"/>
    <mergeCell ref="F119:G119"/>
    <mergeCell ref="B72:C72"/>
    <mergeCell ref="B73:C73"/>
    <mergeCell ref="B74:C74"/>
    <mergeCell ref="B57:C57"/>
    <mergeCell ref="B54:C54"/>
    <mergeCell ref="B89:C90"/>
    <mergeCell ref="B33:C33"/>
    <mergeCell ref="B25:C25"/>
    <mergeCell ref="B20:C20"/>
    <mergeCell ref="B21:C21"/>
    <mergeCell ref="B23:C23"/>
    <mergeCell ref="F63:F64"/>
    <mergeCell ref="G63:G64"/>
    <mergeCell ref="B69:C69"/>
    <mergeCell ref="B70:C70"/>
    <mergeCell ref="B71:C71"/>
    <mergeCell ref="N11:O11"/>
    <mergeCell ref="N12:O12"/>
    <mergeCell ref="P7:Q7"/>
    <mergeCell ref="P8:Q8"/>
    <mergeCell ref="P10:Q10"/>
    <mergeCell ref="P11:Q11"/>
    <mergeCell ref="P12:Q12"/>
    <mergeCell ref="B55:C55"/>
    <mergeCell ref="B56:C56"/>
    <mergeCell ref="B52:C52"/>
    <mergeCell ref="B19:C19"/>
    <mergeCell ref="B24:C24"/>
    <mergeCell ref="P31:Q31"/>
    <mergeCell ref="P32:Q32"/>
    <mergeCell ref="N19:O19"/>
    <mergeCell ref="B26:C26"/>
    <mergeCell ref="B22:C22"/>
    <mergeCell ref="B37:C37"/>
    <mergeCell ref="N35:O35"/>
    <mergeCell ref="N26:O26"/>
    <mergeCell ref="N28:O28"/>
    <mergeCell ref="P20:Q20"/>
    <mergeCell ref="N20:O20"/>
    <mergeCell ref="P33:Q33"/>
    <mergeCell ref="H63:H64"/>
    <mergeCell ref="B85:K85"/>
    <mergeCell ref="B62:K62"/>
    <mergeCell ref="B115:K115"/>
    <mergeCell ref="E116:F116"/>
    <mergeCell ref="B98:D98"/>
    <mergeCell ref="B99:D99"/>
    <mergeCell ref="B88:K88"/>
    <mergeCell ref="B113:E113"/>
    <mergeCell ref="B91:K91"/>
    <mergeCell ref="B92:C93"/>
    <mergeCell ref="D93:E93"/>
    <mergeCell ref="F93:K93"/>
    <mergeCell ref="J97:K97"/>
    <mergeCell ref="I63:I64"/>
    <mergeCell ref="B78:K78"/>
    <mergeCell ref="F87:K87"/>
    <mergeCell ref="N30:Q30"/>
    <mergeCell ref="P34:Q34"/>
    <mergeCell ref="N21:O21"/>
    <mergeCell ref="N23:O23"/>
    <mergeCell ref="P23:Q23"/>
    <mergeCell ref="P21:Q21"/>
    <mergeCell ref="N22:O22"/>
    <mergeCell ref="P22:Q22"/>
    <mergeCell ref="P17:Q17"/>
    <mergeCell ref="P18:Q18"/>
    <mergeCell ref="F128:G128"/>
    <mergeCell ref="B127:K127"/>
    <mergeCell ref="B97:D97"/>
    <mergeCell ref="B120:K120"/>
    <mergeCell ref="B121:E121"/>
    <mergeCell ref="F121:H121"/>
    <mergeCell ref="B117:K117"/>
    <mergeCell ref="B118:E118"/>
    <mergeCell ref="F90:K90"/>
    <mergeCell ref="D90:E90"/>
    <mergeCell ref="B94:K94"/>
    <mergeCell ref="B112:D112"/>
    <mergeCell ref="B96:K96"/>
    <mergeCell ref="B100:E100"/>
    <mergeCell ref="I121:K121"/>
    <mergeCell ref="F118:G118"/>
    <mergeCell ref="B119:E119"/>
  </mergeCells>
  <conditionalFormatting sqref="G75">
    <cfRule type="cellIs" dxfId="44" priority="5" operator="notEqual">
      <formula>$B$84</formula>
    </cfRule>
  </conditionalFormatting>
  <conditionalFormatting sqref="E9:H13">
    <cfRule type="expression" dxfId="43" priority="4">
      <formula>$P$6=504</formula>
    </cfRule>
  </conditionalFormatting>
  <hyperlinks>
    <hyperlink ref="N1" location="Index!A1" display="Index" xr:uid="{00000000-0004-0000-0400-000000000000}"/>
  </hyperlinks>
  <printOptions horizontalCentered="1"/>
  <pageMargins left="0.7" right="0.7" top="0.75" bottom="0.75" header="0.3" footer="0.3"/>
  <pageSetup scale="51" orientation="portrait" r:id="rId5"/>
  <headerFooter differentFirst="1">
    <firstHeader>&amp;L&amp;G&amp;C&amp;8
&amp;18Credit Memo</firstHeader>
  </headerFooter>
  <rowBreaks count="1" manualBreakCount="1">
    <brk id="93" min="1" max="10" man="1"/>
  </rowBreaks>
  <ignoredErrors>
    <ignoredError sqref="J8:K8 K4 J21:K23 J12:K12 J10:K10 J17:K18" unlockedFormula="1"/>
  </ignoredErrors>
  <drawing r:id="rId6"/>
  <legacyDrawing r:id="rId7"/>
  <mc:AlternateContent xmlns:mc="http://schemas.openxmlformats.org/markup-compatibility/2006">
    <mc:Choice Requires="x14">
      <controls>
        <mc:AlternateContent xmlns:mc="http://schemas.openxmlformats.org/markup-compatibility/2006">
          <mc:Choice Requires="x14">
            <control shapeId="474114" r:id="rId8" name="Button 2">
              <controlPr defaultSize="0" print="0" autoFill="0" autoPict="0" macro="[0]!UW_Proj_ADJ">
                <anchor moveWithCells="1" sizeWithCells="1">
                  <from>
                    <xdr:col>13</xdr:col>
                    <xdr:colOff>647700</xdr:colOff>
                    <xdr:row>24</xdr:row>
                    <xdr:rowOff>127000</xdr:rowOff>
                  </from>
                  <to>
                    <xdr:col>16</xdr:col>
                    <xdr:colOff>177800</xdr:colOff>
                    <xdr:row>26</xdr:row>
                    <xdr:rowOff>76200</xdr:rowOff>
                  </to>
                </anchor>
              </controlPr>
            </control>
          </mc:Choice>
        </mc:AlternateContent>
        <mc:AlternateContent xmlns:mc="http://schemas.openxmlformats.org/markup-compatibility/2006">
          <mc:Choice Requires="x14">
            <control shapeId="474116" r:id="rId9" name="Button 4">
              <controlPr defaultSize="0" print="0" autoFill="0" autoPict="0" macro="[0]!UW_504_Proj_ADJ">
                <anchor moveWithCells="1" sizeWithCells="1">
                  <from>
                    <xdr:col>13</xdr:col>
                    <xdr:colOff>635000</xdr:colOff>
                    <xdr:row>27</xdr:row>
                    <xdr:rowOff>63500</xdr:rowOff>
                  </from>
                  <to>
                    <xdr:col>16</xdr:col>
                    <xdr:colOff>215900</xdr:colOff>
                    <xdr:row>29</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400-000001000000}">
          <x14:formula1>
            <xm:f>Lists!$A$48:$A$51</xm:f>
          </x14:formula1>
          <xm:sqref>B80</xm:sqref>
        </x14:dataValidation>
        <x14:dataValidation type="list" allowBlank="1" showInputMessage="1" showErrorMessage="1" xr:uid="{3D45221D-32A8-4CD6-B061-2E1DA0973F5B}">
          <x14:formula1>
            <xm:f>Lists!$C$62:$C$65</xm:f>
          </x14:formula1>
          <xm:sqref>P17</xm:sqref>
        </x14:dataValidation>
        <x14:dataValidation type="list" showInputMessage="1" showErrorMessage="1" xr:uid="{E8DB5890-6EBE-46A2-88D5-A428970932A4}">
          <x14:formula1>
            <xm:f>Lists!$B$2:$B$9</xm:f>
          </x14:formula1>
          <xm:sqref>P6</xm:sqref>
        </x14:dataValidation>
        <x14:dataValidation type="list" allowBlank="1" showInputMessage="1" showErrorMessage="1" xr:uid="{FB4718C4-7FA3-4303-B388-738EAFA9517E}">
          <x14:formula1>
            <xm:f>Lists!$A$80:$A$83</xm:f>
          </x14:formula1>
          <xm:sqref>P9:Q9</xm:sqref>
        </x14:dataValidation>
        <x14:dataValidation type="list" allowBlank="1" showInputMessage="1" showErrorMessage="1" xr:uid="{8B728677-5CEA-4266-B4F0-F00138B161CE}">
          <x14:formula1>
            <xm:f>Lists!$E$53:$E$55</xm:f>
          </x14:formula1>
          <xm:sqref>P13:Q13</xm:sqref>
        </x14:dataValidation>
        <x14:dataValidation type="list" allowBlank="1" showInputMessage="1" showErrorMessage="1" xr:uid="{8471AF49-2730-4B5E-B84E-963FFAC549FB}">
          <x14:formula1>
            <xm:f>Lists!$A$30:$A$34</xm:f>
          </x14:formula1>
          <xm:sqref>P14:Q14</xm:sqref>
        </x14:dataValidation>
        <x14:dataValidation type="list" allowBlank="1" showInputMessage="1" showErrorMessage="1" xr:uid="{E9DF1966-6A57-4723-A253-8A405C463C83}">
          <x14:formula1>
            <xm:f>Lists!$C$8:$C$10</xm:f>
          </x14:formula1>
          <xm:sqref>P15:Q15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autoPageBreaks="0"/>
  </sheetPr>
  <dimension ref="B1:Q133"/>
  <sheetViews>
    <sheetView showGridLines="0" zoomScale="85" zoomScaleNormal="85" workbookViewId="0">
      <selection activeCell="G130" sqref="G130"/>
    </sheetView>
  </sheetViews>
  <sheetFormatPr baseColWidth="10" defaultColWidth="8.83203125" defaultRowHeight="15"/>
  <cols>
    <col min="1" max="1" width="5.6640625" customWidth="1"/>
    <col min="2" max="2" width="35" customWidth="1"/>
    <col min="3" max="3" width="12.6640625" customWidth="1"/>
    <col min="4" max="4" width="18.5" bestFit="1" customWidth="1"/>
    <col min="5" max="5" width="12.5" bestFit="1" customWidth="1"/>
    <col min="6" max="6" width="12.33203125" customWidth="1"/>
    <col min="7" max="7" width="13.33203125" customWidth="1"/>
    <col min="8" max="8" width="15.33203125" customWidth="1"/>
    <col min="9" max="9" width="13.5" customWidth="1"/>
    <col min="10" max="10" width="11.33203125" customWidth="1"/>
    <col min="11" max="11" width="13.33203125" customWidth="1"/>
    <col min="13" max="13" width="9.6640625" customWidth="1"/>
    <col min="14" max="15" width="12" customWidth="1"/>
  </cols>
  <sheetData>
    <row r="1" spans="2:17">
      <c r="B1" s="2694" t="s">
        <v>522</v>
      </c>
      <c r="C1" s="2695"/>
      <c r="D1" s="2696"/>
      <c r="E1" s="2696"/>
      <c r="F1" s="2696"/>
      <c r="G1" s="2696"/>
      <c r="H1" s="2696"/>
      <c r="I1" s="2696"/>
      <c r="J1" s="2696"/>
      <c r="K1" s="2697"/>
      <c r="N1" s="1741"/>
      <c r="O1" s="1741"/>
      <c r="P1" s="1741"/>
    </row>
    <row r="2" spans="2:17" ht="32">
      <c r="B2" s="2672"/>
      <c r="C2" s="2673"/>
      <c r="D2" s="210" t="s">
        <v>105</v>
      </c>
      <c r="E2" s="211" t="s">
        <v>106</v>
      </c>
      <c r="F2" s="210" t="s">
        <v>127</v>
      </c>
      <c r="G2" s="210" t="s">
        <v>128</v>
      </c>
      <c r="H2" s="211" t="s">
        <v>104</v>
      </c>
      <c r="I2" s="211" t="s">
        <v>129</v>
      </c>
      <c r="J2" s="211" t="s">
        <v>130</v>
      </c>
      <c r="K2" s="212" t="s">
        <v>131</v>
      </c>
      <c r="N2" s="1"/>
      <c r="O2" s="1"/>
      <c r="P2" s="1"/>
    </row>
    <row r="3" spans="2:17" ht="16" thickBot="1">
      <c r="B3" s="225" t="s">
        <v>133</v>
      </c>
      <c r="C3" s="371"/>
      <c r="D3" s="371"/>
      <c r="E3" s="371"/>
      <c r="F3" s="371"/>
      <c r="G3" s="371"/>
      <c r="H3" s="230"/>
      <c r="I3" s="371"/>
      <c r="J3" s="371"/>
      <c r="K3" s="372"/>
      <c r="N3" s="1"/>
      <c r="O3" s="1"/>
      <c r="P3" s="1"/>
    </row>
    <row r="4" spans="2:17">
      <c r="B4" s="2593" t="s">
        <v>135</v>
      </c>
      <c r="C4" s="2594"/>
      <c r="D4" s="503">
        <f>H4-SUM(E4:G4)</f>
        <v>0</v>
      </c>
      <c r="E4" s="45"/>
      <c r="F4" s="45"/>
      <c r="G4" s="339"/>
      <c r="H4" s="341"/>
      <c r="I4" s="340">
        <v>25</v>
      </c>
      <c r="J4" s="504">
        <f t="shared" ref="J4:J14" si="0">IF($D$64=0,0,D4/$D$64)</f>
        <v>0</v>
      </c>
      <c r="K4" s="505">
        <f>I4*J4</f>
        <v>0</v>
      </c>
      <c r="N4" s="1"/>
      <c r="O4" s="1"/>
      <c r="P4" s="1"/>
    </row>
    <row r="5" spans="2:17">
      <c r="B5" s="2593" t="s">
        <v>137</v>
      </c>
      <c r="C5" s="2594"/>
      <c r="D5" s="503">
        <f t="shared" ref="D5:D13" si="1">H5-SUM(E5:G5)</f>
        <v>0</v>
      </c>
      <c r="E5" s="45"/>
      <c r="F5" s="45"/>
      <c r="G5" s="339"/>
      <c r="H5" s="342"/>
      <c r="I5" s="340">
        <v>25</v>
      </c>
      <c r="J5" s="504">
        <f t="shared" si="0"/>
        <v>0</v>
      </c>
      <c r="K5" s="505">
        <f>I5*J5</f>
        <v>0</v>
      </c>
    </row>
    <row r="6" spans="2:17">
      <c r="B6" s="2593" t="s">
        <v>139</v>
      </c>
      <c r="C6" s="2594"/>
      <c r="D6" s="503">
        <f t="shared" si="1"/>
        <v>0</v>
      </c>
      <c r="E6" s="45"/>
      <c r="F6" s="45"/>
      <c r="G6" s="339"/>
      <c r="H6" s="342"/>
      <c r="I6" s="340">
        <v>10</v>
      </c>
      <c r="J6" s="504">
        <f t="shared" si="0"/>
        <v>0</v>
      </c>
      <c r="K6" s="505">
        <f>I6*J6</f>
        <v>0</v>
      </c>
      <c r="N6" s="2679" t="s">
        <v>108</v>
      </c>
      <c r="O6" s="2680"/>
      <c r="P6" s="2678"/>
      <c r="Q6" s="2678"/>
    </row>
    <row r="7" spans="2:17">
      <c r="B7" s="2593" t="s">
        <v>143</v>
      </c>
      <c r="C7" s="2594"/>
      <c r="D7" s="503">
        <f t="shared" si="1"/>
        <v>0</v>
      </c>
      <c r="E7" s="45"/>
      <c r="F7" s="45"/>
      <c r="G7" s="339"/>
      <c r="H7" s="342"/>
      <c r="I7" s="340">
        <v>10</v>
      </c>
      <c r="J7" s="504">
        <f t="shared" si="0"/>
        <v>0</v>
      </c>
      <c r="K7" s="505">
        <f>I7*J7</f>
        <v>0</v>
      </c>
      <c r="N7" s="2625" t="s">
        <v>144</v>
      </c>
      <c r="O7" s="2626"/>
      <c r="P7" s="2665">
        <f>IF(P6=504,D66,D59)</f>
        <v>0</v>
      </c>
      <c r="Q7" s="2665"/>
    </row>
    <row r="8" spans="2:17">
      <c r="B8" s="2593" t="s">
        <v>145</v>
      </c>
      <c r="C8" s="2594"/>
      <c r="D8" s="503">
        <f t="shared" si="1"/>
        <v>0</v>
      </c>
      <c r="E8" s="45"/>
      <c r="F8" s="45"/>
      <c r="G8" s="339"/>
      <c r="H8" s="342"/>
      <c r="I8" s="340">
        <v>10</v>
      </c>
      <c r="J8" s="504">
        <f t="shared" si="0"/>
        <v>0</v>
      </c>
      <c r="K8" s="505">
        <f t="shared" ref="K8:K13" si="2">I8*J8</f>
        <v>0</v>
      </c>
      <c r="N8" s="2625" t="s">
        <v>523</v>
      </c>
      <c r="O8" s="2626"/>
      <c r="P8" s="2718"/>
      <c r="Q8" s="2718"/>
    </row>
    <row r="9" spans="2:17">
      <c r="B9" s="2593" t="s">
        <v>147</v>
      </c>
      <c r="C9" s="2594"/>
      <c r="D9" s="503">
        <f t="shared" si="1"/>
        <v>0</v>
      </c>
      <c r="E9" s="45"/>
      <c r="F9" s="45"/>
      <c r="G9" s="339"/>
      <c r="H9" s="342"/>
      <c r="I9" s="340">
        <v>10</v>
      </c>
      <c r="J9" s="504">
        <f t="shared" si="0"/>
        <v>0</v>
      </c>
      <c r="K9" s="505">
        <f>I9*J9</f>
        <v>0</v>
      </c>
      <c r="N9" s="2625" t="s">
        <v>524</v>
      </c>
      <c r="O9" s="2626"/>
      <c r="P9" s="2693"/>
      <c r="Q9" s="2693"/>
    </row>
    <row r="10" spans="2:17">
      <c r="B10" s="2593" t="s">
        <v>149</v>
      </c>
      <c r="C10" s="2594"/>
      <c r="D10" s="503">
        <f t="shared" si="1"/>
        <v>0</v>
      </c>
      <c r="E10" s="45"/>
      <c r="F10" s="45"/>
      <c r="G10" s="339"/>
      <c r="H10" s="342"/>
      <c r="I10" s="340">
        <v>10</v>
      </c>
      <c r="J10" s="504">
        <f t="shared" si="0"/>
        <v>0</v>
      </c>
      <c r="K10" s="505">
        <f t="shared" si="2"/>
        <v>0</v>
      </c>
      <c r="N10" s="2625" t="s">
        <v>112</v>
      </c>
      <c r="O10" s="2626"/>
      <c r="P10" s="2667"/>
      <c r="Q10" s="2667"/>
    </row>
    <row r="11" spans="2:17">
      <c r="B11" s="2593" t="s">
        <v>151</v>
      </c>
      <c r="C11" s="2594"/>
      <c r="D11" s="503">
        <f t="shared" si="1"/>
        <v>0</v>
      </c>
      <c r="E11" s="45"/>
      <c r="F11" s="45"/>
      <c r="G11" s="339"/>
      <c r="H11" s="342"/>
      <c r="I11" s="340">
        <v>10</v>
      </c>
      <c r="J11" s="504">
        <f t="shared" si="0"/>
        <v>0</v>
      </c>
      <c r="K11" s="505">
        <f t="shared" si="2"/>
        <v>0</v>
      </c>
      <c r="N11" s="2625" t="s">
        <v>113</v>
      </c>
      <c r="O11" s="2626"/>
      <c r="P11" s="2667"/>
      <c r="Q11" s="2667"/>
    </row>
    <row r="12" spans="2:17">
      <c r="B12" s="2593" t="s">
        <v>153</v>
      </c>
      <c r="C12" s="2594"/>
      <c r="D12" s="503">
        <f t="shared" si="1"/>
        <v>0</v>
      </c>
      <c r="E12" s="45"/>
      <c r="F12" s="45"/>
      <c r="G12" s="339"/>
      <c r="H12" s="342"/>
      <c r="I12" s="340">
        <v>10</v>
      </c>
      <c r="J12" s="504">
        <f t="shared" si="0"/>
        <v>0</v>
      </c>
      <c r="K12" s="505">
        <f t="shared" si="2"/>
        <v>0</v>
      </c>
      <c r="N12" s="2625" t="s">
        <v>115</v>
      </c>
      <c r="O12" s="2626"/>
      <c r="P12" s="2668">
        <f>P10+P11</f>
        <v>0</v>
      </c>
      <c r="Q12" s="2668"/>
    </row>
    <row r="13" spans="2:17" ht="16" thickBot="1">
      <c r="B13" s="2593" t="s">
        <v>154</v>
      </c>
      <c r="C13" s="2594"/>
      <c r="D13" s="503">
        <f t="shared" si="1"/>
        <v>0</v>
      </c>
      <c r="E13" s="45"/>
      <c r="F13" s="45"/>
      <c r="G13" s="339"/>
      <c r="H13" s="343"/>
      <c r="I13" s="340">
        <v>10</v>
      </c>
      <c r="J13" s="504">
        <f t="shared" si="0"/>
        <v>0</v>
      </c>
      <c r="K13" s="505">
        <f t="shared" si="2"/>
        <v>0</v>
      </c>
      <c r="N13" s="2625" t="s">
        <v>373</v>
      </c>
      <c r="O13" s="2626"/>
      <c r="P13" s="2692"/>
      <c r="Q13" s="2692"/>
    </row>
    <row r="14" spans="2:17">
      <c r="B14" s="2669" t="s">
        <v>525</v>
      </c>
      <c r="C14" s="2670"/>
      <c r="D14" s="503">
        <f>SUM(D4:D13)</f>
        <v>0</v>
      </c>
      <c r="E14" s="503">
        <f>SUM(E4:E13)</f>
        <v>0</v>
      </c>
      <c r="F14" s="503">
        <f>SUM(F4:F13)</f>
        <v>0</v>
      </c>
      <c r="G14" s="503">
        <f>SUM(G4:G13)</f>
        <v>0</v>
      </c>
      <c r="H14" s="521">
        <f>SUM(H4:H13)</f>
        <v>0</v>
      </c>
      <c r="I14" s="143"/>
      <c r="J14" s="504">
        <f t="shared" si="0"/>
        <v>0</v>
      </c>
      <c r="K14" s="505"/>
      <c r="N14" s="2625" t="s">
        <v>374</v>
      </c>
      <c r="O14" s="2626"/>
      <c r="P14" s="2692"/>
      <c r="Q14" s="2692"/>
    </row>
    <row r="15" spans="2:17">
      <c r="B15" s="2682"/>
      <c r="C15" s="2683"/>
      <c r="D15" s="2683"/>
      <c r="E15" s="2683"/>
      <c r="F15" s="2683"/>
      <c r="G15" s="2683"/>
      <c r="H15" s="2683"/>
      <c r="I15" s="2683"/>
      <c r="J15" s="2683"/>
      <c r="K15" s="2684"/>
      <c r="N15" s="2625" t="s">
        <v>387</v>
      </c>
      <c r="O15" s="2626"/>
      <c r="P15" s="2692"/>
      <c r="Q15" s="2692"/>
    </row>
    <row r="16" spans="2:17" ht="16" thickBot="1">
      <c r="B16" s="2685" t="s">
        <v>102</v>
      </c>
      <c r="C16" s="2686"/>
      <c r="D16" s="2687"/>
      <c r="E16" s="2686"/>
      <c r="F16" s="2686"/>
      <c r="G16" s="2686"/>
      <c r="H16" s="2686"/>
      <c r="I16" s="2686"/>
      <c r="J16" s="2686"/>
      <c r="K16" s="2688"/>
      <c r="N16" s="2625" t="s">
        <v>526</v>
      </c>
      <c r="O16" s="2626"/>
      <c r="P16" s="2681"/>
      <c r="Q16" s="2681"/>
    </row>
    <row r="17" spans="2:17" ht="16" thickBot="1">
      <c r="B17" s="2593" t="s">
        <v>527</v>
      </c>
      <c r="C17" s="2689"/>
      <c r="D17" s="369"/>
      <c r="E17" s="520">
        <f>H17-D17</f>
        <v>0</v>
      </c>
      <c r="F17" s="2690"/>
      <c r="G17" s="2691"/>
      <c r="H17" s="522">
        <f>SUM(E98:E99)</f>
        <v>0</v>
      </c>
      <c r="I17" s="27">
        <v>10</v>
      </c>
      <c r="J17" s="504">
        <f t="shared" ref="J17:J30" si="3">IF($D$60=0,0,D17/$D$60)</f>
        <v>0</v>
      </c>
      <c r="K17" s="505">
        <f t="shared" ref="K17:K33" si="4">I17*J17</f>
        <v>0</v>
      </c>
      <c r="N17" s="2625" t="s">
        <v>117</v>
      </c>
      <c r="O17" s="2626"/>
      <c r="P17" s="2634"/>
      <c r="Q17" s="2634"/>
    </row>
    <row r="18" spans="2:17">
      <c r="B18" s="2593" t="s">
        <v>124</v>
      </c>
      <c r="C18" s="2594"/>
      <c r="D18" s="521">
        <f t="shared" ref="D18:D32" si="5">H18-SUM(E18:G18)</f>
        <v>0</v>
      </c>
      <c r="E18" s="45"/>
      <c r="F18" s="45"/>
      <c r="G18" s="339"/>
      <c r="H18" s="341"/>
      <c r="I18" s="340">
        <v>10</v>
      </c>
      <c r="J18" s="504">
        <f t="shared" si="3"/>
        <v>0</v>
      </c>
      <c r="K18" s="505">
        <f t="shared" si="4"/>
        <v>0</v>
      </c>
      <c r="N18" s="2625" t="s">
        <v>120</v>
      </c>
      <c r="O18" s="2626"/>
      <c r="P18" s="2635"/>
      <c r="Q18" s="2635"/>
    </row>
    <row r="19" spans="2:17">
      <c r="B19" s="2593" t="s">
        <v>114</v>
      </c>
      <c r="C19" s="2594"/>
      <c r="D19" s="521">
        <f t="shared" si="5"/>
        <v>0</v>
      </c>
      <c r="E19" s="45"/>
      <c r="F19" s="45"/>
      <c r="G19" s="339"/>
      <c r="H19" s="664"/>
      <c r="I19" s="340">
        <v>10</v>
      </c>
      <c r="J19" s="504">
        <f t="shared" si="3"/>
        <v>0</v>
      </c>
      <c r="K19" s="505">
        <f t="shared" ref="K19" si="6">I19*J19</f>
        <v>0</v>
      </c>
      <c r="N19" s="2625" t="s">
        <v>121</v>
      </c>
      <c r="O19" s="2626"/>
      <c r="P19" s="2635"/>
      <c r="Q19" s="2635"/>
    </row>
    <row r="20" spans="2:17">
      <c r="B20" s="2593" t="s">
        <v>513</v>
      </c>
      <c r="C20" s="2594"/>
      <c r="D20" s="503">
        <f t="shared" si="5"/>
        <v>0</v>
      </c>
      <c r="E20" s="45"/>
      <c r="F20" s="45"/>
      <c r="G20" s="339"/>
      <c r="H20" s="342"/>
      <c r="I20" s="340">
        <v>10</v>
      </c>
      <c r="J20" s="504">
        <f t="shared" si="3"/>
        <v>0</v>
      </c>
      <c r="K20" s="505">
        <f t="shared" ref="K20" si="7">I20*J20</f>
        <v>0</v>
      </c>
      <c r="L20" s="25"/>
      <c r="N20" s="2625" t="s">
        <v>122</v>
      </c>
      <c r="O20" s="2626"/>
      <c r="P20" s="2629">
        <f>'Wksht Print Separately'!I70</f>
        <v>0</v>
      </c>
      <c r="Q20" s="2629"/>
    </row>
    <row r="21" spans="2:17">
      <c r="B21" s="2593" t="s">
        <v>514</v>
      </c>
      <c r="C21" s="2594"/>
      <c r="D21" s="503">
        <f t="shared" si="5"/>
        <v>0</v>
      </c>
      <c r="E21" s="45"/>
      <c r="F21" s="45"/>
      <c r="G21" s="339"/>
      <c r="H21" s="342"/>
      <c r="I21" s="340">
        <v>10</v>
      </c>
      <c r="J21" s="504">
        <f t="shared" si="3"/>
        <v>0</v>
      </c>
      <c r="K21" s="505">
        <f t="shared" si="4"/>
        <v>0</v>
      </c>
      <c r="N21" s="2625" t="s">
        <v>528</v>
      </c>
      <c r="O21" s="2626"/>
      <c r="P21" s="2630"/>
      <c r="Q21" s="2630"/>
    </row>
    <row r="22" spans="2:17">
      <c r="B22" s="2593" t="s">
        <v>119</v>
      </c>
      <c r="C22" s="2594"/>
      <c r="D22" s="503">
        <f t="shared" si="5"/>
        <v>0</v>
      </c>
      <c r="E22" s="45"/>
      <c r="F22" s="45"/>
      <c r="G22" s="339"/>
      <c r="H22" s="342"/>
      <c r="I22" s="340">
        <v>10</v>
      </c>
      <c r="J22" s="504">
        <f t="shared" si="3"/>
        <v>0</v>
      </c>
      <c r="K22" s="505">
        <f t="shared" si="4"/>
        <v>0</v>
      </c>
      <c r="N22" s="2625" t="s">
        <v>529</v>
      </c>
      <c r="O22" s="2631"/>
      <c r="P22" s="2632">
        <v>0.75</v>
      </c>
      <c r="Q22" s="2633"/>
    </row>
    <row r="23" spans="2:17">
      <c r="B23" s="2593" t="s">
        <v>515</v>
      </c>
      <c r="C23" s="2594"/>
      <c r="D23" s="503">
        <f t="shared" si="5"/>
        <v>0</v>
      </c>
      <c r="E23" s="45"/>
      <c r="F23" s="45"/>
      <c r="G23" s="339"/>
      <c r="H23" s="342"/>
      <c r="I23" s="340">
        <v>10</v>
      </c>
      <c r="J23" s="504">
        <f t="shared" si="3"/>
        <v>0</v>
      </c>
      <c r="K23" s="505">
        <f t="shared" si="4"/>
        <v>0</v>
      </c>
      <c r="N23" s="2627" t="s">
        <v>530</v>
      </c>
      <c r="O23" s="2628"/>
      <c r="P23" s="2629">
        <f>D59*(1-G116)</f>
        <v>0</v>
      </c>
      <c r="Q23" s="2629"/>
    </row>
    <row r="24" spans="2:17">
      <c r="B24" s="2593" t="s">
        <v>516</v>
      </c>
      <c r="C24" s="2594"/>
      <c r="D24" s="503">
        <f t="shared" si="5"/>
        <v>0</v>
      </c>
      <c r="E24" s="45"/>
      <c r="F24" s="45"/>
      <c r="G24" s="339"/>
      <c r="H24" s="342"/>
      <c r="I24" s="340">
        <v>10</v>
      </c>
      <c r="J24" s="504">
        <f t="shared" si="3"/>
        <v>0</v>
      </c>
      <c r="K24" s="505">
        <f t="shared" si="4"/>
        <v>0</v>
      </c>
    </row>
    <row r="25" spans="2:17">
      <c r="B25" s="2593" t="s">
        <v>517</v>
      </c>
      <c r="C25" s="2594"/>
      <c r="D25" s="503">
        <f t="shared" si="5"/>
        <v>0</v>
      </c>
      <c r="E25" s="45"/>
      <c r="F25" s="45"/>
      <c r="G25" s="339"/>
      <c r="H25" s="342"/>
      <c r="I25" s="340">
        <v>10</v>
      </c>
      <c r="J25" s="504">
        <f t="shared" si="3"/>
        <v>0</v>
      </c>
      <c r="K25" s="505">
        <f t="shared" si="4"/>
        <v>0</v>
      </c>
    </row>
    <row r="26" spans="2:17">
      <c r="B26" s="2593" t="s">
        <v>116</v>
      </c>
      <c r="C26" s="2594"/>
      <c r="D26" s="503">
        <f t="shared" si="5"/>
        <v>0</v>
      </c>
      <c r="E26" s="45"/>
      <c r="F26" s="45"/>
      <c r="G26" s="339"/>
      <c r="H26" s="342"/>
      <c r="I26" s="340">
        <v>10</v>
      </c>
      <c r="J26" s="504">
        <f t="shared" si="3"/>
        <v>0</v>
      </c>
      <c r="K26" s="505">
        <f t="shared" si="4"/>
        <v>0</v>
      </c>
    </row>
    <row r="27" spans="2:17">
      <c r="B27" s="2593" t="s">
        <v>518</v>
      </c>
      <c r="C27" s="2594"/>
      <c r="D27" s="503">
        <f t="shared" si="5"/>
        <v>0</v>
      </c>
      <c r="E27" s="45"/>
      <c r="F27" s="45"/>
      <c r="G27" s="339"/>
      <c r="H27" s="342"/>
      <c r="I27" s="340">
        <v>10</v>
      </c>
      <c r="J27" s="504">
        <f t="shared" si="3"/>
        <v>0</v>
      </c>
      <c r="K27" s="505">
        <f t="shared" si="4"/>
        <v>0</v>
      </c>
    </row>
    <row r="28" spans="2:17">
      <c r="B28" s="2593" t="s">
        <v>111</v>
      </c>
      <c r="C28" s="2594"/>
      <c r="D28" s="503">
        <f t="shared" si="5"/>
        <v>0</v>
      </c>
      <c r="E28" s="45"/>
      <c r="F28" s="45"/>
      <c r="G28" s="339"/>
      <c r="H28" s="342"/>
      <c r="I28" s="340">
        <v>10</v>
      </c>
      <c r="J28" s="504">
        <f t="shared" si="3"/>
        <v>0</v>
      </c>
      <c r="K28" s="505">
        <f t="shared" si="4"/>
        <v>0</v>
      </c>
    </row>
    <row r="29" spans="2:17">
      <c r="B29" s="2593" t="s">
        <v>519</v>
      </c>
      <c r="C29" s="2594"/>
      <c r="D29" s="503">
        <f t="shared" si="5"/>
        <v>0</v>
      </c>
      <c r="E29" s="45"/>
      <c r="F29" s="45"/>
      <c r="G29" s="339"/>
      <c r="H29" s="342"/>
      <c r="I29" s="340">
        <v>10</v>
      </c>
      <c r="J29" s="504">
        <f t="shared" si="3"/>
        <v>0</v>
      </c>
      <c r="K29" s="505">
        <f t="shared" si="4"/>
        <v>0</v>
      </c>
    </row>
    <row r="30" spans="2:17" ht="16" thickBot="1">
      <c r="B30" s="2593" t="s">
        <v>520</v>
      </c>
      <c r="C30" s="2594"/>
      <c r="D30" s="522">
        <f t="shared" si="5"/>
        <v>0</v>
      </c>
      <c r="E30" s="45"/>
      <c r="F30" s="45"/>
      <c r="G30" s="339"/>
      <c r="H30" s="342"/>
      <c r="I30" s="340">
        <v>10</v>
      </c>
      <c r="J30" s="504">
        <f t="shared" si="3"/>
        <v>0</v>
      </c>
      <c r="K30" s="505">
        <f t="shared" si="4"/>
        <v>0</v>
      </c>
    </row>
    <row r="31" spans="2:17" ht="16" thickBot="1">
      <c r="B31" s="2593" t="s">
        <v>531</v>
      </c>
      <c r="C31" s="2689"/>
      <c r="D31" s="369"/>
      <c r="F31" s="45"/>
      <c r="G31" s="520">
        <f>H31-D31-E31-F31</f>
        <v>0</v>
      </c>
      <c r="H31" s="522">
        <f>I102</f>
        <v>0</v>
      </c>
      <c r="I31" s="340"/>
      <c r="J31" s="504"/>
      <c r="K31" s="505"/>
    </row>
    <row r="32" spans="2:17" ht="16" thickBot="1">
      <c r="B32" s="2593" t="s">
        <v>218</v>
      </c>
      <c r="C32" s="2594"/>
      <c r="D32" s="521">
        <f t="shared" si="5"/>
        <v>0</v>
      </c>
      <c r="E32" s="45"/>
      <c r="F32" s="45"/>
      <c r="G32" s="339"/>
      <c r="H32" s="343"/>
      <c r="I32" s="340">
        <v>10</v>
      </c>
      <c r="J32" s="504">
        <f>IF($D$60=0,0,D32/$D$60)</f>
        <v>0</v>
      </c>
      <c r="K32" s="505">
        <f t="shared" si="4"/>
        <v>0</v>
      </c>
    </row>
    <row r="33" spans="2:12">
      <c r="B33" s="2672" t="s">
        <v>532</v>
      </c>
      <c r="C33" s="2673"/>
      <c r="D33" s="503">
        <f>E112-E33-F33-G33</f>
        <v>0</v>
      </c>
      <c r="E33" s="45"/>
      <c r="F33" s="45"/>
      <c r="G33" s="45"/>
      <c r="H33" s="521">
        <f t="shared" ref="H33" si="8">SUM(D33:G33)</f>
        <v>0</v>
      </c>
      <c r="I33" s="27">
        <v>10</v>
      </c>
      <c r="J33" s="504">
        <f>IF($D$60=0,0,D33/$D$60)</f>
        <v>0</v>
      </c>
      <c r="K33" s="505">
        <f t="shared" si="4"/>
        <v>0</v>
      </c>
    </row>
    <row r="34" spans="2:12">
      <c r="B34" s="213" t="s">
        <v>533</v>
      </c>
      <c r="C34" s="524"/>
      <c r="D34" s="503">
        <f>SUM(D17:D33)</f>
        <v>0</v>
      </c>
      <c r="E34" s="503">
        <f>SUM(E17:E33)</f>
        <v>0</v>
      </c>
      <c r="F34" s="503">
        <f>SUM(F17:F33)</f>
        <v>0</v>
      </c>
      <c r="G34" s="503">
        <f>SUM(G17:G33)</f>
        <v>0</v>
      </c>
      <c r="H34" s="503">
        <f>SUM(H17:H33)</f>
        <v>0</v>
      </c>
      <c r="I34" s="143"/>
      <c r="J34" s="504">
        <f>IF($D$60=0,0,D34/$D$60)</f>
        <v>0</v>
      </c>
      <c r="K34" s="505"/>
    </row>
    <row r="35" spans="2:12">
      <c r="B35" s="2682"/>
      <c r="C35" s="2683"/>
      <c r="D35" s="2683"/>
      <c r="E35" s="2683"/>
      <c r="F35" s="2683"/>
      <c r="G35" s="2683"/>
      <c r="H35" s="2683"/>
      <c r="I35" s="2683"/>
      <c r="J35" s="2683"/>
      <c r="K35" s="2684"/>
    </row>
    <row r="36" spans="2:12" ht="16" thickBot="1">
      <c r="B36" s="219" t="s">
        <v>159</v>
      </c>
      <c r="C36" s="218"/>
      <c r="D36" s="525" t="s">
        <v>534</v>
      </c>
      <c r="E36" s="626">
        <v>0</v>
      </c>
      <c r="F36" s="524" t="s">
        <v>535</v>
      </c>
      <c r="G36" s="627">
        <v>0</v>
      </c>
      <c r="H36" s="526"/>
      <c r="I36" s="218"/>
      <c r="J36" s="218"/>
      <c r="K36" s="527"/>
    </row>
    <row r="37" spans="2:12">
      <c r="B37" s="2593" t="s">
        <v>536</v>
      </c>
      <c r="C37" s="2594"/>
      <c r="D37" s="503">
        <f t="shared" ref="D37:D38" si="9">H37-SUM(E37:G37)</f>
        <v>0</v>
      </c>
      <c r="E37" s="45"/>
      <c r="F37" s="45"/>
      <c r="G37" s="339"/>
      <c r="H37" s="341"/>
      <c r="I37" s="340">
        <v>25</v>
      </c>
      <c r="J37" s="504">
        <f>IF($D$60=0,0,D37/$D$60)</f>
        <v>0</v>
      </c>
      <c r="K37" s="505">
        <f>I37*J37</f>
        <v>0</v>
      </c>
    </row>
    <row r="38" spans="2:12" ht="16" thickBot="1">
      <c r="B38" s="2593" t="s">
        <v>537</v>
      </c>
      <c r="C38" s="2594"/>
      <c r="D38" s="503">
        <f t="shared" si="9"/>
        <v>0</v>
      </c>
      <c r="E38" s="45"/>
      <c r="F38" s="45"/>
      <c r="G38" s="339"/>
      <c r="H38" s="343"/>
      <c r="I38" s="340">
        <v>25</v>
      </c>
      <c r="J38" s="504">
        <f>IF($D$60=0,0,D38/$D$60)</f>
        <v>0</v>
      </c>
      <c r="K38" s="505">
        <f>I38*J38</f>
        <v>0</v>
      </c>
    </row>
    <row r="39" spans="2:12">
      <c r="B39" s="2669" t="s">
        <v>538</v>
      </c>
      <c r="C39" s="2670"/>
      <c r="D39" s="503">
        <f>SUM(D37:D38)</f>
        <v>0</v>
      </c>
      <c r="E39" s="503">
        <f>SUM(E37:E38)</f>
        <v>0</v>
      </c>
      <c r="F39" s="503">
        <f>SUM(F37:F38)</f>
        <v>0</v>
      </c>
      <c r="G39" s="503">
        <f>SUM(G37:G38)</f>
        <v>0</v>
      </c>
      <c r="H39" s="521">
        <f>SUM(H37:H38)</f>
        <v>0</v>
      </c>
      <c r="I39" s="143"/>
      <c r="J39" s="504">
        <f>IF($D$60=0,0,D39/$D$60)</f>
        <v>0</v>
      </c>
      <c r="K39" s="505"/>
    </row>
    <row r="40" spans="2:12">
      <c r="B40" s="2702"/>
      <c r="C40" s="2703"/>
      <c r="D40" s="2703"/>
      <c r="E40" s="2703"/>
      <c r="F40" s="2703"/>
      <c r="G40" s="2703"/>
      <c r="H40" s="2703"/>
      <c r="I40" s="2703"/>
      <c r="J40" s="2703"/>
      <c r="K40" s="2704"/>
    </row>
    <row r="41" spans="2:12" ht="16" thickBot="1">
      <c r="B41" s="2698" t="s">
        <v>539</v>
      </c>
      <c r="C41" s="2699"/>
      <c r="D41" s="2699"/>
      <c r="E41" s="2699"/>
      <c r="F41" s="2699"/>
      <c r="G41" s="2699"/>
      <c r="H41" s="2700"/>
      <c r="I41" s="2699"/>
      <c r="J41" s="2699"/>
      <c r="K41" s="2701"/>
    </row>
    <row r="42" spans="2:12">
      <c r="B42" s="2593" t="s">
        <v>540</v>
      </c>
      <c r="C42" s="2594"/>
      <c r="D42" s="503">
        <f t="shared" ref="D42:D55" si="10">H42-SUM(E42:G42)</f>
        <v>0</v>
      </c>
      <c r="E42" s="45"/>
      <c r="F42" s="45"/>
      <c r="G42" s="339"/>
      <c r="H42" s="341"/>
      <c r="I42" s="340">
        <v>25</v>
      </c>
      <c r="J42" s="504">
        <f t="shared" ref="J42:J57" si="11">IF($D$59=0,0,D42/$D$59)</f>
        <v>0</v>
      </c>
      <c r="K42" s="505">
        <f>I42*J42</f>
        <v>0</v>
      </c>
      <c r="L42" s="23"/>
    </row>
    <row r="43" spans="2:12">
      <c r="B43" s="2593" t="s">
        <v>541</v>
      </c>
      <c r="C43" s="2594"/>
      <c r="D43" s="503">
        <f t="shared" si="10"/>
        <v>0</v>
      </c>
      <c r="E43" s="45"/>
      <c r="F43" s="45"/>
      <c r="G43" s="339"/>
      <c r="H43" s="342"/>
      <c r="I43" s="340">
        <v>25</v>
      </c>
      <c r="J43" s="504">
        <f t="shared" si="11"/>
        <v>0</v>
      </c>
      <c r="K43" s="505">
        <f t="shared" ref="K43:K55" si="12">I43*J43</f>
        <v>0</v>
      </c>
      <c r="L43" s="23"/>
    </row>
    <row r="44" spans="2:12">
      <c r="B44" s="2593" t="s">
        <v>542</v>
      </c>
      <c r="C44" s="2594"/>
      <c r="D44" s="503">
        <f t="shared" si="10"/>
        <v>0</v>
      </c>
      <c r="E44" s="45"/>
      <c r="F44" s="45"/>
      <c r="G44" s="339"/>
      <c r="H44" s="342"/>
      <c r="I44" s="340">
        <v>25</v>
      </c>
      <c r="J44" s="504">
        <f t="shared" si="11"/>
        <v>0</v>
      </c>
      <c r="K44" s="505">
        <f t="shared" si="12"/>
        <v>0</v>
      </c>
      <c r="L44" s="22"/>
    </row>
    <row r="45" spans="2:12">
      <c r="B45" s="2593" t="s">
        <v>543</v>
      </c>
      <c r="C45" s="2594"/>
      <c r="D45" s="503">
        <f t="shared" si="10"/>
        <v>0</v>
      </c>
      <c r="E45" s="45"/>
      <c r="F45" s="45"/>
      <c r="G45" s="339"/>
      <c r="H45" s="342"/>
      <c r="I45" s="340">
        <v>25</v>
      </c>
      <c r="J45" s="504">
        <f t="shared" si="11"/>
        <v>0</v>
      </c>
      <c r="K45" s="505">
        <f t="shared" si="12"/>
        <v>0</v>
      </c>
      <c r="L45" s="23"/>
    </row>
    <row r="46" spans="2:12">
      <c r="B46" s="2593" t="s">
        <v>544</v>
      </c>
      <c r="C46" s="2594"/>
      <c r="D46" s="503">
        <f t="shared" si="10"/>
        <v>0</v>
      </c>
      <c r="E46" s="45"/>
      <c r="F46" s="45"/>
      <c r="G46" s="339"/>
      <c r="H46" s="342"/>
      <c r="I46" s="340">
        <v>25</v>
      </c>
      <c r="J46" s="504">
        <f t="shared" si="11"/>
        <v>0</v>
      </c>
      <c r="K46" s="505">
        <f t="shared" si="12"/>
        <v>0</v>
      </c>
      <c r="L46" s="22"/>
    </row>
    <row r="47" spans="2:12">
      <c r="B47" s="2593" t="s">
        <v>545</v>
      </c>
      <c r="C47" s="2594"/>
      <c r="D47" s="503">
        <f t="shared" si="10"/>
        <v>0</v>
      </c>
      <c r="E47" s="45">
        <f>H47</f>
        <v>0</v>
      </c>
      <c r="F47" s="45"/>
      <c r="G47" s="339"/>
      <c r="H47" s="342"/>
      <c r="I47" s="340">
        <v>25</v>
      </c>
      <c r="J47" s="504">
        <f t="shared" si="11"/>
        <v>0</v>
      </c>
      <c r="K47" s="505">
        <f t="shared" si="12"/>
        <v>0</v>
      </c>
      <c r="L47" s="22"/>
    </row>
    <row r="48" spans="2:12">
      <c r="B48" s="2593" t="s">
        <v>546</v>
      </c>
      <c r="C48" s="2594"/>
      <c r="D48" s="503">
        <f t="shared" si="10"/>
        <v>0</v>
      </c>
      <c r="E48" s="45"/>
      <c r="F48" s="45"/>
      <c r="G48" s="339"/>
      <c r="H48" s="342"/>
      <c r="I48" s="340">
        <v>25</v>
      </c>
      <c r="J48" s="504">
        <f t="shared" si="11"/>
        <v>0</v>
      </c>
      <c r="K48" s="505">
        <f t="shared" si="12"/>
        <v>0</v>
      </c>
      <c r="L48" s="23"/>
    </row>
    <row r="49" spans="2:12" ht="16" thickBot="1">
      <c r="B49" s="2593" t="s">
        <v>547</v>
      </c>
      <c r="C49" s="2594"/>
      <c r="D49" s="522">
        <f t="shared" si="10"/>
        <v>0</v>
      </c>
      <c r="E49" s="45"/>
      <c r="F49" s="45"/>
      <c r="G49" s="339"/>
      <c r="H49" s="343"/>
      <c r="I49" s="340">
        <v>25</v>
      </c>
      <c r="J49" s="504">
        <f t="shared" si="11"/>
        <v>0</v>
      </c>
      <c r="K49" s="505">
        <f t="shared" si="12"/>
        <v>0</v>
      </c>
      <c r="L49" s="22"/>
    </row>
    <row r="50" spans="2:12" ht="16" thickBot="1">
      <c r="B50" s="2593" t="s">
        <v>161</v>
      </c>
      <c r="C50" s="2689"/>
      <c r="D50" s="370"/>
      <c r="E50" s="520">
        <f>H50-D50</f>
        <v>0</v>
      </c>
      <c r="F50" s="45"/>
      <c r="G50" s="45"/>
      <c r="H50" s="521">
        <f>(ROUND(((D4+G4)*G36/12*E36)+((D59-D4+G59-G4)*G36*0.6/12*E36),0))</f>
        <v>0</v>
      </c>
      <c r="I50" s="27">
        <v>25</v>
      </c>
      <c r="J50" s="504">
        <f t="shared" si="11"/>
        <v>0</v>
      </c>
      <c r="K50" s="505">
        <f t="shared" si="12"/>
        <v>0</v>
      </c>
      <c r="L50" s="22"/>
    </row>
    <row r="51" spans="2:12" ht="16" thickBot="1">
      <c r="B51" s="7" t="s">
        <v>548</v>
      </c>
      <c r="C51" s="47">
        <v>0.1</v>
      </c>
      <c r="D51" s="521">
        <f>H51-E51-F51-G51</f>
        <v>0</v>
      </c>
      <c r="E51" s="45"/>
      <c r="F51" s="45"/>
      <c r="G51" s="45"/>
      <c r="H51" s="344">
        <f>ROUND(H37*C51,0)</f>
        <v>0</v>
      </c>
      <c r="I51" s="27">
        <v>25</v>
      </c>
      <c r="J51" s="504">
        <f t="shared" si="11"/>
        <v>0</v>
      </c>
      <c r="K51" s="505">
        <f t="shared" si="12"/>
        <v>0</v>
      </c>
      <c r="L51" s="23"/>
    </row>
    <row r="52" spans="2:12">
      <c r="B52" s="2593" t="s">
        <v>549</v>
      </c>
      <c r="C52" s="2594"/>
      <c r="D52" s="503">
        <f t="shared" si="10"/>
        <v>0</v>
      </c>
      <c r="E52" s="45"/>
      <c r="F52" s="45"/>
      <c r="G52" s="339"/>
      <c r="H52" s="341"/>
      <c r="I52" s="340">
        <v>25</v>
      </c>
      <c r="J52" s="504">
        <f t="shared" si="11"/>
        <v>0</v>
      </c>
      <c r="K52" s="505">
        <f t="shared" si="12"/>
        <v>0</v>
      </c>
      <c r="L52" s="23"/>
    </row>
    <row r="53" spans="2:12">
      <c r="B53" s="2593" t="s">
        <v>550</v>
      </c>
      <c r="C53" s="2594"/>
      <c r="D53" s="503">
        <f t="shared" si="10"/>
        <v>0</v>
      </c>
      <c r="E53" s="45"/>
      <c r="F53" s="45"/>
      <c r="G53" s="339"/>
      <c r="H53" s="342"/>
      <c r="I53" s="340">
        <v>25</v>
      </c>
      <c r="J53" s="504">
        <f t="shared" si="11"/>
        <v>0</v>
      </c>
      <c r="K53" s="505">
        <f t="shared" si="12"/>
        <v>0</v>
      </c>
      <c r="L53" s="23"/>
    </row>
    <row r="54" spans="2:12">
      <c r="B54" s="2593" t="s">
        <v>551</v>
      </c>
      <c r="C54" s="2594"/>
      <c r="D54" s="503">
        <f t="shared" si="10"/>
        <v>0</v>
      </c>
      <c r="E54" s="45"/>
      <c r="F54" s="45"/>
      <c r="G54" s="339"/>
      <c r="H54" s="342"/>
      <c r="I54" s="340">
        <v>25</v>
      </c>
      <c r="J54" s="504">
        <f t="shared" si="11"/>
        <v>0</v>
      </c>
      <c r="K54" s="505">
        <f t="shared" si="12"/>
        <v>0</v>
      </c>
    </row>
    <row r="55" spans="2:12" ht="16" thickBot="1">
      <c r="B55" s="2593" t="s">
        <v>218</v>
      </c>
      <c r="C55" s="2594"/>
      <c r="D55" s="503">
        <f t="shared" si="10"/>
        <v>0</v>
      </c>
      <c r="E55" s="45"/>
      <c r="F55" s="45"/>
      <c r="G55" s="339"/>
      <c r="H55" s="343"/>
      <c r="I55" s="340">
        <v>25</v>
      </c>
      <c r="J55" s="504">
        <f t="shared" si="11"/>
        <v>0</v>
      </c>
      <c r="K55" s="505">
        <f t="shared" si="12"/>
        <v>0</v>
      </c>
    </row>
    <row r="56" spans="2:12">
      <c r="B56" s="2669" t="s">
        <v>552</v>
      </c>
      <c r="C56" s="2670"/>
      <c r="D56" s="503">
        <f>SUM(D42:D55)</f>
        <v>0</v>
      </c>
      <c r="E56" s="503">
        <f>SUM(E42:E55)</f>
        <v>0</v>
      </c>
      <c r="F56" s="503">
        <f>SUM(F42:F55)</f>
        <v>0</v>
      </c>
      <c r="G56" s="503">
        <f>SUM(G42:G55)</f>
        <v>0</v>
      </c>
      <c r="H56" s="521">
        <f>SUM(H42:H55)</f>
        <v>0</v>
      </c>
      <c r="I56" s="143"/>
      <c r="J56" s="504">
        <f t="shared" si="11"/>
        <v>0</v>
      </c>
      <c r="K56" s="505"/>
    </row>
    <row r="57" spans="2:12">
      <c r="B57" s="2669" t="s">
        <v>553</v>
      </c>
      <c r="C57" s="2670"/>
      <c r="D57" s="503">
        <f>D56+D39</f>
        <v>0</v>
      </c>
      <c r="E57" s="503">
        <f>E56+E39</f>
        <v>0</v>
      </c>
      <c r="F57" s="503">
        <f>F56+F39</f>
        <v>0</v>
      </c>
      <c r="G57" s="503">
        <f>G56+G39</f>
        <v>0</v>
      </c>
      <c r="H57" s="503">
        <f>H56+H39</f>
        <v>0</v>
      </c>
      <c r="I57" s="143"/>
      <c r="J57" s="504">
        <f t="shared" si="11"/>
        <v>0</v>
      </c>
      <c r="K57" s="505"/>
    </row>
    <row r="58" spans="2:12">
      <c r="B58" s="529" t="str">
        <f>IF(H56&lt;&gt;SUM(D56:G56),"There is an ERROR in the Const","")</f>
        <v/>
      </c>
      <c r="C58" s="530" t="str">
        <f>IF(H56&lt;&gt;SUM(D56:G56),"soft costs.  Totals do not match","")</f>
        <v/>
      </c>
      <c r="D58" s="531"/>
      <c r="E58" s="371"/>
      <c r="F58" s="371"/>
      <c r="G58" s="371"/>
      <c r="H58" s="532" t="str">
        <f>IF(H56&lt;&gt;SUM(D56:G56),"SUM of Const Soft Costs =","")</f>
        <v/>
      </c>
      <c r="I58" s="533" t="str">
        <f>IF(H56&lt;&gt;SUM(D56:G56),SUM(D56:G56),"")</f>
        <v/>
      </c>
      <c r="J58" s="371"/>
      <c r="K58" s="372"/>
    </row>
    <row r="59" spans="2:12">
      <c r="B59" s="2669" t="s">
        <v>554</v>
      </c>
      <c r="C59" s="2670"/>
      <c r="D59" s="534">
        <f>SUM(D4:D13,D17:D33,D37:D38,D42:D55)</f>
        <v>0</v>
      </c>
      <c r="E59" s="534">
        <f>SUM(E4:E13,E17:E33,E37:E38,E42:E55)</f>
        <v>0</v>
      </c>
      <c r="F59" s="534">
        <f>SUM(F4:F13,F17:F33,F37:F38,F42:F55)</f>
        <v>0</v>
      </c>
      <c r="G59" s="534">
        <f>SUM(G4:G13,G17:G33,G37:G38,G42:G55)</f>
        <v>0</v>
      </c>
      <c r="H59" s="535">
        <f>H57+H34+H14</f>
        <v>0</v>
      </c>
      <c r="I59" s="536" t="s">
        <v>555</v>
      </c>
      <c r="J59" s="504">
        <f>SUM(J4:J12,J17:J33,J37:J38,J42:J55)</f>
        <v>0</v>
      </c>
      <c r="K59" s="505">
        <f>SUM(K4:K12,K17:K33,K37:K38,K42:K55)</f>
        <v>0</v>
      </c>
    </row>
    <row r="60" spans="2:12">
      <c r="B60" s="2669" t="s">
        <v>556</v>
      </c>
      <c r="C60" s="2670"/>
      <c r="D60" s="537">
        <f>IF(D59=0,0,D59/$H$59)</f>
        <v>0</v>
      </c>
      <c r="E60" s="537">
        <f>IF(E59=0,0,E59/$H$59)</f>
        <v>0</v>
      </c>
      <c r="F60" s="537">
        <f>IF(F59=0,0,F59/$H$59)</f>
        <v>0</v>
      </c>
      <c r="G60" s="537">
        <f>IF(G59=0,0,G59/$H$59)</f>
        <v>0</v>
      </c>
      <c r="H60" s="538">
        <f>SUM(D60:G60)</f>
        <v>0</v>
      </c>
      <c r="I60" s="536"/>
      <c r="J60" s="143"/>
      <c r="K60" s="539"/>
    </row>
    <row r="61" spans="2:12">
      <c r="B61" s="540" t="str">
        <f>IF(H59&lt;&gt;SUM(D59:G59),"There is an ERROR in the total","")</f>
        <v/>
      </c>
      <c r="C61" s="541" t="str">
        <f>IF(H59&lt;&gt;SUM(D59:G59),"project.  Totals do not match","")</f>
        <v/>
      </c>
      <c r="D61" s="542"/>
      <c r="E61" s="542"/>
      <c r="F61" s="543"/>
      <c r="G61" s="542"/>
      <c r="H61" s="544" t="str">
        <f>IF(H59&lt;&gt;SUM(D59:G59),"SUM of project columns =","")</f>
        <v/>
      </c>
      <c r="I61" s="545" t="str">
        <f>IF(H59&lt;&gt;SUM(D59:G59),SUM(D59:G59),"")</f>
        <v/>
      </c>
      <c r="J61" s="204"/>
      <c r="K61" s="206"/>
    </row>
    <row r="62" spans="2:12" ht="16" thickBot="1">
      <c r="B62" s="2641" t="s">
        <v>557</v>
      </c>
      <c r="C62" s="2642"/>
      <c r="D62" s="2642"/>
      <c r="E62" s="2642"/>
      <c r="F62" s="2642"/>
      <c r="G62" s="2642"/>
      <c r="H62" s="2642"/>
      <c r="I62" s="2642"/>
      <c r="J62" s="2642"/>
      <c r="K62" s="2643"/>
    </row>
    <row r="63" spans="2:12">
      <c r="B63" s="121"/>
      <c r="C63" s="122"/>
      <c r="D63" s="2636" t="s">
        <v>558</v>
      </c>
      <c r="E63" s="2676" t="str">
        <f>E2</f>
        <v>Borrower</v>
      </c>
      <c r="F63" s="2676" t="str">
        <f>F2</f>
        <v>Seller/Other</v>
      </c>
      <c r="G63" s="2636" t="str">
        <f>G2</f>
        <v>3rd Party/CDC Loan</v>
      </c>
      <c r="H63" s="2636" t="str">
        <f>H2</f>
        <v>Total</v>
      </c>
      <c r="I63" s="2661"/>
      <c r="J63" s="230"/>
      <c r="K63" s="231"/>
    </row>
    <row r="64" spans="2:12">
      <c r="B64" s="121"/>
      <c r="C64" s="122"/>
      <c r="D64" s="2637"/>
      <c r="E64" s="2677"/>
      <c r="F64" s="2677"/>
      <c r="G64" s="2637"/>
      <c r="H64" s="2637"/>
      <c r="I64" s="2662"/>
      <c r="J64" s="546"/>
      <c r="K64" s="547"/>
    </row>
    <row r="65" spans="2:11">
      <c r="B65" s="2669" t="s">
        <v>559</v>
      </c>
      <c r="C65" s="2670"/>
      <c r="D65" s="1698">
        <v>0.5</v>
      </c>
      <c r="E65" s="1698">
        <v>0</v>
      </c>
      <c r="F65" s="1699">
        <f>F60</f>
        <v>0</v>
      </c>
      <c r="G65" s="1699">
        <f>100%-D65-E65-F65</f>
        <v>0.5</v>
      </c>
      <c r="H65" s="1700">
        <f>SUM(D65:G65)</f>
        <v>1</v>
      </c>
      <c r="I65" s="1629"/>
      <c r="J65" s="548"/>
      <c r="K65" s="549"/>
    </row>
    <row r="66" spans="2:11">
      <c r="B66" s="550"/>
      <c r="C66" s="551" t="s">
        <v>560</v>
      </c>
      <c r="D66" s="552">
        <f>IF($P$6=504,$H$59*D65,0)</f>
        <v>0</v>
      </c>
      <c r="E66" s="552">
        <f>IF($P$6=504,$H$59*E65,0)</f>
        <v>0</v>
      </c>
      <c r="F66" s="552">
        <f>IF($P$6=504,$H$59*F65,0)</f>
        <v>0</v>
      </c>
      <c r="G66" s="552">
        <f>IF($P$6=504,$H$59*G65,0)</f>
        <v>0</v>
      </c>
      <c r="H66" s="552">
        <f>SUM(D66:G66)</f>
        <v>0</v>
      </c>
      <c r="I66" s="553"/>
      <c r="J66" s="548"/>
      <c r="K66" s="549"/>
    </row>
    <row r="67" spans="2:11">
      <c r="B67" s="550"/>
      <c r="C67" s="551"/>
      <c r="D67" s="554"/>
      <c r="E67" s="554"/>
      <c r="F67" s="122"/>
      <c r="G67" s="122"/>
      <c r="H67" s="554"/>
      <c r="I67" s="122"/>
      <c r="J67" s="548"/>
      <c r="K67" s="549"/>
    </row>
    <row r="68" spans="2:11">
      <c r="B68" s="550"/>
      <c r="C68" s="551" t="s">
        <v>561</v>
      </c>
      <c r="D68" s="554"/>
      <c r="E68" s="554"/>
      <c r="F68" s="122"/>
      <c r="G68" s="122"/>
      <c r="H68" s="554"/>
      <c r="I68" s="122"/>
      <c r="J68" s="548"/>
      <c r="K68" s="549"/>
    </row>
    <row r="69" spans="2:11">
      <c r="B69" s="2593" t="s">
        <v>562</v>
      </c>
      <c r="C69" s="2594"/>
      <c r="D69" s="733"/>
      <c r="E69" s="733"/>
      <c r="F69" s="733"/>
      <c r="G69" s="555">
        <f>SUM(F79,F80,F81,F82,F83)</f>
        <v>3500</v>
      </c>
      <c r="H69" s="556">
        <f>SUM(D69:G69)</f>
        <v>3500</v>
      </c>
      <c r="I69" s="548"/>
      <c r="J69" s="548"/>
      <c r="K69" s="549"/>
    </row>
    <row r="70" spans="2:11">
      <c r="B70" s="2593" t="s">
        <v>147</v>
      </c>
      <c r="C70" s="2594"/>
      <c r="D70" s="733"/>
      <c r="E70" s="733"/>
      <c r="F70" s="733"/>
      <c r="G70" s="557"/>
      <c r="H70" s="556">
        <f>SUM(D70:E70)</f>
        <v>0</v>
      </c>
      <c r="I70" s="548"/>
      <c r="J70" s="548"/>
      <c r="K70" s="549"/>
    </row>
    <row r="71" spans="2:11">
      <c r="B71" s="2593" t="s">
        <v>149</v>
      </c>
      <c r="C71" s="2594"/>
      <c r="D71" s="733"/>
      <c r="E71" s="733"/>
      <c r="F71" s="733"/>
      <c r="G71" s="557"/>
      <c r="H71" s="556">
        <f>SUM(D71:E71)</f>
        <v>0</v>
      </c>
      <c r="I71" s="548"/>
      <c r="J71" s="548"/>
      <c r="K71" s="549"/>
    </row>
    <row r="72" spans="2:11">
      <c r="B72" s="2593" t="s">
        <v>153</v>
      </c>
      <c r="C72" s="2594"/>
      <c r="D72" s="733"/>
      <c r="E72" s="733"/>
      <c r="F72" s="733"/>
      <c r="G72" s="557"/>
      <c r="H72" s="556">
        <f>SUM(D72:E72)</f>
        <v>0</v>
      </c>
      <c r="I72" s="548"/>
      <c r="J72" s="548"/>
      <c r="K72" s="549"/>
    </row>
    <row r="73" spans="2:11">
      <c r="B73" s="2593" t="s">
        <v>154</v>
      </c>
      <c r="C73" s="2594"/>
      <c r="D73" s="733"/>
      <c r="E73" s="733"/>
      <c r="F73" s="733"/>
      <c r="G73" s="558"/>
      <c r="H73" s="556">
        <f>SUM(D73:E73)</f>
        <v>0</v>
      </c>
      <c r="I73" s="548"/>
      <c r="J73" s="548"/>
      <c r="K73" s="549"/>
    </row>
    <row r="74" spans="2:11">
      <c r="B74" s="2672" t="s">
        <v>563</v>
      </c>
      <c r="C74" s="2673"/>
      <c r="D74" s="534">
        <f t="shared" ref="D74:F74" si="13">SUM(D69:D73)</f>
        <v>0</v>
      </c>
      <c r="E74" s="534">
        <f t="shared" si="13"/>
        <v>0</v>
      </c>
      <c r="F74" s="534">
        <f t="shared" si="13"/>
        <v>0</v>
      </c>
      <c r="G74" s="534">
        <f>SUM(G69:G73)</f>
        <v>3500</v>
      </c>
      <c r="H74" s="534">
        <f>SUM(H69:H73)</f>
        <v>3500</v>
      </c>
      <c r="I74" s="548"/>
      <c r="J74" s="548"/>
      <c r="K74" s="549"/>
    </row>
    <row r="75" spans="2:11">
      <c r="B75" s="2672" t="s">
        <v>564</v>
      </c>
      <c r="C75" s="2673"/>
      <c r="D75" s="534">
        <f>D66+D74</f>
        <v>0</v>
      </c>
      <c r="E75" s="534">
        <f>E66+E74</f>
        <v>0</v>
      </c>
      <c r="F75" s="534">
        <f>F66+F74</f>
        <v>0</v>
      </c>
      <c r="G75" s="534">
        <f>IF(B80&gt;=20,ROUNDUP((B82+G69),-3),IF(B80=10,ROUNDUP((B82+G69),-3),0))</f>
        <v>0</v>
      </c>
      <c r="H75" s="534">
        <f>I66+H74</f>
        <v>3500</v>
      </c>
      <c r="I75" s="548"/>
      <c r="J75" s="548"/>
      <c r="K75" s="549"/>
    </row>
    <row r="76" spans="2:11">
      <c r="B76" s="559"/>
      <c r="C76" s="560"/>
      <c r="D76" s="561">
        <f>D75/$H75</f>
        <v>0</v>
      </c>
      <c r="E76" s="561">
        <f>E75/$H75</f>
        <v>0</v>
      </c>
      <c r="F76" s="561">
        <f>F75/$H75</f>
        <v>0</v>
      </c>
      <c r="G76" s="561">
        <f>G75/$H75</f>
        <v>0</v>
      </c>
      <c r="H76" s="562">
        <f>SUM(D76:G76)</f>
        <v>0</v>
      </c>
      <c r="I76" s="548"/>
      <c r="J76" s="548"/>
      <c r="K76" s="549"/>
    </row>
    <row r="77" spans="2:11" ht="16" thickBot="1">
      <c r="B77" s="613"/>
      <c r="C77" s="548"/>
      <c r="D77" s="548"/>
      <c r="E77" s="548"/>
      <c r="F77" s="548"/>
      <c r="G77" s="548"/>
      <c r="H77" s="548"/>
      <c r="I77" s="548"/>
      <c r="J77" s="548"/>
      <c r="K77" s="549"/>
    </row>
    <row r="78" spans="2:11" ht="16" thickBot="1">
      <c r="B78" s="2710" t="s">
        <v>565</v>
      </c>
      <c r="C78" s="2711"/>
      <c r="D78" s="2711"/>
      <c r="E78" s="2711"/>
      <c r="F78" s="2711"/>
      <c r="G78" s="2711"/>
      <c r="H78" s="2711"/>
      <c r="I78" s="2711"/>
      <c r="J78" s="2711"/>
      <c r="K78" s="2712"/>
    </row>
    <row r="79" spans="2:11">
      <c r="B79" s="614" t="s">
        <v>566</v>
      </c>
      <c r="C79" s="564"/>
      <c r="D79" s="122"/>
      <c r="E79" s="565" t="s">
        <v>567</v>
      </c>
      <c r="F79" s="566">
        <f>B82*G79</f>
        <v>0</v>
      </c>
      <c r="G79" s="229">
        <v>2.5000000000000001E-3</v>
      </c>
      <c r="H79" s="567"/>
      <c r="I79" s="204"/>
      <c r="J79" s="567"/>
      <c r="K79" s="206"/>
    </row>
    <row r="80" spans="2:11">
      <c r="B80" s="629"/>
      <c r="C80" s="568"/>
      <c r="D80" s="122"/>
      <c r="E80" s="565" t="s">
        <v>568</v>
      </c>
      <c r="F80" s="569">
        <f>B82*G80</f>
        <v>0</v>
      </c>
      <c r="G80" s="227">
        <v>1.4999999999999999E-2</v>
      </c>
      <c r="H80" s="567"/>
      <c r="I80" s="204"/>
      <c r="J80" s="567"/>
      <c r="K80" s="206"/>
    </row>
    <row r="81" spans="2:11">
      <c r="B81" s="615" t="s">
        <v>569</v>
      </c>
      <c r="C81" s="568"/>
      <c r="D81" s="122"/>
      <c r="E81" s="565" t="s">
        <v>570</v>
      </c>
      <c r="F81" s="569">
        <f>B82*G81</f>
        <v>0</v>
      </c>
      <c r="G81" s="227">
        <v>0</v>
      </c>
      <c r="H81" s="570"/>
      <c r="I81" s="570"/>
      <c r="J81" s="567"/>
      <c r="K81" s="206"/>
    </row>
    <row r="82" spans="2:11">
      <c r="B82" s="616">
        <f>IF(P6=504,UOP!G66,0)</f>
        <v>0</v>
      </c>
      <c r="C82" s="568"/>
      <c r="D82" s="122"/>
      <c r="E82" s="565" t="s">
        <v>571</v>
      </c>
      <c r="F82" s="228">
        <v>3500</v>
      </c>
      <c r="G82" s="571"/>
      <c r="H82" s="567"/>
      <c r="I82" s="204"/>
      <c r="J82" s="567"/>
      <c r="K82" s="206"/>
    </row>
    <row r="83" spans="2:11">
      <c r="B83" s="615" t="s">
        <v>572</v>
      </c>
      <c r="C83" s="568"/>
      <c r="D83" s="122"/>
      <c r="E83" s="565" t="s">
        <v>573</v>
      </c>
      <c r="F83" s="569">
        <f>IF(B80&gt;=20,(B84*H83),IF(B80=10,(B84*J83),0))</f>
        <v>0</v>
      </c>
      <c r="G83" s="185" t="s">
        <v>574</v>
      </c>
      <c r="H83" s="572">
        <v>4.0000000000000001E-3</v>
      </c>
      <c r="I83" s="143" t="s">
        <v>575</v>
      </c>
      <c r="J83" s="573">
        <v>3.7499999999999999E-3</v>
      </c>
      <c r="K83" s="206"/>
    </row>
    <row r="84" spans="2:11">
      <c r="B84" s="617">
        <f>IF(B80&gt;=20,ROUNDUP((B82+SUM(F79:F82))/0.996,-3),IF(B80=10,ROUNDUP((B82+SUM(F79:F82))/0.99625,-3),0))</f>
        <v>0</v>
      </c>
      <c r="C84" s="560"/>
      <c r="D84" s="224"/>
      <c r="E84" s="574" t="s">
        <v>576</v>
      </c>
      <c r="F84" s="575">
        <f>B84-B82-SUM(F79:F83)</f>
        <v>-3500</v>
      </c>
      <c r="G84" s="576"/>
      <c r="H84" s="567"/>
      <c r="I84" s="204"/>
      <c r="J84" s="567"/>
      <c r="K84" s="206"/>
    </row>
    <row r="85" spans="2:11" ht="16" thickBot="1">
      <c r="B85" s="2715" t="s">
        <v>577</v>
      </c>
      <c r="C85" s="2716"/>
      <c r="D85" s="2716"/>
      <c r="E85" s="2716"/>
      <c r="F85" s="2716"/>
      <c r="G85" s="2716"/>
      <c r="H85" s="2716"/>
      <c r="I85" s="2716"/>
      <c r="J85" s="2716"/>
      <c r="K85" s="2717"/>
    </row>
    <row r="86" spans="2:11" ht="14.5" customHeight="1">
      <c r="B86" s="2713" t="s">
        <v>578</v>
      </c>
      <c r="C86" s="2714"/>
      <c r="D86" s="618" t="s">
        <v>382</v>
      </c>
      <c r="E86" s="349">
        <f>B80</f>
        <v>0</v>
      </c>
      <c r="F86" s="618" t="s">
        <v>579</v>
      </c>
      <c r="G86" s="350"/>
      <c r="H86" s="618" t="s">
        <v>486</v>
      </c>
      <c r="I86" s="351"/>
      <c r="J86" s="619" t="s">
        <v>176</v>
      </c>
      <c r="K86" s="620">
        <f>IFERROR(IF(B82&gt;0,PMT(I86/12,G86,-B84),0),0)</f>
        <v>0</v>
      </c>
    </row>
    <row r="87" spans="2:11">
      <c r="B87" s="2705" t="s">
        <v>580</v>
      </c>
      <c r="C87" s="2706"/>
      <c r="D87" s="2709" t="s">
        <v>581</v>
      </c>
      <c r="E87" s="2709"/>
      <c r="F87" s="2663"/>
      <c r="G87" s="2663"/>
      <c r="H87" s="2663"/>
      <c r="I87" s="2663"/>
      <c r="J87" s="2663"/>
      <c r="K87" s="2664"/>
    </row>
    <row r="88" spans="2:11">
      <c r="B88" s="2638" t="s">
        <v>582</v>
      </c>
      <c r="C88" s="2639"/>
      <c r="D88" s="2639"/>
      <c r="E88" s="2639"/>
      <c r="F88" s="2639"/>
      <c r="G88" s="2639"/>
      <c r="H88" s="2639"/>
      <c r="I88" s="2639"/>
      <c r="J88" s="2639"/>
      <c r="K88" s="2640"/>
    </row>
    <row r="89" spans="2:11">
      <c r="B89" s="2655" t="s">
        <v>583</v>
      </c>
      <c r="C89" s="2656"/>
      <c r="D89" s="144" t="s">
        <v>382</v>
      </c>
      <c r="E89" s="27"/>
      <c r="F89" s="144" t="s">
        <v>579</v>
      </c>
      <c r="G89" s="27"/>
      <c r="H89" s="144" t="s">
        <v>486</v>
      </c>
      <c r="I89" s="226"/>
      <c r="J89" s="143" t="s">
        <v>176</v>
      </c>
      <c r="K89" s="577">
        <f>IF(F59=0,0,PMT(I89/12,G89,-F59))</f>
        <v>0</v>
      </c>
    </row>
    <row r="90" spans="2:11" ht="16" thickBot="1">
      <c r="B90" s="2657"/>
      <c r="C90" s="2658"/>
      <c r="D90" s="2608" t="s">
        <v>584</v>
      </c>
      <c r="E90" s="2608"/>
      <c r="F90" s="2606"/>
      <c r="G90" s="2606"/>
      <c r="H90" s="2606"/>
      <c r="I90" s="2606"/>
      <c r="J90" s="2606"/>
      <c r="K90" s="2607"/>
    </row>
    <row r="91" spans="2:11">
      <c r="B91" s="2638" t="s">
        <v>585</v>
      </c>
      <c r="C91" s="2639"/>
      <c r="D91" s="2639"/>
      <c r="E91" s="2639"/>
      <c r="F91" s="2639"/>
      <c r="G91" s="2639"/>
      <c r="H91" s="2639"/>
      <c r="I91" s="2639"/>
      <c r="J91" s="2639"/>
      <c r="K91" s="2640"/>
    </row>
    <row r="92" spans="2:11">
      <c r="B92" s="2655" t="s">
        <v>586</v>
      </c>
      <c r="C92" s="2656"/>
      <c r="D92" s="144" t="s">
        <v>382</v>
      </c>
      <c r="E92" s="27"/>
      <c r="F92" s="144" t="s">
        <v>579</v>
      </c>
      <c r="G92" s="27"/>
      <c r="H92" s="144" t="s">
        <v>486</v>
      </c>
      <c r="I92" s="226"/>
      <c r="J92" s="143" t="s">
        <v>176</v>
      </c>
      <c r="K92" s="577">
        <f>IF(F62=0,0,PMT(I92/12,G92,-F62))</f>
        <v>0</v>
      </c>
    </row>
    <row r="93" spans="2:11" ht="16" thickBot="1">
      <c r="B93" s="2657"/>
      <c r="C93" s="2658"/>
      <c r="D93" s="2608" t="s">
        <v>584</v>
      </c>
      <c r="E93" s="2608"/>
      <c r="F93" s="2606"/>
      <c r="G93" s="2606"/>
      <c r="H93" s="2606"/>
      <c r="I93" s="2606"/>
      <c r="J93" s="2606"/>
      <c r="K93" s="2607"/>
    </row>
    <row r="94" spans="2:11" ht="15" customHeight="1">
      <c r="B94" s="2609" t="s">
        <v>587</v>
      </c>
      <c r="C94" s="2610"/>
      <c r="D94" s="2610"/>
      <c r="E94" s="2610"/>
      <c r="F94" s="2610"/>
      <c r="G94" s="2610"/>
      <c r="H94" s="2610"/>
      <c r="I94" s="2610"/>
      <c r="J94" s="2610"/>
      <c r="K94" s="2611"/>
    </row>
    <row r="95" spans="2:11">
      <c r="B95" s="578"/>
      <c r="C95" s="357"/>
      <c r="D95" s="357"/>
      <c r="E95" s="122"/>
      <c r="F95" s="122"/>
      <c r="G95" s="122"/>
      <c r="H95" s="122"/>
      <c r="I95" s="122"/>
      <c r="J95" s="122"/>
      <c r="K95" s="195"/>
    </row>
    <row r="96" spans="2:11" ht="15" customHeight="1">
      <c r="B96" s="2615" t="s">
        <v>588</v>
      </c>
      <c r="C96" s="2616"/>
      <c r="D96" s="2616"/>
      <c r="E96" s="2616"/>
      <c r="F96" s="2616"/>
      <c r="G96" s="2616"/>
      <c r="H96" s="2616"/>
      <c r="I96" s="2616"/>
      <c r="J96" s="2616"/>
      <c r="K96" s="2617"/>
    </row>
    <row r="97" spans="2:16" ht="17" thickBot="1">
      <c r="B97" s="2599"/>
      <c r="C97" s="2600"/>
      <c r="D97" s="2600"/>
      <c r="E97" s="621" t="s">
        <v>589</v>
      </c>
      <c r="F97" s="580"/>
      <c r="G97" s="580" t="s">
        <v>590</v>
      </c>
      <c r="H97" s="358"/>
      <c r="I97" s="122"/>
      <c r="J97" s="2659"/>
      <c r="K97" s="2660"/>
    </row>
    <row r="98" spans="2:16">
      <c r="B98" s="2647" t="s">
        <v>527</v>
      </c>
      <c r="C98" s="2648"/>
      <c r="D98" s="2649"/>
      <c r="E98" s="622">
        <f>E126</f>
        <v>0</v>
      </c>
      <c r="F98" s="582"/>
      <c r="G98" s="583" t="s">
        <v>591</v>
      </c>
      <c r="H98" s="630">
        <v>0.02</v>
      </c>
      <c r="I98" s="1712">
        <f>IF($P$6=504,(D$59*D65)*H98,0)</f>
        <v>0</v>
      </c>
      <c r="J98" s="1718" t="s">
        <v>592</v>
      </c>
      <c r="K98" s="585"/>
    </row>
    <row r="99" spans="2:16" ht="16" thickBot="1">
      <c r="B99" s="2650" t="s">
        <v>593</v>
      </c>
      <c r="C99" s="2651"/>
      <c r="D99" s="2652"/>
      <c r="E99" s="586">
        <f>IF(F118&gt;0,(K126-H126-E126),0)</f>
        <v>0</v>
      </c>
      <c r="F99" s="582"/>
      <c r="G99" s="583" t="s">
        <v>594</v>
      </c>
      <c r="H99" s="631">
        <v>0</v>
      </c>
      <c r="I99" s="1713">
        <f>IF($P$6=504,D$59*H99,0)</f>
        <v>0</v>
      </c>
      <c r="J99" s="1718" t="s">
        <v>592</v>
      </c>
      <c r="K99" s="585"/>
    </row>
    <row r="100" spans="2:16" ht="16" thickBot="1">
      <c r="B100" s="2618" t="s">
        <v>595</v>
      </c>
      <c r="C100" s="2619"/>
      <c r="D100" s="2619"/>
      <c r="E100" s="2620"/>
      <c r="F100" s="582"/>
      <c r="G100" s="583" t="s">
        <v>596</v>
      </c>
      <c r="H100" s="631">
        <v>5.0000000000000001E-3</v>
      </c>
      <c r="I100" s="1713">
        <f>IF($P$6=504,D$66*H100,0)</f>
        <v>0</v>
      </c>
      <c r="J100" s="1718" t="s">
        <v>597</v>
      </c>
      <c r="K100" s="585"/>
    </row>
    <row r="101" spans="2:16">
      <c r="B101" s="587" t="s">
        <v>598</v>
      </c>
      <c r="C101" s="623">
        <v>300</v>
      </c>
      <c r="D101" s="1488"/>
      <c r="E101" s="1716">
        <f>D101*C101</f>
        <v>0</v>
      </c>
      <c r="F101" s="582"/>
      <c r="G101" s="583" t="s">
        <v>218</v>
      </c>
      <c r="H101" s="632">
        <v>0</v>
      </c>
      <c r="I101" s="1714">
        <f>IF($P$6=504,D$59*H101,0)</f>
        <v>0</v>
      </c>
      <c r="J101" s="584"/>
      <c r="K101" s="589"/>
    </row>
    <row r="102" spans="2:16">
      <c r="B102" s="590" t="s">
        <v>599</v>
      </c>
      <c r="C102" s="1485">
        <v>6000</v>
      </c>
      <c r="D102" s="1487"/>
      <c r="E102" s="1710">
        <f t="shared" ref="E102:E111" si="14">D102*C102</f>
        <v>0</v>
      </c>
      <c r="F102" s="582"/>
      <c r="G102" s="583" t="s">
        <v>104</v>
      </c>
      <c r="H102" s="762">
        <f>SUM(H98:H101)</f>
        <v>2.5000000000000001E-2</v>
      </c>
      <c r="I102" s="1715">
        <f>SUM(I98:I101)</f>
        <v>0</v>
      </c>
      <c r="J102" s="584"/>
      <c r="K102" s="589"/>
    </row>
    <row r="103" spans="2:16">
      <c r="B103" s="1740" t="s">
        <v>218</v>
      </c>
      <c r="C103" s="1485"/>
      <c r="D103" s="1487"/>
      <c r="E103" s="1710">
        <f t="shared" si="14"/>
        <v>0</v>
      </c>
      <c r="F103" s="582"/>
      <c r="G103" s="583"/>
      <c r="H103" s="583" t="s">
        <v>600</v>
      </c>
      <c r="I103" s="122"/>
      <c r="J103" s="591"/>
      <c r="K103" s="589"/>
    </row>
    <row r="104" spans="2:16">
      <c r="B104" s="1740" t="s">
        <v>218</v>
      </c>
      <c r="C104" s="1485"/>
      <c r="D104" s="1487"/>
      <c r="E104" s="1710">
        <f t="shared" si="14"/>
        <v>0</v>
      </c>
      <c r="F104" s="582"/>
      <c r="G104" s="583"/>
      <c r="H104" s="583" t="s">
        <v>601</v>
      </c>
      <c r="I104" s="122"/>
      <c r="J104" s="591"/>
      <c r="K104" s="589"/>
    </row>
    <row r="105" spans="2:16">
      <c r="B105" s="1740" t="s">
        <v>218</v>
      </c>
      <c r="C105" s="1485"/>
      <c r="D105" s="1487"/>
      <c r="E105" s="1710">
        <f t="shared" si="14"/>
        <v>0</v>
      </c>
      <c r="F105" s="582"/>
      <c r="G105" s="583"/>
      <c r="H105" s="583"/>
      <c r="I105" s="122"/>
      <c r="J105" s="591"/>
      <c r="K105" s="589"/>
    </row>
    <row r="106" spans="2:16">
      <c r="B106" s="1740" t="s">
        <v>218</v>
      </c>
      <c r="C106" s="1485"/>
      <c r="D106" s="1487"/>
      <c r="E106" s="1710">
        <f t="shared" si="14"/>
        <v>0</v>
      </c>
      <c r="F106" s="582"/>
      <c r="G106" s="583"/>
      <c r="H106" s="583"/>
      <c r="I106" s="122"/>
      <c r="J106" s="591"/>
      <c r="K106" s="589"/>
    </row>
    <row r="107" spans="2:16">
      <c r="B107" s="1740" t="s">
        <v>218</v>
      </c>
      <c r="C107" s="1485"/>
      <c r="D107" s="1487"/>
      <c r="E107" s="1710">
        <f t="shared" si="14"/>
        <v>0</v>
      </c>
      <c r="F107" s="582"/>
      <c r="G107" s="583"/>
      <c r="H107" s="583"/>
      <c r="I107" s="122"/>
      <c r="J107" s="591"/>
      <c r="K107" s="589"/>
    </row>
    <row r="108" spans="2:16">
      <c r="B108" s="1740" t="s">
        <v>218</v>
      </c>
      <c r="C108" s="1485"/>
      <c r="D108" s="1487"/>
      <c r="E108" s="1710">
        <f t="shared" si="14"/>
        <v>0</v>
      </c>
      <c r="F108" s="582"/>
      <c r="G108" s="583"/>
      <c r="H108" s="583"/>
      <c r="I108" s="122"/>
      <c r="J108" s="591"/>
      <c r="K108" s="589"/>
    </row>
    <row r="109" spans="2:16">
      <c r="B109" s="1740" t="s">
        <v>218</v>
      </c>
      <c r="C109" s="1485"/>
      <c r="D109" s="1487">
        <v>1</v>
      </c>
      <c r="E109" s="1710">
        <f t="shared" si="14"/>
        <v>0</v>
      </c>
      <c r="F109" s="582"/>
      <c r="G109" s="583"/>
      <c r="H109" s="583"/>
      <c r="I109" s="122"/>
      <c r="J109" s="591"/>
      <c r="K109" s="589"/>
      <c r="N109" s="1"/>
      <c r="O109" s="1"/>
      <c r="P109" s="1"/>
    </row>
    <row r="110" spans="2:16">
      <c r="B110" s="1740" t="s">
        <v>218</v>
      </c>
      <c r="C110" s="1709"/>
      <c r="D110" s="1487"/>
      <c r="E110" s="1710">
        <f t="shared" si="14"/>
        <v>0</v>
      </c>
      <c r="F110" s="582"/>
      <c r="G110" s="583"/>
      <c r="H110" s="583"/>
      <c r="I110" s="122"/>
      <c r="J110" s="591"/>
      <c r="K110" s="589"/>
    </row>
    <row r="111" spans="2:16">
      <c r="B111" s="1740" t="s">
        <v>218</v>
      </c>
      <c r="C111" s="1709"/>
      <c r="D111" s="1487"/>
      <c r="E111" s="1710">
        <f t="shared" si="14"/>
        <v>0</v>
      </c>
      <c r="F111" s="582"/>
      <c r="G111" s="583"/>
      <c r="H111" s="583"/>
      <c r="I111" s="122"/>
      <c r="J111" s="591"/>
      <c r="K111" s="589"/>
    </row>
    <row r="112" spans="2:16" ht="16" thickBot="1">
      <c r="B112" s="2612" t="s">
        <v>104</v>
      </c>
      <c r="C112" s="2613"/>
      <c r="D112" s="2614"/>
      <c r="E112" s="1711">
        <f>SUM(E101:E111)</f>
        <v>0</v>
      </c>
      <c r="F112" s="592"/>
      <c r="G112" s="592"/>
      <c r="H112" s="592"/>
      <c r="I112" s="122"/>
      <c r="J112" s="591"/>
      <c r="K112" s="589"/>
    </row>
    <row r="113" spans="2:16">
      <c r="B113" s="2653"/>
      <c r="C113" s="2654"/>
      <c r="D113" s="2654"/>
      <c r="E113" s="2654"/>
      <c r="F113" s="583"/>
      <c r="G113" s="359"/>
      <c r="H113" s="122"/>
      <c r="I113" s="591"/>
      <c r="J113" s="591"/>
      <c r="K113" s="589"/>
      <c r="N113" s="1"/>
      <c r="O113" s="1"/>
      <c r="P113" s="1"/>
    </row>
    <row r="114" spans="2:16">
      <c r="B114" s="360"/>
      <c r="C114" s="359"/>
      <c r="D114" s="593"/>
      <c r="E114" s="594"/>
      <c r="F114" s="593"/>
      <c r="G114" s="122"/>
      <c r="H114" s="122"/>
      <c r="I114" s="591"/>
      <c r="J114" s="591"/>
      <c r="K114" s="589"/>
    </row>
    <row r="115" spans="2:16">
      <c r="B115" s="2644" t="str">
        <f>IF(('Wksht Print Separately'!C64="SBA 7a"),"SBA 7a","Not 7a, Guaranty Calculation not applicable")</f>
        <v>Not 7a, Guaranty Calculation not applicable</v>
      </c>
      <c r="C115" s="2645"/>
      <c r="D115" s="2645"/>
      <c r="E115" s="2645"/>
      <c r="F115" s="2645"/>
      <c r="G115" s="2645"/>
      <c r="H115" s="2645"/>
      <c r="I115" s="2645"/>
      <c r="J115" s="2645"/>
      <c r="K115" s="2646"/>
    </row>
    <row r="116" spans="2:16">
      <c r="B116" s="121"/>
      <c r="C116" s="122"/>
      <c r="D116" s="122"/>
      <c r="E116" s="2431" t="s">
        <v>126</v>
      </c>
      <c r="F116" s="2432"/>
      <c r="G116" s="633">
        <f>P22</f>
        <v>0.75</v>
      </c>
      <c r="H116" s="595"/>
      <c r="I116" s="595"/>
      <c r="J116" s="595"/>
      <c r="K116" s="596"/>
    </row>
    <row r="117" spans="2:16" ht="15" customHeight="1">
      <c r="B117" s="2601" t="s">
        <v>132</v>
      </c>
      <c r="C117" s="2602"/>
      <c r="D117" s="2602"/>
      <c r="E117" s="2602"/>
      <c r="F117" s="2602"/>
      <c r="G117" s="2602"/>
      <c r="H117" s="2602"/>
      <c r="I117" s="2602"/>
      <c r="J117" s="2602"/>
      <c r="K117" s="2603"/>
    </row>
    <row r="118" spans="2:16" ht="15" customHeight="1">
      <c r="B118" s="2604" t="s">
        <v>134</v>
      </c>
      <c r="C118" s="2605"/>
      <c r="D118" s="2605"/>
      <c r="E118" s="2605"/>
      <c r="F118" s="2621"/>
      <c r="G118" s="2622"/>
      <c r="H118" s="597"/>
      <c r="I118" s="598"/>
      <c r="J118" s="598"/>
      <c r="K118" s="599"/>
    </row>
    <row r="119" spans="2:16">
      <c r="B119" s="2604" t="s">
        <v>136</v>
      </c>
      <c r="C119" s="2605"/>
      <c r="D119" s="2605"/>
      <c r="E119" s="2605"/>
      <c r="F119" s="2674"/>
      <c r="G119" s="2675"/>
      <c r="H119" s="600"/>
      <c r="I119" s="359"/>
      <c r="J119" s="598"/>
      <c r="K119" s="599"/>
    </row>
    <row r="120" spans="2:16">
      <c r="B120" s="2337" t="s">
        <v>138</v>
      </c>
      <c r="C120" s="2338"/>
      <c r="D120" s="2339"/>
      <c r="E120" s="2339"/>
      <c r="F120" s="2339"/>
      <c r="G120" s="2339"/>
      <c r="H120" s="2339"/>
      <c r="I120" s="2339"/>
      <c r="J120" s="2339"/>
      <c r="K120" s="2340"/>
    </row>
    <row r="121" spans="2:16">
      <c r="B121" s="2341" t="s">
        <v>140</v>
      </c>
      <c r="C121" s="2342"/>
      <c r="D121" s="2343"/>
      <c r="E121" s="2344"/>
      <c r="F121" s="2342" t="s">
        <v>141</v>
      </c>
      <c r="G121" s="2343"/>
      <c r="H121" s="2344"/>
      <c r="I121" s="2342" t="s">
        <v>142</v>
      </c>
      <c r="J121" s="2343"/>
      <c r="K121" s="2345"/>
    </row>
    <row r="122" spans="2:16">
      <c r="B122" s="360" t="s">
        <v>144</v>
      </c>
      <c r="C122" s="359"/>
      <c r="D122" s="1363"/>
      <c r="E122" s="1364">
        <f>IF(B115="SBA 7a",D59,0)</f>
        <v>0</v>
      </c>
      <c r="F122" s="361" t="s">
        <v>144</v>
      </c>
      <c r="G122" s="359"/>
      <c r="H122" s="601">
        <f>F118</f>
        <v>0</v>
      </c>
      <c r="I122" s="361" t="s">
        <v>144</v>
      </c>
      <c r="J122" s="359"/>
      <c r="K122" s="602">
        <f>H122+E122</f>
        <v>0</v>
      </c>
    </row>
    <row r="123" spans="2:16">
      <c r="B123" s="360" t="s">
        <v>146</v>
      </c>
      <c r="C123" s="359"/>
      <c r="D123" s="1365"/>
      <c r="E123" s="1366">
        <f>E122*G116</f>
        <v>0</v>
      </c>
      <c r="F123" s="361" t="s">
        <v>146</v>
      </c>
      <c r="G123" s="359"/>
      <c r="H123" s="601">
        <f>H122*F119</f>
        <v>0</v>
      </c>
      <c r="I123" s="361" t="s">
        <v>146</v>
      </c>
      <c r="J123" s="359"/>
      <c r="K123" s="602">
        <f>E123+H123</f>
        <v>0</v>
      </c>
    </row>
    <row r="124" spans="2:16">
      <c r="B124" s="360" t="s">
        <v>148</v>
      </c>
      <c r="C124" s="359"/>
      <c r="D124" s="1365"/>
      <c r="E124" s="1366">
        <f>SUM(E129:E133)</f>
        <v>0</v>
      </c>
      <c r="F124" s="361" t="s">
        <v>148</v>
      </c>
      <c r="G124" s="359"/>
      <c r="H124" s="601">
        <f>SUM(F129:G133)</f>
        <v>0</v>
      </c>
      <c r="I124" s="361" t="s">
        <v>148</v>
      </c>
      <c r="J124" s="359"/>
      <c r="K124" s="602">
        <f>SUM(I129:J133)</f>
        <v>0</v>
      </c>
    </row>
    <row r="125" spans="2:16">
      <c r="B125" s="362" t="s">
        <v>150</v>
      </c>
      <c r="C125" s="363"/>
      <c r="D125" s="1367"/>
      <c r="E125" s="1368">
        <f>IF(F118&gt;0,K124-H124-E124,0)</f>
        <v>0</v>
      </c>
      <c r="F125" s="364"/>
      <c r="G125" s="363"/>
      <c r="H125" s="603"/>
      <c r="I125" s="364"/>
      <c r="J125" s="363"/>
      <c r="K125" s="604"/>
    </row>
    <row r="126" spans="2:16" ht="16" thickBot="1">
      <c r="B126" s="365" t="s">
        <v>152</v>
      </c>
      <c r="C126" s="366"/>
      <c r="D126" s="1369"/>
      <c r="E126" s="1370">
        <f>ROUNDUP(E124+E125,-0.1)</f>
        <v>0</v>
      </c>
      <c r="F126" s="367" t="s">
        <v>152</v>
      </c>
      <c r="G126" s="366"/>
      <c r="H126" s="605">
        <f>ROUNDUP(H124+H125,-0.1)</f>
        <v>0</v>
      </c>
      <c r="I126" s="367" t="s">
        <v>152</v>
      </c>
      <c r="J126" s="366"/>
      <c r="K126" s="606">
        <f>ROUNDUP(K124+K125,-0.1)</f>
        <v>0</v>
      </c>
    </row>
    <row r="127" spans="2:16" ht="17" thickBot="1">
      <c r="B127" s="2367"/>
      <c r="C127" s="2368"/>
      <c r="D127" s="2368"/>
      <c r="E127" s="2368"/>
      <c r="F127" s="2368"/>
      <c r="G127" s="2368"/>
      <c r="H127" s="2368"/>
      <c r="I127" s="2368"/>
      <c r="J127" s="2368"/>
      <c r="K127" s="2369"/>
    </row>
    <row r="128" spans="2:16">
      <c r="B128" s="221" t="s">
        <v>155</v>
      </c>
      <c r="C128" s="119" t="s">
        <v>156</v>
      </c>
      <c r="D128" s="119"/>
      <c r="E128" s="119"/>
      <c r="F128" s="2372" t="s">
        <v>157</v>
      </c>
      <c r="G128" s="2372"/>
      <c r="H128" s="119"/>
      <c r="I128" s="119" t="s">
        <v>158</v>
      </c>
      <c r="J128" s="119" t="s">
        <v>156</v>
      </c>
      <c r="K128" s="120"/>
    </row>
    <row r="129" spans="2:11">
      <c r="B129" s="607" t="s">
        <v>160</v>
      </c>
      <c r="C129" s="608">
        <v>150000</v>
      </c>
      <c r="D129" s="871">
        <v>0.02</v>
      </c>
      <c r="E129" s="609">
        <f>IF($E$122&lt;=$C$129,$E$123*$D$129,0)</f>
        <v>0</v>
      </c>
      <c r="F129" s="1371"/>
      <c r="G129" s="1371">
        <f>IF($H$122&lt;=($C$129+1),$H$123*$D$129,0)</f>
        <v>0</v>
      </c>
      <c r="H129" s="122"/>
      <c r="I129" s="1361"/>
      <c r="J129" s="1361">
        <f>IF($K$122&lt;=($C$129+1),$K$123*$D$129,0)</f>
        <v>0</v>
      </c>
      <c r="K129" s="610"/>
    </row>
    <row r="130" spans="2:11">
      <c r="B130" s="1359">
        <v>150001</v>
      </c>
      <c r="C130" s="1344">
        <v>700000</v>
      </c>
      <c r="D130" s="871">
        <v>0.03</v>
      </c>
      <c r="E130" s="1717">
        <f>IF($E$122&gt;=($C$130+1),0,IF($E$122&gt;=$B$130,$E$123*$D$130,0))</f>
        <v>0</v>
      </c>
      <c r="F130" s="1371"/>
      <c r="G130" s="1717">
        <f>IF($H$122&gt;=($C$130+1),0,IF($H$122&gt;=$B$130,$H$123*$D$130,0))</f>
        <v>0</v>
      </c>
      <c r="H130" s="122"/>
      <c r="I130" s="1361"/>
      <c r="J130" s="1717">
        <f>IF($K$122&gt;=($C$130+1),0,IF($K$122&gt;=$B$130,$K$123*$D$130,0))</f>
        <v>0</v>
      </c>
      <c r="K130" s="610"/>
    </row>
    <row r="131" spans="2:11">
      <c r="B131" s="1766"/>
      <c r="C131" s="1767"/>
      <c r="D131" s="1768">
        <v>0</v>
      </c>
      <c r="E131" s="1769">
        <f>IF($E$122&gt;=($C$130+1),0,IF($E$123&gt;=$B$130,IF(E123&gt;1000000,(($E$123-1000000)*$D$131),0),0))</f>
        <v>0</v>
      </c>
      <c r="F131" s="1770"/>
      <c r="G131" s="1770">
        <f>IF($H$122&gt;=($C$130+1),0,IF($H$123&gt;=$B$130,IF(H123&gt;1000000,(($H$123-1000000)*$D$131),0),0))</f>
        <v>0</v>
      </c>
      <c r="H131" s="1771"/>
      <c r="I131" s="1772"/>
      <c r="J131" s="1772">
        <f>IF($K$122&gt;=($C$130+1),0,IF($K$123&gt;=$B$130,IF(K123&gt;1000000,(($K$123-1000000)*$D$131),0),0))</f>
        <v>0</v>
      </c>
      <c r="K131" s="1773"/>
    </row>
    <row r="132" spans="2:11">
      <c r="B132" s="1359">
        <v>700001</v>
      </c>
      <c r="C132" s="1344">
        <v>5000000</v>
      </c>
      <c r="D132" s="871">
        <v>3.5000000000000003E-2</v>
      </c>
      <c r="E132" s="609">
        <f>IF($E$122&gt;=($B$132),1000000*$D$132,0)</f>
        <v>0</v>
      </c>
      <c r="F132" s="1371"/>
      <c r="G132" s="1372">
        <f>IF($H$122&gt;=($B$132),1000000*$D$132,0)</f>
        <v>0</v>
      </c>
      <c r="H132" s="122"/>
      <c r="I132" s="1361"/>
      <c r="J132" s="1361">
        <f>IF($K$122&gt;=($B$132),1000000*$D$132,0)</f>
        <v>0</v>
      </c>
      <c r="K132" s="610"/>
    </row>
    <row r="133" spans="2:11" ht="16" thickBot="1">
      <c r="B133" s="1360"/>
      <c r="C133" s="1345"/>
      <c r="D133" s="872">
        <v>3.7499999999999999E-2</v>
      </c>
      <c r="E133" s="611">
        <f>IF($E$122&gt;=($B$132),(E123-1000000)*$D$133,0)</f>
        <v>0</v>
      </c>
      <c r="F133" s="1373"/>
      <c r="G133" s="1373">
        <f>IF($H$122&gt;=($B$132),(H123-1000000)*$D$133,0)</f>
        <v>0</v>
      </c>
      <c r="H133" s="124"/>
      <c r="I133" s="1362"/>
      <c r="J133" s="1362">
        <f>IF($K$122&gt;=($B$132),(K123-1000000)*$D$133,0)</f>
        <v>0</v>
      </c>
      <c r="K133" s="612"/>
    </row>
  </sheetData>
  <sheetProtection algorithmName="SHA-512" hashValue="0Cp7alLSYM+P3ZICr+UnmLskpUTLyW3tiCEb2Fw+whpoQExQzXRvGk60Rc4FiFvZnodu0P45/6NKKWdjolIE0Q==" saltValue="ZmUTTrRDfDhAfNPfHCZOdQ==" spinCount="100000" sheet="1" scenarios="1" formatCells="0" formatColumns="0" formatRows="0"/>
  <customSheetViews>
    <customSheetView guid="{6E1FDEE6-49D0-4876-8C7C-09893145D2CE}" scale="85" showGridLines="0" printArea="1" state="hidden">
      <pane xSplit="2" ySplit="2" topLeftCell="C33" activePane="bottomRight" state="frozen"/>
      <selection pane="bottomRight" activeCell="J61" sqref="J61"/>
      <rowBreaks count="1" manualBreakCount="1">
        <brk id="65" max="9" man="1"/>
      </rowBreaks>
      <pageMargins left="0" right="0" top="0" bottom="0" header="0" footer="0"/>
      <printOptions horizontalCentered="1"/>
      <pageSetup scale="63" orientation="portrait" r:id="rId1"/>
      <headerFooter differentFirst="1">
        <firstHeader>&amp;L&amp;G&amp;C&amp;8
&amp;18Credit Memo</firstHeader>
      </headerFooter>
    </customSheetView>
    <customSheetView guid="{DB1F6E98-7FCC-445F-9DA6-47D8BF8BE969}" scale="85" showGridLines="0" printArea="1" state="hidden">
      <pane xSplit="2" ySplit="2" topLeftCell="C33" activePane="bottomRight" state="frozen"/>
      <selection pane="bottomRight" activeCell="J61" sqref="J61"/>
      <rowBreaks count="1" manualBreakCount="1">
        <brk id="65" max="9" man="1"/>
      </rowBreaks>
      <pageMargins left="0" right="0" top="0" bottom="0" header="0" footer="0"/>
      <printOptions horizontalCentered="1"/>
      <pageSetup scale="63" orientation="portrait" r:id="rId2"/>
      <headerFooter differentFirst="1">
        <firstHeader>&amp;L&amp;G&amp;C&amp;8
&amp;18Credit Memo</firstHeader>
      </headerFooter>
    </customSheetView>
    <customSheetView guid="{C02CA8E5-5D4C-45E5-BC4A-4C9BE481059B}" scale="85" showGridLines="0" printArea="1" state="hidden">
      <pane xSplit="2" ySplit="2" topLeftCell="C51" activePane="bottomRight" state="frozen"/>
      <selection pane="bottomRight" activeCell="M1" sqref="M1:O1"/>
      <rowBreaks count="1" manualBreakCount="1">
        <brk id="65" max="9" man="1"/>
      </rowBreaks>
      <pageMargins left="0" right="0" top="0" bottom="0" header="0" footer="0"/>
      <printOptions horizontalCentered="1"/>
      <pageSetup scale="63" orientation="portrait" r:id="rId3"/>
      <headerFooter differentFirst="1">
        <firstHeader>&amp;L&amp;G&amp;C&amp;8
&amp;18Credit Memo</firstHeader>
      </headerFooter>
    </customSheetView>
  </customSheetViews>
  <mergeCells count="143">
    <mergeCell ref="B127:K127"/>
    <mergeCell ref="B5:C5"/>
    <mergeCell ref="B1:K1"/>
    <mergeCell ref="B2:C2"/>
    <mergeCell ref="B4:C4"/>
    <mergeCell ref="B22:C22"/>
    <mergeCell ref="B6:C6"/>
    <mergeCell ref="B11:C11"/>
    <mergeCell ref="B12:C12"/>
    <mergeCell ref="B13:C13"/>
    <mergeCell ref="B14:C14"/>
    <mergeCell ref="B15:K15"/>
    <mergeCell ref="B16:K16"/>
    <mergeCell ref="B17:C17"/>
    <mergeCell ref="B18:C18"/>
    <mergeCell ref="B41:K41"/>
    <mergeCell ref="B27:C27"/>
    <mergeCell ref="B28:C28"/>
    <mergeCell ref="B29:C29"/>
    <mergeCell ref="B113:E113"/>
    <mergeCell ref="F17:G17"/>
    <mergeCell ref="B23:C23"/>
    <mergeCell ref="B24:C24"/>
    <mergeCell ref="B53:C53"/>
    <mergeCell ref="B57:C57"/>
    <mergeCell ref="B33:C33"/>
    <mergeCell ref="B59:C59"/>
    <mergeCell ref="B35:K35"/>
    <mergeCell ref="B37:C37"/>
    <mergeCell ref="B38:C38"/>
    <mergeCell ref="B39:C39"/>
    <mergeCell ref="B49:C49"/>
    <mergeCell ref="B50:C50"/>
    <mergeCell ref="B92:C93"/>
    <mergeCell ref="D93:E93"/>
    <mergeCell ref="F93:K93"/>
    <mergeCell ref="B91:K91"/>
    <mergeCell ref="B62:K62"/>
    <mergeCell ref="B73:C73"/>
    <mergeCell ref="B74:C74"/>
    <mergeCell ref="D63:D64"/>
    <mergeCell ref="E63:E64"/>
    <mergeCell ref="F63:F64"/>
    <mergeCell ref="B70:C70"/>
    <mergeCell ref="B71:C71"/>
    <mergeCell ref="B72:C72"/>
    <mergeCell ref="B69:C69"/>
    <mergeCell ref="B121:E121"/>
    <mergeCell ref="F121:H121"/>
    <mergeCell ref="I121:K121"/>
    <mergeCell ref="B120:K120"/>
    <mergeCell ref="B115:K115"/>
    <mergeCell ref="E116:F116"/>
    <mergeCell ref="B117:K117"/>
    <mergeCell ref="B118:E118"/>
    <mergeCell ref="F118:G118"/>
    <mergeCell ref="B119:E119"/>
    <mergeCell ref="F119:G119"/>
    <mergeCell ref="P6:Q6"/>
    <mergeCell ref="N7:O7"/>
    <mergeCell ref="P7:Q7"/>
    <mergeCell ref="N8:O8"/>
    <mergeCell ref="P8:Q8"/>
    <mergeCell ref="B7:C7"/>
    <mergeCell ref="B8:C8"/>
    <mergeCell ref="B9:C9"/>
    <mergeCell ref="B10:C10"/>
    <mergeCell ref="N6:O6"/>
    <mergeCell ref="N10:O10"/>
    <mergeCell ref="N9:O9"/>
    <mergeCell ref="P9:Q9"/>
    <mergeCell ref="P18:Q18"/>
    <mergeCell ref="N19:O19"/>
    <mergeCell ref="P19:Q19"/>
    <mergeCell ref="B20:C20"/>
    <mergeCell ref="B21:C21"/>
    <mergeCell ref="B19:C19"/>
    <mergeCell ref="B60:C60"/>
    <mergeCell ref="N17:O17"/>
    <mergeCell ref="B42:C42"/>
    <mergeCell ref="B43:C43"/>
    <mergeCell ref="B44:C44"/>
    <mergeCell ref="B45:C45"/>
    <mergeCell ref="B40:K40"/>
    <mergeCell ref="B56:C56"/>
    <mergeCell ref="B30:C30"/>
    <mergeCell ref="B32:C32"/>
    <mergeCell ref="B46:C46"/>
    <mergeCell ref="B48:C48"/>
    <mergeCell ref="B25:C25"/>
    <mergeCell ref="B26:C26"/>
    <mergeCell ref="B54:C54"/>
    <mergeCell ref="B55:C55"/>
    <mergeCell ref="B47:C47"/>
    <mergeCell ref="B52:C52"/>
    <mergeCell ref="F128:G128"/>
    <mergeCell ref="B100:E100"/>
    <mergeCell ref="B112:D112"/>
    <mergeCell ref="G63:G64"/>
    <mergeCell ref="H63:H64"/>
    <mergeCell ref="I63:I64"/>
    <mergeCell ref="B65:C65"/>
    <mergeCell ref="B97:D97"/>
    <mergeCell ref="J97:K97"/>
    <mergeCell ref="B98:D98"/>
    <mergeCell ref="B99:D99"/>
    <mergeCell ref="B96:K96"/>
    <mergeCell ref="B75:C75"/>
    <mergeCell ref="B78:K78"/>
    <mergeCell ref="B86:C86"/>
    <mergeCell ref="B87:C87"/>
    <mergeCell ref="D87:E87"/>
    <mergeCell ref="F87:K87"/>
    <mergeCell ref="B88:K88"/>
    <mergeCell ref="B89:C90"/>
    <mergeCell ref="D90:E90"/>
    <mergeCell ref="F90:K90"/>
    <mergeCell ref="B94:K94"/>
    <mergeCell ref="B85:K85"/>
    <mergeCell ref="N15:O15"/>
    <mergeCell ref="P15:Q15"/>
    <mergeCell ref="P20:Q20"/>
    <mergeCell ref="N20:O20"/>
    <mergeCell ref="N16:O16"/>
    <mergeCell ref="P16:Q16"/>
    <mergeCell ref="B31:C31"/>
    <mergeCell ref="P10:Q10"/>
    <mergeCell ref="N11:O11"/>
    <mergeCell ref="P11:Q11"/>
    <mergeCell ref="N12:O12"/>
    <mergeCell ref="P12:Q12"/>
    <mergeCell ref="N21:O21"/>
    <mergeCell ref="N23:O23"/>
    <mergeCell ref="P23:Q23"/>
    <mergeCell ref="P21:Q21"/>
    <mergeCell ref="N22:O22"/>
    <mergeCell ref="P22:Q22"/>
    <mergeCell ref="N13:O13"/>
    <mergeCell ref="P13:Q13"/>
    <mergeCell ref="N14:O14"/>
    <mergeCell ref="P14:Q14"/>
    <mergeCell ref="P17:Q17"/>
    <mergeCell ref="N18:O18"/>
  </mergeCells>
  <conditionalFormatting sqref="G75">
    <cfRule type="cellIs" dxfId="42" priority="1" operator="notEqual">
      <formula>$B$84</formula>
    </cfRule>
  </conditionalFormatting>
  <conditionalFormatting sqref="E9:H13">
    <cfRule type="expression" dxfId="41" priority="3">
      <formula>$P$6=504</formula>
    </cfRule>
  </conditionalFormatting>
  <hyperlinks>
    <hyperlink ref="N1" location="Index!A1" display="Index" xr:uid="{1389CCF2-A533-4EC4-ABA9-F61BE38E2BC0}"/>
  </hyperlinks>
  <printOptions horizontalCentered="1"/>
  <pageMargins left="0.7" right="0.7" top="0.75" bottom="0.75" header="0.3" footer="0.3"/>
  <pageSetup scale="57" orientation="portrait" r:id="rId4"/>
  <headerFooter differentFirst="1">
    <firstHeader>&amp;L&amp;G&amp;C&amp;8
&amp;18Credit Memo</firstHeader>
  </headerFooter>
  <rowBreaks count="1" manualBreakCount="1">
    <brk id="93" min="1" max="10" man="1"/>
  </rowBreaks>
  <drawing r:id="rId5"/>
  <legacyDrawing r:id="rId6"/>
  <mc:AlternateContent xmlns:mc="http://schemas.openxmlformats.org/markup-compatibility/2006">
    <mc:Choice Requires="x14">
      <controls>
        <mc:AlternateContent xmlns:mc="http://schemas.openxmlformats.org/markup-compatibility/2006">
          <mc:Choice Requires="x14">
            <control shapeId="475140" r:id="rId7" name="Button 4">
              <controlPr defaultSize="0" print="0" autoFill="0" autoPict="0" macro="[0]!UW_Proj_ADJ">
                <anchor moveWithCells="1" sizeWithCells="1">
                  <from>
                    <xdr:col>13</xdr:col>
                    <xdr:colOff>292100</xdr:colOff>
                    <xdr:row>24</xdr:row>
                    <xdr:rowOff>177800</xdr:rowOff>
                  </from>
                  <to>
                    <xdr:col>16</xdr:col>
                    <xdr:colOff>571500</xdr:colOff>
                    <xdr:row>26</xdr:row>
                    <xdr:rowOff>139700</xdr:rowOff>
                  </to>
                </anchor>
              </controlPr>
            </control>
          </mc:Choice>
        </mc:AlternateContent>
        <mc:AlternateContent xmlns:mc="http://schemas.openxmlformats.org/markup-compatibility/2006">
          <mc:Choice Requires="x14">
            <control shapeId="475141" r:id="rId8" name="Button 5">
              <controlPr defaultSize="0" print="0" autoFill="0" autoPict="0" macro="[0]!UW_504_Proj_ADJ">
                <anchor moveWithCells="1" sizeWithCells="1">
                  <from>
                    <xdr:col>13</xdr:col>
                    <xdr:colOff>304800</xdr:colOff>
                    <xdr:row>27</xdr:row>
                    <xdr:rowOff>50800</xdr:rowOff>
                  </from>
                  <to>
                    <xdr:col>16</xdr:col>
                    <xdr:colOff>558800</xdr:colOff>
                    <xdr:row>29</xdr:row>
                    <xdr:rowOff>63500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showInputMessage="1" showErrorMessage="1" xr:uid="{4146FE01-70F7-4AF9-8492-C909F4CD114A}">
          <x14:formula1>
            <xm:f>Lists!$B$2:$B$9</xm:f>
          </x14:formula1>
          <xm:sqref>P6</xm:sqref>
        </x14:dataValidation>
        <x14:dataValidation type="list" allowBlank="1" showInputMessage="1" showErrorMessage="1" xr:uid="{1AB05703-E976-469B-8A78-904F19079521}">
          <x14:formula1>
            <xm:f>Lists!$C$62:$C$65</xm:f>
          </x14:formula1>
          <xm:sqref>P17</xm:sqref>
        </x14:dataValidation>
        <x14:dataValidation type="list" allowBlank="1" showInputMessage="1" showErrorMessage="1" xr:uid="{A53A4B5F-09AE-4883-B28E-D16066C3AE03}">
          <x14:formula1>
            <xm:f>Lists!$A$48:$A$51</xm:f>
          </x14:formula1>
          <xm:sqref>B80</xm:sqref>
        </x14:dataValidation>
        <x14:dataValidation type="list" allowBlank="1" showInputMessage="1" showErrorMessage="1" xr:uid="{B1D6E847-0DE1-43F3-9509-D7F74137C0E4}">
          <x14:formula1>
            <xm:f>Lists!$C$8:$C$10</xm:f>
          </x14:formula1>
          <xm:sqref>P15:Q15</xm:sqref>
        </x14:dataValidation>
        <x14:dataValidation type="list" allowBlank="1" showInputMessage="1" showErrorMessage="1" xr:uid="{3BFBBF55-A708-4CDB-B69D-45F292B0F50E}">
          <x14:formula1>
            <xm:f>Lists!$A$30:$A$34</xm:f>
          </x14:formula1>
          <xm:sqref>P14:Q14</xm:sqref>
        </x14:dataValidation>
        <x14:dataValidation type="list" allowBlank="1" showInputMessage="1" showErrorMessage="1" xr:uid="{EC0F4434-3276-4FB6-8631-244896977D72}">
          <x14:formula1>
            <xm:f>Lists!$E$53:$E$55</xm:f>
          </x14:formula1>
          <xm:sqref>P13:Q13</xm:sqref>
        </x14:dataValidation>
        <x14:dataValidation type="list" allowBlank="1" showInputMessage="1" showErrorMessage="1" xr:uid="{EFCB5F6B-21CF-432B-A8D3-37F39C1D16F5}">
          <x14:formula1>
            <xm:f>Lists!$A$80:$A$83</xm:f>
          </x14:formula1>
          <xm:sqref>P9:Q9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tabColor rgb="FF00B050"/>
    <pageSetUpPr autoPageBreaks="0"/>
  </sheetPr>
  <dimension ref="C2:N73"/>
  <sheetViews>
    <sheetView showGridLines="0" zoomScale="85" zoomScaleNormal="85" workbookViewId="0">
      <selection activeCell="F18" sqref="F18"/>
    </sheetView>
  </sheetViews>
  <sheetFormatPr baseColWidth="10" defaultColWidth="8.83203125" defaultRowHeight="15"/>
  <cols>
    <col min="2" max="2" width="2.6640625" customWidth="1"/>
    <col min="3" max="3" width="20.83203125" customWidth="1"/>
    <col min="4" max="4" width="12" customWidth="1"/>
    <col min="5" max="5" width="17.83203125" bestFit="1" customWidth="1"/>
    <col min="6" max="6" width="12.33203125" customWidth="1"/>
    <col min="7" max="7" width="16.83203125" customWidth="1"/>
    <col min="8" max="8" width="18.1640625" bestFit="1" customWidth="1"/>
    <col min="9" max="9" width="11.5" bestFit="1" customWidth="1"/>
    <col min="10" max="10" width="2.6640625" customWidth="1"/>
    <col min="15" max="15" width="2.6640625" customWidth="1"/>
  </cols>
  <sheetData>
    <row r="2" spans="3:14" ht="16" thickBot="1"/>
    <row r="3" spans="3:14" ht="19">
      <c r="C3" s="2748" t="s">
        <v>602</v>
      </c>
      <c r="D3" s="2749"/>
      <c r="E3" s="2749"/>
      <c r="F3" s="2749"/>
      <c r="G3" s="2749"/>
      <c r="H3" s="2749"/>
      <c r="I3" s="2750"/>
      <c r="L3" s="2756"/>
      <c r="M3" s="2756"/>
    </row>
    <row r="4" spans="3:14" ht="19">
      <c r="C4" s="2751" t="s">
        <v>603</v>
      </c>
      <c r="D4" s="2752"/>
      <c r="E4" s="2752"/>
      <c r="F4" s="2752"/>
      <c r="G4" s="2752"/>
      <c r="H4" s="2752"/>
      <c r="I4" s="2753"/>
      <c r="J4" s="873"/>
    </row>
    <row r="5" spans="3:14" ht="17" thickBot="1">
      <c r="C5" s="2672"/>
      <c r="D5" s="2673"/>
      <c r="E5" s="210" t="str">
        <f>UOP!D2</f>
        <v>T Bank Loan</v>
      </c>
      <c r="F5" s="211" t="str">
        <f>UOP!E2</f>
        <v>Borrower</v>
      </c>
      <c r="G5" s="211" t="str">
        <f>UOP!F2</f>
        <v>Seller/Other</v>
      </c>
      <c r="H5" s="211" t="str">
        <f>UOP!G2</f>
        <v>3rd Party/CDC Loan</v>
      </c>
      <c r="I5" s="212" t="s">
        <v>104</v>
      </c>
      <c r="J5" s="874"/>
    </row>
    <row r="6" spans="3:14">
      <c r="C6" s="2672" t="str">
        <f>UOP!B4</f>
        <v>Real Estate Acquisition</v>
      </c>
      <c r="D6" s="2747"/>
      <c r="E6" s="875">
        <f>UOP!D4</f>
        <v>0</v>
      </c>
      <c r="F6" s="875">
        <f>UOP!E4</f>
        <v>0</v>
      </c>
      <c r="G6" s="875">
        <f>UOP!F4</f>
        <v>0</v>
      </c>
      <c r="H6" s="875">
        <f>UOP!G4</f>
        <v>0</v>
      </c>
      <c r="I6" s="876">
        <f>UOP!H4</f>
        <v>0</v>
      </c>
      <c r="J6" s="874"/>
      <c r="K6" s="2743" t="s">
        <v>108</v>
      </c>
      <c r="L6" s="2744"/>
      <c r="M6" s="2757">
        <f>UOP!P6</f>
        <v>0</v>
      </c>
      <c r="N6" s="2758"/>
    </row>
    <row r="7" spans="3:14">
      <c r="C7" s="2672" t="str">
        <f>UOP!B5</f>
        <v>Debt Refi - CRE</v>
      </c>
      <c r="D7" s="2747"/>
      <c r="E7" s="875">
        <f>UOP!D5</f>
        <v>0</v>
      </c>
      <c r="F7" s="875">
        <f>UOP!E5</f>
        <v>0</v>
      </c>
      <c r="G7" s="875">
        <f>UOP!F5</f>
        <v>0</v>
      </c>
      <c r="H7" s="875">
        <f>UOP!G5</f>
        <v>0</v>
      </c>
      <c r="I7" s="876">
        <f>UOP!H5</f>
        <v>0</v>
      </c>
      <c r="J7" s="874"/>
      <c r="K7" s="2723" t="s">
        <v>144</v>
      </c>
      <c r="L7" s="2626"/>
      <c r="M7" s="2759">
        <f>UOP!P7</f>
        <v>0</v>
      </c>
      <c r="N7" s="2760"/>
    </row>
    <row r="8" spans="3:14">
      <c r="C8" s="2672" t="str">
        <f>UOP!B6</f>
        <v>Debt Refi - Non-CRE</v>
      </c>
      <c r="D8" s="2747"/>
      <c r="E8" s="875">
        <f>UOP!D6</f>
        <v>0</v>
      </c>
      <c r="F8" s="875">
        <f>UOP!E6</f>
        <v>0</v>
      </c>
      <c r="G8" s="875">
        <f>UOP!F6</f>
        <v>0</v>
      </c>
      <c r="H8" s="875">
        <f>UOP!G6</f>
        <v>0</v>
      </c>
      <c r="I8" s="876">
        <f>UOP!H6</f>
        <v>0</v>
      </c>
      <c r="J8" s="874"/>
      <c r="K8" s="2723" t="s">
        <v>523</v>
      </c>
      <c r="L8" s="2626"/>
      <c r="M8" s="2761">
        <f>UOP!P8</f>
        <v>0</v>
      </c>
      <c r="N8" s="2737"/>
    </row>
    <row r="9" spans="3:14">
      <c r="C9" s="2672" t="str">
        <f>UOP!B7</f>
        <v>Machinery &amp; Equipment</v>
      </c>
      <c r="D9" s="2747"/>
      <c r="E9" s="875">
        <f>UOP!D7</f>
        <v>0</v>
      </c>
      <c r="F9" s="875">
        <f>UOP!E7</f>
        <v>0</v>
      </c>
      <c r="G9" s="875">
        <f>UOP!F7</f>
        <v>0</v>
      </c>
      <c r="H9" s="875">
        <f>UOP!G7</f>
        <v>0</v>
      </c>
      <c r="I9" s="876">
        <f>UOP!H7</f>
        <v>0</v>
      </c>
      <c r="J9" s="874"/>
      <c r="K9" s="2723" t="s">
        <v>524</v>
      </c>
      <c r="L9" s="2626"/>
      <c r="M9" s="2762">
        <f>UOP!P9</f>
        <v>0</v>
      </c>
      <c r="N9" s="2763"/>
    </row>
    <row r="10" spans="3:14">
      <c r="C10" s="2672" t="str">
        <f>UOP!B8</f>
        <v>Furniture &amp; Fixtures (TIs)</v>
      </c>
      <c r="D10" s="2747"/>
      <c r="E10" s="875">
        <f>UOP!D8</f>
        <v>0</v>
      </c>
      <c r="F10" s="875">
        <f>UOP!E8</f>
        <v>0</v>
      </c>
      <c r="G10" s="875">
        <f>UOP!F8</f>
        <v>0</v>
      </c>
      <c r="H10" s="875">
        <f>UOP!G8</f>
        <v>0</v>
      </c>
      <c r="I10" s="876">
        <f>UOP!H8</f>
        <v>0</v>
      </c>
      <c r="J10" s="874"/>
      <c r="K10" s="2723" t="s">
        <v>112</v>
      </c>
      <c r="L10" s="2626"/>
      <c r="M10" s="2764">
        <f>UOP!P10</f>
        <v>0</v>
      </c>
      <c r="N10" s="2765"/>
    </row>
    <row r="11" spans="3:14">
      <c r="C11" s="2672" t="str">
        <f>UOP!B9</f>
        <v>Inventory</v>
      </c>
      <c r="D11" s="2747"/>
      <c r="E11" s="875">
        <f>UOP!D9</f>
        <v>0</v>
      </c>
      <c r="F11" s="875">
        <f>UOP!E9</f>
        <v>0</v>
      </c>
      <c r="G11" s="875">
        <f>UOP!F9</f>
        <v>0</v>
      </c>
      <c r="H11" s="875">
        <f>UOP!G9</f>
        <v>0</v>
      </c>
      <c r="I11" s="876">
        <f>UOP!H9</f>
        <v>0</v>
      </c>
      <c r="J11" s="874"/>
      <c r="K11" s="2723" t="s">
        <v>113</v>
      </c>
      <c r="L11" s="2626"/>
      <c r="M11" s="2764">
        <f>UOP!P11</f>
        <v>0</v>
      </c>
      <c r="N11" s="2765"/>
    </row>
    <row r="12" spans="3:14">
      <c r="C12" s="2672" t="str">
        <f>UOP!B10</f>
        <v>Working Capital</v>
      </c>
      <c r="D12" s="2747"/>
      <c r="E12" s="875">
        <f>UOP!D10</f>
        <v>0</v>
      </c>
      <c r="F12" s="875">
        <f>UOP!E10</f>
        <v>0</v>
      </c>
      <c r="G12" s="875">
        <f>UOP!F10</f>
        <v>0</v>
      </c>
      <c r="H12" s="875">
        <f>UOP!G10</f>
        <v>0</v>
      </c>
      <c r="I12" s="876">
        <f>UOP!H10</f>
        <v>0</v>
      </c>
      <c r="J12" s="874"/>
      <c r="K12" s="2723" t="s">
        <v>115</v>
      </c>
      <c r="L12" s="2626"/>
      <c r="M12" s="2764">
        <f>UOP!P12</f>
        <v>0</v>
      </c>
      <c r="N12" s="2765"/>
    </row>
    <row r="13" spans="3:14">
      <c r="C13" s="2672" t="str">
        <f>UOP!B11</f>
        <v>Working Capital - Pre Opening</v>
      </c>
      <c r="D13" s="2747"/>
      <c r="E13" s="875">
        <f>UOP!D11</f>
        <v>0</v>
      </c>
      <c r="F13" s="875">
        <f>UOP!E11</f>
        <v>0</v>
      </c>
      <c r="G13" s="875">
        <f>UOP!F11</f>
        <v>0</v>
      </c>
      <c r="H13" s="875">
        <f>UOP!G11</f>
        <v>0</v>
      </c>
      <c r="I13" s="876">
        <f>UOP!H11</f>
        <v>0</v>
      </c>
      <c r="K13" s="2723" t="s">
        <v>373</v>
      </c>
      <c r="L13" s="2626"/>
      <c r="M13" s="2736">
        <f>UOP!P13</f>
        <v>0</v>
      </c>
      <c r="N13" s="2737"/>
    </row>
    <row r="14" spans="3:14">
      <c r="C14" s="2672" t="str">
        <f>UOP!B12</f>
        <v>Business Acquisition</v>
      </c>
      <c r="D14" s="2747"/>
      <c r="E14" s="875">
        <f>UOP!D12</f>
        <v>0</v>
      </c>
      <c r="F14" s="875">
        <f>UOP!E12</f>
        <v>0</v>
      </c>
      <c r="G14" s="875">
        <f>UOP!F12</f>
        <v>0</v>
      </c>
      <c r="H14" s="875">
        <f>UOP!G12</f>
        <v>0</v>
      </c>
      <c r="I14" s="876">
        <f>UOP!H12</f>
        <v>0</v>
      </c>
      <c r="K14" s="2723" t="s">
        <v>374</v>
      </c>
      <c r="L14" s="2626"/>
      <c r="M14" s="2736">
        <f>UOP!P14</f>
        <v>0</v>
      </c>
      <c r="N14" s="2737"/>
    </row>
    <row r="15" spans="3:14">
      <c r="C15" s="2672" t="str">
        <f>UOP!B13</f>
        <v>Franchise Fees</v>
      </c>
      <c r="D15" s="2747"/>
      <c r="E15" s="875">
        <f>UOP!D13</f>
        <v>0</v>
      </c>
      <c r="F15" s="875">
        <f>UOP!E13</f>
        <v>0</v>
      </c>
      <c r="G15" s="875">
        <f>UOP!F13</f>
        <v>0</v>
      </c>
      <c r="H15" s="875">
        <f>UOP!G13</f>
        <v>0</v>
      </c>
      <c r="I15" s="876">
        <f>UOP!H13</f>
        <v>0</v>
      </c>
      <c r="K15" s="2723" t="s">
        <v>387</v>
      </c>
      <c r="L15" s="2626"/>
      <c r="M15" s="2736">
        <f>UOP!P15</f>
        <v>0</v>
      </c>
      <c r="N15" s="2737"/>
    </row>
    <row r="16" spans="3:14">
      <c r="C16" s="2672" t="str">
        <f>UOP!B17</f>
        <v>SBA Guaranty Fee</v>
      </c>
      <c r="D16" s="2747"/>
      <c r="E16" s="875">
        <f>UOP!D17</f>
        <v>0</v>
      </c>
      <c r="F16" s="875">
        <f>UOP!E17</f>
        <v>0</v>
      </c>
      <c r="G16" s="875">
        <f>UOP!F17</f>
        <v>0</v>
      </c>
      <c r="H16" s="875">
        <f>UOP!G17</f>
        <v>0</v>
      </c>
      <c r="I16" s="876">
        <f>UOP!H17</f>
        <v>0</v>
      </c>
      <c r="K16" s="2723" t="s">
        <v>604</v>
      </c>
      <c r="L16" s="2626"/>
      <c r="M16" s="2770">
        <f>UOP!P16</f>
        <v>0</v>
      </c>
      <c r="N16" s="2771"/>
    </row>
    <row r="17" spans="3:14">
      <c r="C17" s="2672" t="str">
        <f>UOP!B31</f>
        <v>Interim Loan Fee</v>
      </c>
      <c r="D17" s="2747"/>
      <c r="E17" s="875">
        <f>UOP!D31</f>
        <v>0</v>
      </c>
      <c r="F17" s="875">
        <f>UOP!E31</f>
        <v>0</v>
      </c>
      <c r="G17" s="875">
        <f>UOP!F31</f>
        <v>0</v>
      </c>
      <c r="H17" s="875">
        <f>UOP!G31</f>
        <v>0</v>
      </c>
      <c r="I17" s="876">
        <f>UOP!H31</f>
        <v>0</v>
      </c>
      <c r="K17" s="2723" t="s">
        <v>117</v>
      </c>
      <c r="L17" s="2626"/>
      <c r="M17" s="2736">
        <f>UOP!P17</f>
        <v>0</v>
      </c>
      <c r="N17" s="2737"/>
    </row>
    <row r="18" spans="3:14">
      <c r="C18" s="2772" t="s">
        <v>102</v>
      </c>
      <c r="D18" s="2773"/>
      <c r="E18" s="1588">
        <f>SUM(UOP!D18:D30,UOP!D32:D33)</f>
        <v>0</v>
      </c>
      <c r="F18" s="1588">
        <f>SUM(UOP!E18:E30,UOP!E32:E33)</f>
        <v>0</v>
      </c>
      <c r="G18" s="1588">
        <f>SUM(UOP!F18:F30,UOP!F32:F33)</f>
        <v>0</v>
      </c>
      <c r="H18" s="1588">
        <f>SUM(UOP!G18:G30,UOP!G32:G33)</f>
        <v>0</v>
      </c>
      <c r="I18" s="1701">
        <f>SUM(UOP!H18:H30,UOP!H32:H33)</f>
        <v>0</v>
      </c>
      <c r="K18" s="2723" t="s">
        <v>120</v>
      </c>
      <c r="L18" s="2626"/>
      <c r="M18" s="2768">
        <f>UOP!P18</f>
        <v>0</v>
      </c>
      <c r="N18" s="2769"/>
    </row>
    <row r="19" spans="3:14">
      <c r="C19" s="2672" t="str">
        <f>UOP!B37</f>
        <v>Hard Costs - Contingency</v>
      </c>
      <c r="D19" s="2747"/>
      <c r="E19" s="875">
        <f>UOP!D37</f>
        <v>0</v>
      </c>
      <c r="F19" s="875">
        <f>UOP!E37</f>
        <v>0</v>
      </c>
      <c r="G19" s="875">
        <f>UOP!F37</f>
        <v>0</v>
      </c>
      <c r="H19" s="875">
        <f>UOP!G37</f>
        <v>0</v>
      </c>
      <c r="I19" s="876">
        <f>UOP!H37</f>
        <v>0</v>
      </c>
      <c r="K19" s="2723" t="s">
        <v>121</v>
      </c>
      <c r="L19" s="2626"/>
      <c r="M19" s="2768">
        <f>UOP!P19</f>
        <v>0</v>
      </c>
      <c r="N19" s="2769"/>
    </row>
    <row r="20" spans="3:14">
      <c r="C20" s="2672" t="str">
        <f>UOP!B38</f>
        <v>Equipment - Non Contingency</v>
      </c>
      <c r="D20" s="2747"/>
      <c r="E20" s="875">
        <f>UOP!D38</f>
        <v>0</v>
      </c>
      <c r="F20" s="875">
        <f>UOP!E38</f>
        <v>0</v>
      </c>
      <c r="G20" s="875">
        <f>UOP!F38</f>
        <v>0</v>
      </c>
      <c r="H20" s="875">
        <f>UOP!G38</f>
        <v>0</v>
      </c>
      <c r="I20" s="876">
        <f>UOP!H38</f>
        <v>0</v>
      </c>
      <c r="K20" s="2723" t="s">
        <v>122</v>
      </c>
      <c r="L20" s="2626"/>
      <c r="M20" s="2759">
        <f>UOP!P20</f>
        <v>0</v>
      </c>
      <c r="N20" s="2760"/>
    </row>
    <row r="21" spans="3:14">
      <c r="C21" s="2672" t="str">
        <f>UOP!B50</f>
        <v>Interim Interest Reserve</v>
      </c>
      <c r="D21" s="2747"/>
      <c r="E21" s="875">
        <f>UOP!D50</f>
        <v>0</v>
      </c>
      <c r="F21" s="875">
        <f>UOP!E50</f>
        <v>0</v>
      </c>
      <c r="G21" s="875">
        <f>UOP!F50</f>
        <v>0</v>
      </c>
      <c r="H21" s="875">
        <f>UOP!G50</f>
        <v>0</v>
      </c>
      <c r="I21" s="876">
        <f>UOP!H50</f>
        <v>0</v>
      </c>
      <c r="K21" s="2723" t="s">
        <v>528</v>
      </c>
      <c r="L21" s="2626"/>
      <c r="M21" s="2736">
        <f>UOP!P21</f>
        <v>0</v>
      </c>
      <c r="N21" s="2737"/>
    </row>
    <row r="22" spans="3:14">
      <c r="C22" s="167" t="str">
        <f>UOP!B51</f>
        <v>Contingency Reserve</v>
      </c>
      <c r="D22" s="1731">
        <f>UOP!C51</f>
        <v>0.1</v>
      </c>
      <c r="E22" s="875">
        <f>UOP!D51</f>
        <v>0</v>
      </c>
      <c r="F22" s="875">
        <f>UOP!E51</f>
        <v>0</v>
      </c>
      <c r="G22" s="875">
        <f>UOP!F51</f>
        <v>0</v>
      </c>
      <c r="H22" s="875">
        <f>UOP!G51</f>
        <v>0</v>
      </c>
      <c r="I22" s="876">
        <f>UOP!H51</f>
        <v>0</v>
      </c>
      <c r="K22" s="2723" t="s">
        <v>529</v>
      </c>
      <c r="L22" s="2631"/>
      <c r="M22" s="2738">
        <f>UOP!P22</f>
        <v>0.75</v>
      </c>
      <c r="N22" s="2739"/>
    </row>
    <row r="23" spans="3:14" ht="16" thickBot="1">
      <c r="C23" s="2672" t="str">
        <f>UOP!B52</f>
        <v>Construction Monitoring Cost</v>
      </c>
      <c r="D23" s="2747"/>
      <c r="E23" s="875">
        <f>UOP!D52</f>
        <v>0</v>
      </c>
      <c r="F23" s="875">
        <f>UOP!E52</f>
        <v>0</v>
      </c>
      <c r="G23" s="875">
        <f>UOP!F52</f>
        <v>0</v>
      </c>
      <c r="H23" s="875">
        <f>UOP!G52</f>
        <v>0</v>
      </c>
      <c r="I23" s="876">
        <f>UOP!H52</f>
        <v>0</v>
      </c>
      <c r="K23" s="2740" t="s">
        <v>530</v>
      </c>
      <c r="L23" s="2330"/>
      <c r="M23" s="2741">
        <f>UOP!P23</f>
        <v>0</v>
      </c>
      <c r="N23" s="2742"/>
    </row>
    <row r="24" spans="3:14">
      <c r="C24" s="2672" t="s">
        <v>539</v>
      </c>
      <c r="D24" s="2673"/>
      <c r="E24" s="1588">
        <f>SUM(UOP!D42:D49,UOP!D53:D55)</f>
        <v>0</v>
      </c>
      <c r="F24" s="1588">
        <f>SUM(UOP!E42:E49,UOP!E53:E55)</f>
        <v>0</v>
      </c>
      <c r="G24" s="1588">
        <f>SUM(UOP!F42:F49,UOP!F53:F55)</f>
        <v>0</v>
      </c>
      <c r="H24" s="1588">
        <f>SUM(UOP!G42:G49,UOP!G53:G55)</f>
        <v>0</v>
      </c>
      <c r="I24" s="1701">
        <f>SUM(UOP!H42:H49,UOP!H53:H55)</f>
        <v>0</v>
      </c>
    </row>
    <row r="25" spans="3:14">
      <c r="C25" s="2669" t="s">
        <v>554</v>
      </c>
      <c r="D25" s="2670"/>
      <c r="E25" s="534">
        <f>SUM(E6:E24)</f>
        <v>0</v>
      </c>
      <c r="F25" s="534">
        <f>SUM(F6:F24)</f>
        <v>0</v>
      </c>
      <c r="G25" s="534">
        <f>SUM(G6:G24)</f>
        <v>0</v>
      </c>
      <c r="H25" s="534">
        <f>SUM(H6:H24)</f>
        <v>0</v>
      </c>
      <c r="I25" s="1704">
        <f>SUM(I6:I24)</f>
        <v>0</v>
      </c>
    </row>
    <row r="26" spans="3:14" ht="16" thickBot="1">
      <c r="C26" s="2774" t="s">
        <v>556</v>
      </c>
      <c r="D26" s="2775"/>
      <c r="E26" s="877">
        <f>IF(E25=0,0,E25/$I$25)</f>
        <v>0</v>
      </c>
      <c r="F26" s="877">
        <f>IF(F25=0,0,F25/$I$25)</f>
        <v>0</v>
      </c>
      <c r="G26" s="877">
        <f>IF(G25=0,0,G25/$I$25)</f>
        <v>0</v>
      </c>
      <c r="H26" s="877">
        <f>IF(H25=0,0,H25/$I$25)</f>
        <v>0</v>
      </c>
      <c r="I26" s="878">
        <f>SUM(E26:H26)</f>
        <v>0</v>
      </c>
    </row>
    <row r="27" spans="3:14" hidden="1"/>
    <row r="28" spans="3:14" ht="15.75" hidden="1" customHeight="1" thickBot="1">
      <c r="C28" s="1590"/>
      <c r="D28" s="1591" t="s">
        <v>561</v>
      </c>
      <c r="E28" s="1589" t="str">
        <f>UOP!D63</f>
        <v>T Bank 504 to perm</v>
      </c>
      <c r="F28" s="1589" t="str">
        <f>UOP!E63</f>
        <v>Borrower</v>
      </c>
      <c r="G28" s="1589" t="str">
        <f>UOP!F63</f>
        <v>Seller/Other</v>
      </c>
      <c r="H28" s="1589" t="str">
        <f>UOP!G63</f>
        <v>3rd Party/CDC Loan</v>
      </c>
      <c r="I28" s="1587" t="s">
        <v>104</v>
      </c>
    </row>
    <row r="29" spans="3:14" hidden="1">
      <c r="C29" s="2754" t="s">
        <v>562</v>
      </c>
      <c r="D29" s="2755"/>
      <c r="E29" s="1592">
        <f>UOP!D69</f>
        <v>0</v>
      </c>
      <c r="F29" s="1592">
        <f>UOP!E69</f>
        <v>0</v>
      </c>
      <c r="G29" s="1592">
        <f>UOP!F69</f>
        <v>0</v>
      </c>
      <c r="H29" s="1594">
        <f>UOP!G69</f>
        <v>3500</v>
      </c>
      <c r="I29" s="1702">
        <f>UOP!H69</f>
        <v>3500</v>
      </c>
    </row>
    <row r="30" spans="3:14" hidden="1">
      <c r="C30" s="2766" t="s">
        <v>147</v>
      </c>
      <c r="D30" s="2767"/>
      <c r="E30" s="1593">
        <f>UOP!D70</f>
        <v>0</v>
      </c>
      <c r="F30" s="1593">
        <f>UOP!E70</f>
        <v>0</v>
      </c>
      <c r="G30" s="1593">
        <f>UOP!F70</f>
        <v>0</v>
      </c>
      <c r="H30" s="557">
        <f>UOP!G70</f>
        <v>0</v>
      </c>
      <c r="I30" s="1703">
        <f>UOP!H70</f>
        <v>0</v>
      </c>
    </row>
    <row r="31" spans="3:14" hidden="1">
      <c r="C31" s="2766" t="s">
        <v>149</v>
      </c>
      <c r="D31" s="2767"/>
      <c r="E31" s="1593">
        <f>UOP!D71</f>
        <v>0</v>
      </c>
      <c r="F31" s="1593">
        <f>UOP!E71</f>
        <v>0</v>
      </c>
      <c r="G31" s="1593">
        <f>UOP!F71</f>
        <v>0</v>
      </c>
      <c r="H31" s="557">
        <f>UOP!G71</f>
        <v>0</v>
      </c>
      <c r="I31" s="1703">
        <f>UOP!H71</f>
        <v>0</v>
      </c>
    </row>
    <row r="32" spans="3:14" hidden="1">
      <c r="C32" s="2766" t="s">
        <v>153</v>
      </c>
      <c r="D32" s="2767"/>
      <c r="E32" s="1593">
        <f>UOP!D72</f>
        <v>0</v>
      </c>
      <c r="F32" s="1593">
        <f>UOP!E72</f>
        <v>0</v>
      </c>
      <c r="G32" s="1593">
        <f>UOP!F72</f>
        <v>0</v>
      </c>
      <c r="H32" s="557">
        <f>UOP!G72</f>
        <v>0</v>
      </c>
      <c r="I32" s="1703">
        <f>UOP!H72</f>
        <v>0</v>
      </c>
    </row>
    <row r="33" spans="3:14" hidden="1">
      <c r="C33" s="2766" t="s">
        <v>154</v>
      </c>
      <c r="D33" s="2767"/>
      <c r="E33" s="1593">
        <f>UOP!D73</f>
        <v>0</v>
      </c>
      <c r="F33" s="1593">
        <f>UOP!E73</f>
        <v>0</v>
      </c>
      <c r="G33" s="1593">
        <f>UOP!F73</f>
        <v>0</v>
      </c>
      <c r="H33" s="558">
        <f>UOP!G73</f>
        <v>0</v>
      </c>
      <c r="I33" s="1703">
        <f>UOP!H73</f>
        <v>0</v>
      </c>
    </row>
    <row r="34" spans="3:14" hidden="1">
      <c r="C34" s="2672" t="s">
        <v>563</v>
      </c>
      <c r="D34" s="2673"/>
      <c r="E34" s="534">
        <f>UOP!D74</f>
        <v>0</v>
      </c>
      <c r="F34" s="534">
        <f>UOP!E74</f>
        <v>0</v>
      </c>
      <c r="G34" s="534">
        <f>UOP!F74</f>
        <v>0</v>
      </c>
      <c r="H34" s="534">
        <f>UOP!G74</f>
        <v>3500</v>
      </c>
      <c r="I34" s="1704">
        <f>UOP!H74</f>
        <v>3500</v>
      </c>
    </row>
    <row r="35" spans="3:14" hidden="1">
      <c r="C35" s="2672" t="s">
        <v>564</v>
      </c>
      <c r="D35" s="2673"/>
      <c r="E35" s="534">
        <f>UOP!D75</f>
        <v>0</v>
      </c>
      <c r="F35" s="534">
        <f>UOP!E75</f>
        <v>0</v>
      </c>
      <c r="G35" s="534">
        <f>UOP!F75</f>
        <v>0</v>
      </c>
      <c r="H35" s="534">
        <f>UOP!G75</f>
        <v>0</v>
      </c>
      <c r="I35" s="1704">
        <f>UOP!H75</f>
        <v>3500</v>
      </c>
    </row>
    <row r="36" spans="3:14" ht="16" hidden="1" thickBot="1">
      <c r="C36" s="1705"/>
      <c r="D36" s="1706"/>
      <c r="E36" s="1707">
        <f>UOP!D76</f>
        <v>0</v>
      </c>
      <c r="F36" s="1707">
        <f>UOP!E76</f>
        <v>0</v>
      </c>
      <c r="G36" s="1707">
        <f>UOP!F76</f>
        <v>0</v>
      </c>
      <c r="H36" s="1707">
        <f>UOP!G76</f>
        <v>0</v>
      </c>
      <c r="I36" s="1708">
        <f>UOP!H76</f>
        <v>0</v>
      </c>
    </row>
    <row r="37" spans="3:14" hidden="1">
      <c r="C37" s="1597"/>
      <c r="D37" s="1597"/>
      <c r="E37" s="1598"/>
      <c r="F37" s="1598"/>
      <c r="G37" s="1598"/>
      <c r="H37" s="1598"/>
      <c r="I37" s="1598"/>
      <c r="J37" s="1599"/>
    </row>
    <row r="38" spans="3:14" ht="16" thickBot="1"/>
    <row r="39" spans="3:14" ht="19">
      <c r="C39" s="2748" t="s">
        <v>602</v>
      </c>
      <c r="D39" s="2749"/>
      <c r="E39" s="2749"/>
      <c r="F39" s="2749"/>
      <c r="G39" s="2749"/>
      <c r="H39" s="2749"/>
      <c r="I39" s="2750"/>
    </row>
    <row r="40" spans="3:14" ht="19">
      <c r="C40" s="2751" t="s">
        <v>605</v>
      </c>
      <c r="D40" s="2752"/>
      <c r="E40" s="2752"/>
      <c r="F40" s="2752"/>
      <c r="G40" s="2752"/>
      <c r="H40" s="2752"/>
      <c r="I40" s="2753"/>
    </row>
    <row r="41" spans="3:14" ht="17" thickBot="1">
      <c r="C41" s="2672"/>
      <c r="D41" s="2673"/>
      <c r="E41" s="210" t="str">
        <f>'UOP (2)'!D2</f>
        <v>T Bank Loan</v>
      </c>
      <c r="F41" s="210" t="str">
        <f>'UOP (2)'!E2</f>
        <v>Borrower</v>
      </c>
      <c r="G41" s="210" t="str">
        <f>'UOP (2)'!F2</f>
        <v>Seller/Other</v>
      </c>
      <c r="H41" s="210" t="str">
        <f>'UOP (2)'!G2</f>
        <v>3rd Party/CDC Loan</v>
      </c>
      <c r="I41" s="212" t="s">
        <v>104</v>
      </c>
    </row>
    <row r="42" spans="3:14">
      <c r="C42" s="2672" t="str">
        <f>'UOP (2)'!B4</f>
        <v>Real Estate Acquisition</v>
      </c>
      <c r="D42" s="2747"/>
      <c r="E42" s="875">
        <f>'UOP (2)'!D4</f>
        <v>0</v>
      </c>
      <c r="F42" s="875">
        <f>'UOP (2)'!E4</f>
        <v>0</v>
      </c>
      <c r="G42" s="875">
        <f>'UOP (2)'!F4</f>
        <v>0</v>
      </c>
      <c r="H42" s="875">
        <f>'UOP (2)'!G4</f>
        <v>0</v>
      </c>
      <c r="I42" s="876">
        <f>'UOP (2)'!H4</f>
        <v>0</v>
      </c>
      <c r="K42" s="2743" t="s">
        <v>108</v>
      </c>
      <c r="L42" s="2744"/>
      <c r="M42" s="2745">
        <f>'UOP (2)'!P42</f>
        <v>0</v>
      </c>
      <c r="N42" s="2746"/>
    </row>
    <row r="43" spans="3:14">
      <c r="C43" s="2672" t="str">
        <f>'UOP (2)'!B5</f>
        <v>Debt Refi - CRE</v>
      </c>
      <c r="D43" s="2747"/>
      <c r="E43" s="875">
        <f>'UOP (2)'!D5</f>
        <v>0</v>
      </c>
      <c r="F43" s="875">
        <f>'UOP (2)'!E5</f>
        <v>0</v>
      </c>
      <c r="G43" s="875">
        <f>'UOP (2)'!F5</f>
        <v>0</v>
      </c>
      <c r="H43" s="875">
        <f>'UOP (2)'!G5</f>
        <v>0</v>
      </c>
      <c r="I43" s="876">
        <f>'UOP (2)'!H5</f>
        <v>0</v>
      </c>
      <c r="K43" s="2723" t="s">
        <v>144</v>
      </c>
      <c r="L43" s="2626"/>
      <c r="M43" s="2724">
        <f>'UOP (2)'!P43</f>
        <v>0</v>
      </c>
      <c r="N43" s="2725"/>
    </row>
    <row r="44" spans="3:14">
      <c r="C44" s="2672" t="str">
        <f>'UOP (2)'!B6</f>
        <v>Debt Refi - Non-CRE</v>
      </c>
      <c r="D44" s="2747"/>
      <c r="E44" s="875">
        <f>'UOP (2)'!D6</f>
        <v>0</v>
      </c>
      <c r="F44" s="875">
        <f>'UOP (2)'!E6</f>
        <v>0</v>
      </c>
      <c r="G44" s="875">
        <f>'UOP (2)'!F6</f>
        <v>0</v>
      </c>
      <c r="H44" s="875">
        <f>'UOP (2)'!G6</f>
        <v>0</v>
      </c>
      <c r="I44" s="876">
        <f>'UOP (2)'!H6</f>
        <v>0</v>
      </c>
      <c r="K44" s="2723" t="s">
        <v>523</v>
      </c>
      <c r="L44" s="2626"/>
      <c r="M44" s="2732">
        <f>'UOP (2)'!P44</f>
        <v>0</v>
      </c>
      <c r="N44" s="2733"/>
    </row>
    <row r="45" spans="3:14">
      <c r="C45" s="2672" t="str">
        <f>'UOP (2)'!B7</f>
        <v>Machinery &amp; Equipment</v>
      </c>
      <c r="D45" s="2747"/>
      <c r="E45" s="875">
        <f>'UOP (2)'!D7</f>
        <v>0</v>
      </c>
      <c r="F45" s="875">
        <f>'UOP (2)'!E7</f>
        <v>0</v>
      </c>
      <c r="G45" s="875">
        <f>'UOP (2)'!F7</f>
        <v>0</v>
      </c>
      <c r="H45" s="875">
        <f>'UOP (2)'!G7</f>
        <v>0</v>
      </c>
      <c r="I45" s="876">
        <f>'UOP (2)'!H7</f>
        <v>0</v>
      </c>
      <c r="K45" s="2723" t="s">
        <v>524</v>
      </c>
      <c r="L45" s="2626"/>
      <c r="M45" s="2734">
        <f>'UOP (2)'!P45</f>
        <v>0</v>
      </c>
      <c r="N45" s="2735"/>
    </row>
    <row r="46" spans="3:14">
      <c r="C46" s="2672" t="str">
        <f>'UOP (2)'!B8</f>
        <v>Furniture &amp; Fixtures (TIs)</v>
      </c>
      <c r="D46" s="2747"/>
      <c r="E46" s="875">
        <f>'UOP (2)'!D8</f>
        <v>0</v>
      </c>
      <c r="F46" s="875">
        <f>'UOP (2)'!E8</f>
        <v>0</v>
      </c>
      <c r="G46" s="875">
        <f>'UOP (2)'!F8</f>
        <v>0</v>
      </c>
      <c r="H46" s="875">
        <f>'UOP (2)'!G8</f>
        <v>0</v>
      </c>
      <c r="I46" s="876">
        <f>'UOP (2)'!H8</f>
        <v>0</v>
      </c>
      <c r="K46" s="2723" t="s">
        <v>112</v>
      </c>
      <c r="L46" s="2626"/>
      <c r="M46" s="2728">
        <f>'UOP (2)'!P46</f>
        <v>0</v>
      </c>
      <c r="N46" s="2729"/>
    </row>
    <row r="47" spans="3:14">
      <c r="C47" s="2672" t="str">
        <f>'UOP (2)'!B9</f>
        <v>Inventory</v>
      </c>
      <c r="D47" s="2747"/>
      <c r="E47" s="875">
        <f>'UOP (2)'!D9</f>
        <v>0</v>
      </c>
      <c r="F47" s="875">
        <f>'UOP (2)'!E9</f>
        <v>0</v>
      </c>
      <c r="G47" s="875">
        <f>'UOP (2)'!F9</f>
        <v>0</v>
      </c>
      <c r="H47" s="875">
        <f>'UOP (2)'!G9</f>
        <v>0</v>
      </c>
      <c r="I47" s="876">
        <f>'UOP (2)'!H9</f>
        <v>0</v>
      </c>
      <c r="K47" s="2723" t="s">
        <v>113</v>
      </c>
      <c r="L47" s="2626"/>
      <c r="M47" s="2728">
        <f>'UOP (2)'!P47</f>
        <v>0</v>
      </c>
      <c r="N47" s="2729"/>
    </row>
    <row r="48" spans="3:14">
      <c r="C48" s="2672" t="str">
        <f>'UOP (2)'!B10</f>
        <v>Working Capital</v>
      </c>
      <c r="D48" s="2747"/>
      <c r="E48" s="875">
        <f>'UOP (2)'!D10</f>
        <v>0</v>
      </c>
      <c r="F48" s="875">
        <f>'UOP (2)'!E10</f>
        <v>0</v>
      </c>
      <c r="G48" s="875">
        <f>'UOP (2)'!F10</f>
        <v>0</v>
      </c>
      <c r="H48" s="875">
        <f>'UOP (2)'!G10</f>
        <v>0</v>
      </c>
      <c r="I48" s="876">
        <f>'UOP (2)'!H10</f>
        <v>0</v>
      </c>
      <c r="K48" s="2723" t="s">
        <v>115</v>
      </c>
      <c r="L48" s="2626"/>
      <c r="M48" s="2728">
        <f>'UOP (2)'!P48</f>
        <v>0</v>
      </c>
      <c r="N48" s="2729"/>
    </row>
    <row r="49" spans="3:14">
      <c r="C49" s="2672" t="str">
        <f>'UOP (2)'!B11</f>
        <v>Working Capital - Pre Opening</v>
      </c>
      <c r="D49" s="2747"/>
      <c r="E49" s="875">
        <f>'UOP (2)'!D11</f>
        <v>0</v>
      </c>
      <c r="F49" s="875">
        <f>'UOP (2)'!E11</f>
        <v>0</v>
      </c>
      <c r="G49" s="875">
        <f>'UOP (2)'!F11</f>
        <v>0</v>
      </c>
      <c r="H49" s="875">
        <f>'UOP (2)'!G11</f>
        <v>0</v>
      </c>
      <c r="I49" s="876">
        <f>'UOP (2)'!H11</f>
        <v>0</v>
      </c>
      <c r="K49" s="2723" t="s">
        <v>373</v>
      </c>
      <c r="L49" s="2626"/>
      <c r="M49" s="2726">
        <f>'UOP (2)'!P49</f>
        <v>0</v>
      </c>
      <c r="N49" s="2727"/>
    </row>
    <row r="50" spans="3:14">
      <c r="C50" s="2672" t="str">
        <f>'UOP (2)'!B12</f>
        <v>Business Acquisition</v>
      </c>
      <c r="D50" s="2747"/>
      <c r="E50" s="875">
        <f>'UOP (2)'!D12</f>
        <v>0</v>
      </c>
      <c r="F50" s="875">
        <f>'UOP (2)'!E12</f>
        <v>0</v>
      </c>
      <c r="G50" s="875">
        <f>'UOP (2)'!F12</f>
        <v>0</v>
      </c>
      <c r="H50" s="875">
        <f>'UOP (2)'!G12</f>
        <v>0</v>
      </c>
      <c r="I50" s="876">
        <f>'UOP (2)'!H12</f>
        <v>0</v>
      </c>
      <c r="K50" s="2723" t="s">
        <v>374</v>
      </c>
      <c r="L50" s="2626"/>
      <c r="M50" s="2726">
        <f>'UOP (2)'!P50</f>
        <v>0</v>
      </c>
      <c r="N50" s="2727"/>
    </row>
    <row r="51" spans="3:14">
      <c r="C51" s="2672" t="str">
        <f>'UOP (2)'!B13</f>
        <v>Franchise Fees</v>
      </c>
      <c r="D51" s="2747"/>
      <c r="E51" s="875">
        <f>'UOP (2)'!D13</f>
        <v>0</v>
      </c>
      <c r="F51" s="875">
        <f>'UOP (2)'!E13</f>
        <v>0</v>
      </c>
      <c r="G51" s="875">
        <f>'UOP (2)'!F13</f>
        <v>0</v>
      </c>
      <c r="H51" s="875">
        <f>'UOP (2)'!G13</f>
        <v>0</v>
      </c>
      <c r="I51" s="876">
        <f>'UOP (2)'!H13</f>
        <v>0</v>
      </c>
      <c r="K51" s="2723" t="s">
        <v>387</v>
      </c>
      <c r="L51" s="2626"/>
      <c r="M51" s="2726">
        <f>'UOP (2)'!P51</f>
        <v>0</v>
      </c>
      <c r="N51" s="2727"/>
    </row>
    <row r="52" spans="3:14">
      <c r="C52" s="2672" t="str">
        <f>'UOP (2)'!B17</f>
        <v>SBA Guaranty Fee</v>
      </c>
      <c r="D52" s="2747"/>
      <c r="E52" s="875">
        <f>'UOP (2)'!D17</f>
        <v>0</v>
      </c>
      <c r="F52" s="875">
        <f>'UOP (2)'!E17</f>
        <v>0</v>
      </c>
      <c r="G52" s="875">
        <f>'UOP (2)'!F17</f>
        <v>0</v>
      </c>
      <c r="H52" s="875">
        <f>'UOP (2)'!G17</f>
        <v>0</v>
      </c>
      <c r="I52" s="876">
        <f>'UOP (2)'!H17</f>
        <v>0</v>
      </c>
      <c r="K52" s="2723" t="s">
        <v>604</v>
      </c>
      <c r="L52" s="2626"/>
      <c r="M52" s="2730">
        <f>'UOP (2)'!P52</f>
        <v>0</v>
      </c>
      <c r="N52" s="2731"/>
    </row>
    <row r="53" spans="3:14">
      <c r="C53" s="2672" t="str">
        <f>'UOP (2)'!B31</f>
        <v>Interim Loan Fee</v>
      </c>
      <c r="D53" s="2747"/>
      <c r="E53" s="875">
        <f>'UOP (2)'!D31</f>
        <v>0</v>
      </c>
      <c r="F53" s="875">
        <f>'UOP (2)'!E31</f>
        <v>0</v>
      </c>
      <c r="G53" s="875">
        <f>'UOP (2)'!F31</f>
        <v>0</v>
      </c>
      <c r="H53" s="875">
        <f>'UOP (2)'!G31</f>
        <v>0</v>
      </c>
      <c r="I53" s="876">
        <f>'UOP (2)'!H31</f>
        <v>0</v>
      </c>
      <c r="K53" s="2723" t="s">
        <v>117</v>
      </c>
      <c r="L53" s="2626"/>
      <c r="M53" s="2726">
        <f>'UOP (2)'!P53</f>
        <v>0</v>
      </c>
      <c r="N53" s="2727"/>
    </row>
    <row r="54" spans="3:14">
      <c r="C54" s="2772" t="s">
        <v>102</v>
      </c>
      <c r="D54" s="2773"/>
      <c r="E54" s="1588">
        <f>SUM('UOP (2)'!D18:D30,'UOP (2)'!D32:D33)</f>
        <v>0</v>
      </c>
      <c r="F54" s="1588">
        <f>SUM(F53:F53)</f>
        <v>0</v>
      </c>
      <c r="G54" s="1588">
        <f>SUM(G53:G53)</f>
        <v>0</v>
      </c>
      <c r="H54" s="1588">
        <f>SUM(H53:H53)</f>
        <v>0</v>
      </c>
      <c r="I54" s="1701">
        <f>SUM(I53:I53)</f>
        <v>0</v>
      </c>
      <c r="K54" s="2723" t="s">
        <v>120</v>
      </c>
      <c r="L54" s="2626"/>
      <c r="M54" s="2721">
        <f>'UOP (2)'!P54</f>
        <v>0</v>
      </c>
      <c r="N54" s="2722"/>
    </row>
    <row r="55" spans="3:14">
      <c r="C55" s="2672" t="str">
        <f>'UOP (2)'!B37</f>
        <v>Hard Costs - Contingency</v>
      </c>
      <c r="D55" s="2747"/>
      <c r="E55" s="875">
        <f>'UOP (2)'!D37</f>
        <v>0</v>
      </c>
      <c r="F55" s="875">
        <f>'UOP (2)'!E37</f>
        <v>0</v>
      </c>
      <c r="G55" s="875">
        <f>'UOP (2)'!F37</f>
        <v>0</v>
      </c>
      <c r="H55" s="875">
        <f>'UOP (2)'!G37</f>
        <v>0</v>
      </c>
      <c r="I55" s="876">
        <f>'UOP (2)'!H37</f>
        <v>0</v>
      </c>
      <c r="K55" s="2723" t="s">
        <v>121</v>
      </c>
      <c r="L55" s="2626"/>
      <c r="M55" s="2721">
        <f>'UOP (2)'!P55</f>
        <v>0</v>
      </c>
      <c r="N55" s="2722"/>
    </row>
    <row r="56" spans="3:14">
      <c r="C56" s="2672" t="str">
        <f>'UOP (2)'!B38</f>
        <v>Equipment - Non Contingency</v>
      </c>
      <c r="D56" s="2747"/>
      <c r="E56" s="875">
        <f>'UOP (2)'!D38</f>
        <v>0</v>
      </c>
      <c r="F56" s="875">
        <f>'UOP (2)'!E38</f>
        <v>0</v>
      </c>
      <c r="G56" s="875">
        <f>'UOP (2)'!F38</f>
        <v>0</v>
      </c>
      <c r="H56" s="875">
        <f>'UOP (2)'!G38</f>
        <v>0</v>
      </c>
      <c r="I56" s="876">
        <f>'UOP (2)'!H38</f>
        <v>0</v>
      </c>
      <c r="K56" s="2723" t="s">
        <v>122</v>
      </c>
      <c r="L56" s="2626"/>
      <c r="M56" s="2724">
        <f>'UOP (2)'!P56</f>
        <v>0</v>
      </c>
      <c r="N56" s="2725"/>
    </row>
    <row r="57" spans="3:14">
      <c r="C57" s="2672" t="str">
        <f>'UOP (2)'!B50</f>
        <v>Interim Interest Reserve</v>
      </c>
      <c r="D57" s="2747"/>
      <c r="E57" s="875">
        <f>'UOP (2)'!D50</f>
        <v>0</v>
      </c>
      <c r="F57" s="875">
        <f>'UOP (2)'!E50</f>
        <v>0</v>
      </c>
      <c r="G57" s="875">
        <f>'UOP (2)'!F50</f>
        <v>0</v>
      </c>
      <c r="H57" s="875">
        <f>'UOP (2)'!G50</f>
        <v>0</v>
      </c>
      <c r="I57" s="876">
        <f>'UOP (2)'!H50</f>
        <v>0</v>
      </c>
      <c r="K57" s="2723" t="s">
        <v>528</v>
      </c>
      <c r="L57" s="2626"/>
      <c r="M57" s="2726">
        <f>'UOP (2)'!P57</f>
        <v>0</v>
      </c>
      <c r="N57" s="2727"/>
    </row>
    <row r="58" spans="3:14">
      <c r="C58" s="196" t="str">
        <f>'UOP (2)'!B51</f>
        <v>Contingency Reserve</v>
      </c>
      <c r="D58" s="1732">
        <f>'UOP (2)'!C51</f>
        <v>0.1</v>
      </c>
      <c r="E58" s="875">
        <f>'UOP (2)'!D51</f>
        <v>0</v>
      </c>
      <c r="F58" s="875">
        <f>'UOP (2)'!E51</f>
        <v>0</v>
      </c>
      <c r="G58" s="875">
        <f>'UOP (2)'!F51</f>
        <v>0</v>
      </c>
      <c r="H58" s="875">
        <f>'UOP (2)'!G51</f>
        <v>0</v>
      </c>
      <c r="I58" s="876">
        <f>'UOP (2)'!H51</f>
        <v>0</v>
      </c>
      <c r="K58" s="2723" t="s">
        <v>529</v>
      </c>
      <c r="L58" s="2631"/>
      <c r="M58" s="2728">
        <f>'UOP (2)'!P58</f>
        <v>0</v>
      </c>
      <c r="N58" s="2729"/>
    </row>
    <row r="59" spans="3:14" ht="16" thickBot="1">
      <c r="C59" s="2672" t="str">
        <f>'UOP (2)'!B52</f>
        <v>Construction Monitoring Cost</v>
      </c>
      <c r="D59" s="2747"/>
      <c r="E59" s="875">
        <f>'UOP (2)'!D52</f>
        <v>0</v>
      </c>
      <c r="F59" s="875">
        <f>'UOP (2)'!E52</f>
        <v>0</v>
      </c>
      <c r="G59" s="875">
        <f>'UOP (2)'!F52</f>
        <v>0</v>
      </c>
      <c r="H59" s="875">
        <f>'UOP (2)'!G52</f>
        <v>0</v>
      </c>
      <c r="I59" s="876">
        <f>'UOP (2)'!H52</f>
        <v>0</v>
      </c>
      <c r="K59" s="2740" t="s">
        <v>530</v>
      </c>
      <c r="L59" s="2330"/>
      <c r="M59" s="2719">
        <f>'UOP (2)'!P59</f>
        <v>0</v>
      </c>
      <c r="N59" s="2720"/>
    </row>
    <row r="60" spans="3:14">
      <c r="C60" s="2672" t="s">
        <v>539</v>
      </c>
      <c r="D60" s="2673"/>
      <c r="E60" s="1588">
        <f>SUM('UOP (2)'!D42:D49,'UOP (2)'!D53:D55)</f>
        <v>0</v>
      </c>
      <c r="F60" s="1588">
        <f>SUM('UOP (2)'!E42:E49,'UOP (2)'!E53:E55)</f>
        <v>0</v>
      </c>
      <c r="G60" s="1588">
        <f>SUM('UOP (2)'!F42:F49,'UOP (2)'!F53:F55)</f>
        <v>0</v>
      </c>
      <c r="H60" s="1588">
        <f>SUM('UOP (2)'!G42:G49,'UOP (2)'!G53:G55)</f>
        <v>0</v>
      </c>
      <c r="I60" s="1701">
        <f>SUM('UOP (2)'!H42:H49,'UOP (2)'!H53:H55)</f>
        <v>0</v>
      </c>
    </row>
    <row r="61" spans="3:14">
      <c r="C61" s="2669" t="s">
        <v>554</v>
      </c>
      <c r="D61" s="2670"/>
      <c r="E61" s="534">
        <f>SUM(E42:E60)</f>
        <v>0</v>
      </c>
      <c r="F61" s="534">
        <f>SUM(F42:F60)</f>
        <v>0</v>
      </c>
      <c r="G61" s="534">
        <f>SUM(G42:G60)</f>
        <v>0</v>
      </c>
      <c r="H61" s="534">
        <f>SUM(H42:H60)</f>
        <v>0</v>
      </c>
      <c r="I61" s="1704">
        <f>SUM(I42:I60)</f>
        <v>0</v>
      </c>
    </row>
    <row r="62" spans="3:14">
      <c r="C62" s="2774" t="s">
        <v>556</v>
      </c>
      <c r="D62" s="2775"/>
      <c r="E62" s="877">
        <f>IF(E61=0,0,E61/$I$61)</f>
        <v>0</v>
      </c>
      <c r="F62" s="877">
        <f>IF(F61=0,0,F61/$I$61)</f>
        <v>0</v>
      </c>
      <c r="G62" s="877">
        <f>IF(G61=0,0,G61/$I$61)</f>
        <v>0</v>
      </c>
      <c r="H62" s="877">
        <f>IF(H61=0,0,H61/$I$61)</f>
        <v>0</v>
      </c>
      <c r="I62" s="878">
        <f>SUM(E62:H62)</f>
        <v>0</v>
      </c>
    </row>
    <row r="64" spans="3:14" ht="16" hidden="1" thickBot="1">
      <c r="C64" s="1590"/>
      <c r="D64" s="1591" t="s">
        <v>561</v>
      </c>
      <c r="E64" s="1589" t="str">
        <f>'UOP (2)'!D63</f>
        <v>T Bank 504 to perm</v>
      </c>
      <c r="F64" s="1589" t="str">
        <f>'UOP (2)'!E63</f>
        <v>Borrower</v>
      </c>
      <c r="G64" s="1589" t="str">
        <f>'UOP (2)'!F63</f>
        <v>Seller/Other</v>
      </c>
      <c r="H64" s="1589" t="str">
        <f>'UOP (2)'!G63</f>
        <v>3rd Party/CDC Loan</v>
      </c>
      <c r="I64" s="1587" t="s">
        <v>104</v>
      </c>
    </row>
    <row r="65" spans="3:9" hidden="1">
      <c r="C65" s="2754" t="s">
        <v>562</v>
      </c>
      <c r="D65" s="2755"/>
      <c r="E65" s="1592">
        <f>'UOP (2)'!D69</f>
        <v>0</v>
      </c>
      <c r="F65" s="1592">
        <f>'UOP (2)'!E69</f>
        <v>0</v>
      </c>
      <c r="G65" s="1592">
        <f>'UOP (2)'!F69</f>
        <v>0</v>
      </c>
      <c r="H65" s="1594">
        <f>'UOP (2)'!G69</f>
        <v>3500</v>
      </c>
      <c r="I65" s="1702">
        <f>'UOP (2)'!H69</f>
        <v>3500</v>
      </c>
    </row>
    <row r="66" spans="3:9" hidden="1">
      <c r="C66" s="2766" t="s">
        <v>147</v>
      </c>
      <c r="D66" s="2767"/>
      <c r="E66" s="1593">
        <f>'UOP (2)'!D70</f>
        <v>0</v>
      </c>
      <c r="F66" s="1593">
        <f>'UOP (2)'!E70</f>
        <v>0</v>
      </c>
      <c r="G66" s="1593">
        <f>'UOP (2)'!F70</f>
        <v>0</v>
      </c>
      <c r="H66" s="557">
        <f>'UOP (2)'!G70</f>
        <v>0</v>
      </c>
      <c r="I66" s="1703">
        <f>'UOP (2)'!H70</f>
        <v>0</v>
      </c>
    </row>
    <row r="67" spans="3:9" hidden="1">
      <c r="C67" s="2766" t="s">
        <v>149</v>
      </c>
      <c r="D67" s="2767"/>
      <c r="E67" s="1593">
        <f>'UOP (2)'!D71</f>
        <v>0</v>
      </c>
      <c r="F67" s="1593">
        <f>'UOP (2)'!E71</f>
        <v>0</v>
      </c>
      <c r="G67" s="1593">
        <f>'UOP (2)'!F71</f>
        <v>0</v>
      </c>
      <c r="H67" s="557">
        <f>'UOP (2)'!G71</f>
        <v>0</v>
      </c>
      <c r="I67" s="1703">
        <f>'UOP (2)'!H71</f>
        <v>0</v>
      </c>
    </row>
    <row r="68" spans="3:9" hidden="1">
      <c r="C68" s="2766" t="s">
        <v>153</v>
      </c>
      <c r="D68" s="2767"/>
      <c r="E68" s="1593">
        <f>'UOP (2)'!D72</f>
        <v>0</v>
      </c>
      <c r="F68" s="1593">
        <f>'UOP (2)'!E72</f>
        <v>0</v>
      </c>
      <c r="G68" s="1593">
        <f>'UOP (2)'!F72</f>
        <v>0</v>
      </c>
      <c r="H68" s="557">
        <f>'UOP (2)'!G72</f>
        <v>0</v>
      </c>
      <c r="I68" s="1703">
        <f>'UOP (2)'!H72</f>
        <v>0</v>
      </c>
    </row>
    <row r="69" spans="3:9" hidden="1">
      <c r="C69" s="2766" t="s">
        <v>154</v>
      </c>
      <c r="D69" s="2767"/>
      <c r="E69" s="1593">
        <f>'UOP (2)'!D73</f>
        <v>0</v>
      </c>
      <c r="F69" s="1593">
        <f>'UOP (2)'!E73</f>
        <v>0</v>
      </c>
      <c r="G69" s="1593">
        <f>'UOP (2)'!F73</f>
        <v>0</v>
      </c>
      <c r="H69" s="558">
        <f>'UOP (2)'!G73</f>
        <v>0</v>
      </c>
      <c r="I69" s="1703">
        <f>'UOP (2)'!H73</f>
        <v>0</v>
      </c>
    </row>
    <row r="70" spans="3:9" hidden="1">
      <c r="C70" s="2672" t="s">
        <v>563</v>
      </c>
      <c r="D70" s="2673"/>
      <c r="E70" s="534">
        <f>'UOP (2)'!D74</f>
        <v>0</v>
      </c>
      <c r="F70" s="534">
        <f>'UOP (2)'!E74</f>
        <v>0</v>
      </c>
      <c r="G70" s="534">
        <f>'UOP (2)'!F74</f>
        <v>0</v>
      </c>
      <c r="H70" s="534">
        <f>'UOP (2)'!G74</f>
        <v>3500</v>
      </c>
      <c r="I70" s="1704">
        <f>'UOP (2)'!H74</f>
        <v>3500</v>
      </c>
    </row>
    <row r="71" spans="3:9" hidden="1">
      <c r="C71" s="2672" t="s">
        <v>564</v>
      </c>
      <c r="D71" s="2673"/>
      <c r="E71" s="534">
        <f>'UOP (2)'!D75</f>
        <v>0</v>
      </c>
      <c r="F71" s="534">
        <f>'UOP (2)'!E75</f>
        <v>0</v>
      </c>
      <c r="G71" s="534">
        <f>'UOP (2)'!F75</f>
        <v>0</v>
      </c>
      <c r="H71" s="534">
        <f>'UOP (2)'!G75</f>
        <v>0</v>
      </c>
      <c r="I71" s="1704">
        <f>'UOP (2)'!H75</f>
        <v>3500</v>
      </c>
    </row>
    <row r="72" spans="3:9" ht="16" hidden="1" thickBot="1">
      <c r="C72" s="1705"/>
      <c r="D72" s="1706"/>
      <c r="E72" s="1707">
        <f>'UOP (2)'!D76</f>
        <v>0</v>
      </c>
      <c r="F72" s="1707">
        <f>'UOP (2)'!E76</f>
        <v>0</v>
      </c>
      <c r="G72" s="1707">
        <f>'UOP (2)'!F76</f>
        <v>0</v>
      </c>
      <c r="H72" s="1707">
        <f>'UOP (2)'!G76</f>
        <v>0</v>
      </c>
      <c r="I72" s="1708">
        <f>'UOP (2)'!H76</f>
        <v>0</v>
      </c>
    </row>
    <row r="73" spans="3:9" hidden="1"/>
  </sheetData>
  <sheetProtection algorithmName="SHA-512" hashValue="KMmzHMCZFAAxdQ0Bxul5+niml38vGP6AImzeol7ihI2yaTOLcBRSUUh4/H9wt1oya3WeiA2xs6qGntkr937VlA==" saltValue="HR/poQqw8ZQy24YidQokKQ==" spinCount="100000" sheet="1" scenarios="1" formatCells="0" formatColumns="0" formatRows="0"/>
  <customSheetViews>
    <customSheetView guid="{EDC0EC15-0264-48C8-A990-093960AE8EF3}" scale="85" showGridLines="0" fitToPage="1" printArea="1">
      <selection activeCell="D17" sqref="D17"/>
      <pageMargins left="0" right="0" top="0" bottom="0" header="0" footer="0"/>
      <printOptions horizontalCentered="1"/>
      <pageSetup scale="82" orientation="portrait" r:id="rId1"/>
      <headerFooter differentFirst="1">
        <firstFooter xml:space="preserve">&amp;RInitial:  _____ / _____          </firstFooter>
      </headerFooter>
    </customSheetView>
    <customSheetView guid="{6E1FDEE6-49D0-4876-8C7C-09893145D2CE}" scale="85" showGridLines="0" fitToPage="1" printArea="1">
      <selection activeCell="D17" sqref="D17"/>
      <pageMargins left="0" right="0" top="0" bottom="0" header="0" footer="0"/>
      <printOptions horizontalCentered="1"/>
      <pageSetup scale="82" orientation="portrait" r:id="rId2"/>
      <headerFooter differentFirst="1">
        <firstFooter xml:space="preserve">&amp;RInitial:  _____ / _____          </firstFooter>
      </headerFooter>
    </customSheetView>
    <customSheetView guid="{DB1F6E98-7FCC-445F-9DA6-47D8BF8BE969}" scale="85" showGridLines="0" fitToPage="1" printArea="1" state="hidden">
      <selection activeCell="D17" sqref="D17"/>
      <pageMargins left="0" right="0" top="0" bottom="0" header="0" footer="0"/>
      <printOptions horizontalCentered="1"/>
      <pageSetup scale="82" orientation="portrait" r:id="rId3"/>
      <headerFooter differentFirst="1">
        <firstFooter xml:space="preserve">&amp;RInitial:  _____ / _____          </firstFooter>
      </headerFooter>
    </customSheetView>
    <customSheetView guid="{C02CA8E5-5D4C-45E5-BC4A-4C9BE481059B}" scale="85" showGridLines="0" fitToPage="1" printArea="1" state="hidden">
      <selection activeCell="F20" sqref="F20"/>
      <pageMargins left="0" right="0" top="0" bottom="0" header="0" footer="0"/>
      <printOptions horizontalCentered="1"/>
      <pageSetup scale="82" orientation="portrait" r:id="rId4"/>
      <headerFooter differentFirst="1">
        <firstFooter xml:space="preserve">&amp;RInitial:  _____ / _____          </firstFooter>
      </headerFooter>
    </customSheetView>
  </customSheetViews>
  <mergeCells count="133">
    <mergeCell ref="C70:D70"/>
    <mergeCell ref="C71:D71"/>
    <mergeCell ref="C15:D15"/>
    <mergeCell ref="C16:D16"/>
    <mergeCell ref="C17:D17"/>
    <mergeCell ref="C25:D25"/>
    <mergeCell ref="C26:D26"/>
    <mergeCell ref="C18:D18"/>
    <mergeCell ref="C65:D65"/>
    <mergeCell ref="C66:D66"/>
    <mergeCell ref="C19:D19"/>
    <mergeCell ref="C20:D20"/>
    <mergeCell ref="C23:D23"/>
    <mergeCell ref="C24:D24"/>
    <mergeCell ref="C30:D30"/>
    <mergeCell ref="C31:D31"/>
    <mergeCell ref="C32:D32"/>
    <mergeCell ref="C33:D33"/>
    <mergeCell ref="C34:D34"/>
    <mergeCell ref="C35:D35"/>
    <mergeCell ref="C62:D62"/>
    <mergeCell ref="C60:D60"/>
    <mergeCell ref="C61:D61"/>
    <mergeCell ref="C67:D67"/>
    <mergeCell ref="C68:D68"/>
    <mergeCell ref="C69:D69"/>
    <mergeCell ref="M12:N12"/>
    <mergeCell ref="M13:N13"/>
    <mergeCell ref="K14:L14"/>
    <mergeCell ref="M14:N14"/>
    <mergeCell ref="K15:L15"/>
    <mergeCell ref="M15:N15"/>
    <mergeCell ref="C13:D13"/>
    <mergeCell ref="C14:D14"/>
    <mergeCell ref="K18:L18"/>
    <mergeCell ref="M18:N18"/>
    <mergeCell ref="K19:L19"/>
    <mergeCell ref="M19:N19"/>
    <mergeCell ref="K16:L16"/>
    <mergeCell ref="M16:N16"/>
    <mergeCell ref="M17:N17"/>
    <mergeCell ref="M20:N20"/>
    <mergeCell ref="C57:D57"/>
    <mergeCell ref="C59:D59"/>
    <mergeCell ref="C54:D54"/>
    <mergeCell ref="C55:D55"/>
    <mergeCell ref="C53:D53"/>
    <mergeCell ref="C52:D52"/>
    <mergeCell ref="L3:M3"/>
    <mergeCell ref="C5:D5"/>
    <mergeCell ref="C6:D6"/>
    <mergeCell ref="C7:D7"/>
    <mergeCell ref="C8:D8"/>
    <mergeCell ref="C9:D9"/>
    <mergeCell ref="C10:D10"/>
    <mergeCell ref="C11:D11"/>
    <mergeCell ref="C12:D12"/>
    <mergeCell ref="C3:I3"/>
    <mergeCell ref="C4:I4"/>
    <mergeCell ref="K6:L6"/>
    <mergeCell ref="M6:N6"/>
    <mergeCell ref="K7:L7"/>
    <mergeCell ref="M7:N7"/>
    <mergeCell ref="K8:L8"/>
    <mergeCell ref="M8:N8"/>
    <mergeCell ref="K9:L9"/>
    <mergeCell ref="M9:N9"/>
    <mergeCell ref="K10:L10"/>
    <mergeCell ref="M10:N10"/>
    <mergeCell ref="K11:L11"/>
    <mergeCell ref="M11:N11"/>
    <mergeCell ref="K12:L12"/>
    <mergeCell ref="C56:D56"/>
    <mergeCell ref="K17:L17"/>
    <mergeCell ref="K13:L13"/>
    <mergeCell ref="K20:L20"/>
    <mergeCell ref="K21:L21"/>
    <mergeCell ref="K44:L44"/>
    <mergeCell ref="K49:L49"/>
    <mergeCell ref="K54:L54"/>
    <mergeCell ref="K59:L59"/>
    <mergeCell ref="C49:D49"/>
    <mergeCell ref="C50:D50"/>
    <mergeCell ref="C51:D51"/>
    <mergeCell ref="C21:D21"/>
    <mergeCell ref="C44:D44"/>
    <mergeCell ref="C45:D45"/>
    <mergeCell ref="C46:D46"/>
    <mergeCell ref="C47:D47"/>
    <mergeCell ref="C48:D48"/>
    <mergeCell ref="C39:I39"/>
    <mergeCell ref="C40:I40"/>
    <mergeCell ref="C41:D41"/>
    <mergeCell ref="C42:D42"/>
    <mergeCell ref="C43:D43"/>
    <mergeCell ref="C29:D29"/>
    <mergeCell ref="M21:N21"/>
    <mergeCell ref="K22:L22"/>
    <mergeCell ref="M22:N22"/>
    <mergeCell ref="K23:L23"/>
    <mergeCell ref="M23:N23"/>
    <mergeCell ref="K42:L42"/>
    <mergeCell ref="M42:N42"/>
    <mergeCell ref="K43:L43"/>
    <mergeCell ref="M43:N43"/>
    <mergeCell ref="M44:N44"/>
    <mergeCell ref="K45:L45"/>
    <mergeCell ref="M45:N45"/>
    <mergeCell ref="K46:L46"/>
    <mergeCell ref="M46:N46"/>
    <mergeCell ref="K47:L47"/>
    <mergeCell ref="M47:N47"/>
    <mergeCell ref="K48:L48"/>
    <mergeCell ref="M48:N48"/>
    <mergeCell ref="M49:N49"/>
    <mergeCell ref="K50:L50"/>
    <mergeCell ref="M50:N50"/>
    <mergeCell ref="K51:L51"/>
    <mergeCell ref="M51:N51"/>
    <mergeCell ref="K52:L52"/>
    <mergeCell ref="M52:N52"/>
    <mergeCell ref="K53:L53"/>
    <mergeCell ref="M53:N53"/>
    <mergeCell ref="M59:N59"/>
    <mergeCell ref="M54:N54"/>
    <mergeCell ref="K55:L55"/>
    <mergeCell ref="M55:N55"/>
    <mergeCell ref="K56:L56"/>
    <mergeCell ref="M56:N56"/>
    <mergeCell ref="K57:L57"/>
    <mergeCell ref="M57:N57"/>
    <mergeCell ref="K58:L58"/>
    <mergeCell ref="M58:N58"/>
  </mergeCells>
  <printOptions horizontalCentered="1"/>
  <pageMargins left="0" right="0" top="0.75" bottom="0.75" header="0.3" footer="0.3"/>
  <pageSetup scale="85" orientation="landscape" r:id="rId5"/>
  <headerFooter differentFirst="1"/>
  <rowBreaks count="1" manualBreakCount="1">
    <brk id="37" min="2" max="14" man="1"/>
  </rowBreaks>
  <ignoredErrors>
    <ignoredError xmlns:x16r3="http://schemas.microsoft.com/office/spreadsheetml/2018/08/main" sqref="M44 M52" x16r3:misleadingForma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E4A9-F3D2-4167-96EA-2F76AF9CD5FA}">
  <sheetPr codeName="Sheet103">
    <tabColor rgb="FF00B050"/>
    <pageSetUpPr autoPageBreaks="0"/>
  </sheetPr>
  <dimension ref="C2:N251"/>
  <sheetViews>
    <sheetView showGridLines="0" zoomScale="85" zoomScaleNormal="85" workbookViewId="0">
      <selection activeCell="F18" sqref="F18"/>
    </sheetView>
  </sheetViews>
  <sheetFormatPr baseColWidth="10" defaultColWidth="8.83203125" defaultRowHeight="15"/>
  <cols>
    <col min="2" max="2" width="2.6640625" customWidth="1"/>
    <col min="3" max="3" width="20.83203125" customWidth="1"/>
    <col min="4" max="4" width="12" customWidth="1"/>
    <col min="5" max="5" width="17.83203125" bestFit="1" customWidth="1"/>
    <col min="6" max="6" width="12.33203125" customWidth="1"/>
    <col min="7" max="7" width="16.83203125" customWidth="1"/>
    <col min="8" max="8" width="18.1640625" bestFit="1" customWidth="1"/>
    <col min="9" max="9" width="11.5" bestFit="1" customWidth="1"/>
    <col min="10" max="10" width="2.6640625" customWidth="1"/>
    <col min="15" max="15" width="2.6640625" customWidth="1"/>
  </cols>
  <sheetData>
    <row r="2" spans="3:14" ht="16" thickBot="1"/>
    <row r="3" spans="3:14" ht="19">
      <c r="C3" s="2748" t="s">
        <v>602</v>
      </c>
      <c r="D3" s="2749"/>
      <c r="E3" s="2749"/>
      <c r="F3" s="2749"/>
      <c r="G3" s="2749"/>
      <c r="H3" s="2749"/>
      <c r="I3" s="2750"/>
      <c r="L3" s="2756"/>
      <c r="M3" s="2756"/>
    </row>
    <row r="4" spans="3:14" ht="19">
      <c r="C4" s="2751" t="s">
        <v>603</v>
      </c>
      <c r="D4" s="2752"/>
      <c r="E4" s="2752"/>
      <c r="F4" s="2752"/>
      <c r="G4" s="2752"/>
      <c r="H4" s="2752"/>
      <c r="I4" s="2753"/>
      <c r="J4" s="873"/>
    </row>
    <row r="5" spans="3:14" ht="17" thickBot="1">
      <c r="C5" s="2672"/>
      <c r="D5" s="2673"/>
      <c r="E5" s="210" t="str">
        <f>UOP!D2</f>
        <v>T Bank Loan</v>
      </c>
      <c r="F5" s="211" t="str">
        <f>UOP!E2</f>
        <v>Borrower</v>
      </c>
      <c r="G5" s="211" t="str">
        <f>UOP!F2</f>
        <v>Seller/Other</v>
      </c>
      <c r="H5" s="211" t="str">
        <f>UOP!G2</f>
        <v>3rd Party/CDC Loan</v>
      </c>
      <c r="I5" s="212" t="s">
        <v>104</v>
      </c>
      <c r="J5" s="874"/>
    </row>
    <row r="6" spans="3:14">
      <c r="C6" s="2672" t="str">
        <f>UOP!B4</f>
        <v>Real Estate Acquisition</v>
      </c>
      <c r="D6" s="2747"/>
      <c r="E6" s="875">
        <f>UOP!D4</f>
        <v>0</v>
      </c>
      <c r="F6" s="875">
        <f>UOP!E4</f>
        <v>0</v>
      </c>
      <c r="G6" s="875">
        <f>UOP!F4</f>
        <v>0</v>
      </c>
      <c r="H6" s="875">
        <f>UOP!G4</f>
        <v>0</v>
      </c>
      <c r="I6" s="876">
        <f>UOP!H4</f>
        <v>0</v>
      </c>
      <c r="J6" s="874"/>
      <c r="K6" s="2743" t="s">
        <v>108</v>
      </c>
      <c r="L6" s="2744"/>
      <c r="M6" s="2757">
        <f>UOP!P6</f>
        <v>0</v>
      </c>
      <c r="N6" s="2758"/>
    </row>
    <row r="7" spans="3:14">
      <c r="C7" s="2672" t="str">
        <f>UOP!B5</f>
        <v>Debt Refi - CRE</v>
      </c>
      <c r="D7" s="2747"/>
      <c r="E7" s="875">
        <f>UOP!D5</f>
        <v>0</v>
      </c>
      <c r="F7" s="875">
        <f>UOP!E5</f>
        <v>0</v>
      </c>
      <c r="G7" s="875">
        <f>UOP!F5</f>
        <v>0</v>
      </c>
      <c r="H7" s="875">
        <f>UOP!G5</f>
        <v>0</v>
      </c>
      <c r="I7" s="876">
        <f>UOP!H5</f>
        <v>0</v>
      </c>
      <c r="J7" s="874"/>
      <c r="K7" s="2723" t="s">
        <v>144</v>
      </c>
      <c r="L7" s="2626"/>
      <c r="M7" s="2759">
        <f>UOP!P7</f>
        <v>0</v>
      </c>
      <c r="N7" s="2760"/>
    </row>
    <row r="8" spans="3:14">
      <c r="C8" s="2672" t="str">
        <f>UOP!B6</f>
        <v>Debt Refi - Non-CRE</v>
      </c>
      <c r="D8" s="2747"/>
      <c r="E8" s="875">
        <f>UOP!D6</f>
        <v>0</v>
      </c>
      <c r="F8" s="875">
        <f>UOP!E6</f>
        <v>0</v>
      </c>
      <c r="G8" s="875">
        <f>UOP!F6</f>
        <v>0</v>
      </c>
      <c r="H8" s="875">
        <f>UOP!G6</f>
        <v>0</v>
      </c>
      <c r="I8" s="876">
        <f>UOP!H6</f>
        <v>0</v>
      </c>
      <c r="J8" s="874"/>
      <c r="K8" s="2723" t="s">
        <v>523</v>
      </c>
      <c r="L8" s="2626"/>
      <c r="M8" s="2761">
        <f>UOP!P8</f>
        <v>0</v>
      </c>
      <c r="N8" s="2737"/>
    </row>
    <row r="9" spans="3:14">
      <c r="C9" s="2672" t="str">
        <f>UOP!B7</f>
        <v>Machinery &amp; Equipment</v>
      </c>
      <c r="D9" s="2747"/>
      <c r="E9" s="875">
        <f>UOP!D7</f>
        <v>0</v>
      </c>
      <c r="F9" s="875">
        <f>UOP!E7</f>
        <v>0</v>
      </c>
      <c r="G9" s="875">
        <f>UOP!F7</f>
        <v>0</v>
      </c>
      <c r="H9" s="875">
        <f>UOP!G7</f>
        <v>0</v>
      </c>
      <c r="I9" s="876">
        <f>UOP!H7</f>
        <v>0</v>
      </c>
      <c r="J9" s="874"/>
      <c r="K9" s="2723" t="s">
        <v>524</v>
      </c>
      <c r="L9" s="2626"/>
      <c r="M9" s="2762">
        <f>UOP!P9</f>
        <v>0</v>
      </c>
      <c r="N9" s="2763"/>
    </row>
    <row r="10" spans="3:14">
      <c r="C10" s="2672" t="str">
        <f>UOP!B8</f>
        <v>Furniture &amp; Fixtures (TIs)</v>
      </c>
      <c r="D10" s="2747"/>
      <c r="E10" s="875">
        <f>UOP!D8</f>
        <v>0</v>
      </c>
      <c r="F10" s="875">
        <f>UOP!E8</f>
        <v>0</v>
      </c>
      <c r="G10" s="875">
        <f>UOP!F8</f>
        <v>0</v>
      </c>
      <c r="H10" s="875">
        <f>UOP!G8</f>
        <v>0</v>
      </c>
      <c r="I10" s="876">
        <f>UOP!H8</f>
        <v>0</v>
      </c>
      <c r="J10" s="874"/>
      <c r="K10" s="2723" t="s">
        <v>112</v>
      </c>
      <c r="L10" s="2626"/>
      <c r="M10" s="2764">
        <f>UOP!P10</f>
        <v>0</v>
      </c>
      <c r="N10" s="2765"/>
    </row>
    <row r="11" spans="3:14">
      <c r="C11" s="2672" t="str">
        <f>UOP!B9</f>
        <v>Inventory</v>
      </c>
      <c r="D11" s="2747"/>
      <c r="E11" s="875">
        <f>UOP!D9</f>
        <v>0</v>
      </c>
      <c r="F11" s="875">
        <f>UOP!E9</f>
        <v>0</v>
      </c>
      <c r="G11" s="875">
        <f>UOP!F9</f>
        <v>0</v>
      </c>
      <c r="H11" s="875">
        <f>UOP!G9</f>
        <v>0</v>
      </c>
      <c r="I11" s="876">
        <f>UOP!H9</f>
        <v>0</v>
      </c>
      <c r="J11" s="874"/>
      <c r="K11" s="2723" t="s">
        <v>113</v>
      </c>
      <c r="L11" s="2626"/>
      <c r="M11" s="2764">
        <f>UOP!P11</f>
        <v>0</v>
      </c>
      <c r="N11" s="2765"/>
    </row>
    <row r="12" spans="3:14">
      <c r="C12" s="2672" t="str">
        <f>UOP!B10</f>
        <v>Working Capital</v>
      </c>
      <c r="D12" s="2747"/>
      <c r="E12" s="875">
        <f>UOP!D10</f>
        <v>0</v>
      </c>
      <c r="F12" s="875">
        <f>UOP!E10</f>
        <v>0</v>
      </c>
      <c r="G12" s="875">
        <f>UOP!F10</f>
        <v>0</v>
      </c>
      <c r="H12" s="875">
        <f>UOP!G10</f>
        <v>0</v>
      </c>
      <c r="I12" s="876">
        <f>UOP!H10</f>
        <v>0</v>
      </c>
      <c r="J12" s="874"/>
      <c r="K12" s="2723" t="s">
        <v>115</v>
      </c>
      <c r="L12" s="2626"/>
      <c r="M12" s="2764">
        <f>UOP!P12</f>
        <v>0</v>
      </c>
      <c r="N12" s="2765"/>
    </row>
    <row r="13" spans="3:14">
      <c r="C13" s="2672" t="str">
        <f>UOP!B11</f>
        <v>Working Capital - Pre Opening</v>
      </c>
      <c r="D13" s="2747"/>
      <c r="E13" s="875">
        <f>UOP!D11</f>
        <v>0</v>
      </c>
      <c r="F13" s="875">
        <f>UOP!E11</f>
        <v>0</v>
      </c>
      <c r="G13" s="875">
        <f>UOP!F11</f>
        <v>0</v>
      </c>
      <c r="H13" s="875">
        <f>UOP!G11</f>
        <v>0</v>
      </c>
      <c r="I13" s="876">
        <f>UOP!H11</f>
        <v>0</v>
      </c>
      <c r="K13" s="2723" t="s">
        <v>373</v>
      </c>
      <c r="L13" s="2626"/>
      <c r="M13" s="2736">
        <f>UOP!P13</f>
        <v>0</v>
      </c>
      <c r="N13" s="2737"/>
    </row>
    <row r="14" spans="3:14">
      <c r="C14" s="2672" t="str">
        <f>UOP!B12</f>
        <v>Business Acquisition</v>
      </c>
      <c r="D14" s="2747"/>
      <c r="E14" s="875">
        <f>UOP!D12</f>
        <v>0</v>
      </c>
      <c r="F14" s="875">
        <f>UOP!E12</f>
        <v>0</v>
      </c>
      <c r="G14" s="875">
        <f>UOP!F12</f>
        <v>0</v>
      </c>
      <c r="H14" s="875">
        <f>UOP!G12</f>
        <v>0</v>
      </c>
      <c r="I14" s="876">
        <f>UOP!H12</f>
        <v>0</v>
      </c>
      <c r="K14" s="2723" t="s">
        <v>374</v>
      </c>
      <c r="L14" s="2626"/>
      <c r="M14" s="2736">
        <f>UOP!P14</f>
        <v>0</v>
      </c>
      <c r="N14" s="2737"/>
    </row>
    <row r="15" spans="3:14">
      <c r="C15" s="2672" t="str">
        <f>UOP!B13</f>
        <v>Franchise Fees</v>
      </c>
      <c r="D15" s="2747"/>
      <c r="E15" s="875">
        <f>UOP!D13</f>
        <v>0</v>
      </c>
      <c r="F15" s="875">
        <f>UOP!E13</f>
        <v>0</v>
      </c>
      <c r="G15" s="875">
        <f>UOP!F13</f>
        <v>0</v>
      </c>
      <c r="H15" s="875">
        <f>UOP!G13</f>
        <v>0</v>
      </c>
      <c r="I15" s="876">
        <f>UOP!H13</f>
        <v>0</v>
      </c>
      <c r="K15" s="2723" t="s">
        <v>387</v>
      </c>
      <c r="L15" s="2626"/>
      <c r="M15" s="2736">
        <f>UOP!P15</f>
        <v>0</v>
      </c>
      <c r="N15" s="2737"/>
    </row>
    <row r="16" spans="3:14">
      <c r="C16" s="2672" t="str">
        <f>UOP!B17</f>
        <v>SBA Guaranty Fee</v>
      </c>
      <c r="D16" s="2747"/>
      <c r="E16" s="875">
        <f>UOP!D17</f>
        <v>0</v>
      </c>
      <c r="F16" s="875">
        <f>UOP!E17</f>
        <v>0</v>
      </c>
      <c r="G16" s="875">
        <f>UOP!F17</f>
        <v>0</v>
      </c>
      <c r="H16" s="875">
        <f>UOP!G17</f>
        <v>0</v>
      </c>
      <c r="I16" s="876">
        <f>UOP!H17</f>
        <v>0</v>
      </c>
      <c r="K16" s="2723" t="s">
        <v>526</v>
      </c>
      <c r="L16" s="2626"/>
      <c r="M16" s="2770">
        <f>UOP!P16</f>
        <v>0</v>
      </c>
      <c r="N16" s="2771"/>
    </row>
    <row r="17" spans="3:14">
      <c r="C17" s="2672" t="str">
        <f>UOP!B31</f>
        <v>Interim Loan Fee</v>
      </c>
      <c r="D17" s="2747"/>
      <c r="E17" s="875">
        <f>UOP!D31</f>
        <v>0</v>
      </c>
      <c r="F17" s="875">
        <f>UOP!E31</f>
        <v>0</v>
      </c>
      <c r="G17" s="875">
        <f>UOP!F31</f>
        <v>0</v>
      </c>
      <c r="H17" s="875">
        <f>UOP!G31</f>
        <v>0</v>
      </c>
      <c r="I17" s="876">
        <f>UOP!H31</f>
        <v>0</v>
      </c>
      <c r="K17" s="2723" t="s">
        <v>117</v>
      </c>
      <c r="L17" s="2626"/>
      <c r="M17" s="2736">
        <f>UOP!P17</f>
        <v>0</v>
      </c>
      <c r="N17" s="2737"/>
    </row>
    <row r="18" spans="3:14">
      <c r="C18" s="2772" t="s">
        <v>102</v>
      </c>
      <c r="D18" s="2773"/>
      <c r="E18" s="1588">
        <f>SUM(UOP!D18:D30,UOP!D32:D33)</f>
        <v>0</v>
      </c>
      <c r="F18" s="1588">
        <f>SUM(UOP!E18:E30,UOP!E32:E33)</f>
        <v>0</v>
      </c>
      <c r="G18" s="1588">
        <f>SUM(UOP!F18:F30,UOP!F32:F33)</f>
        <v>0</v>
      </c>
      <c r="H18" s="1588">
        <f>SUM(UOP!G18:G30,UOP!G32:G33)</f>
        <v>0</v>
      </c>
      <c r="I18" s="1701">
        <f>SUM(UOP!H18:H30,UOP!H32:H33)</f>
        <v>0</v>
      </c>
      <c r="K18" s="2723" t="s">
        <v>120</v>
      </c>
      <c r="L18" s="2626"/>
      <c r="M18" s="2768">
        <f>UOP!P18</f>
        <v>0</v>
      </c>
      <c r="N18" s="2769"/>
    </row>
    <row r="19" spans="3:14">
      <c r="C19" s="2672" t="str">
        <f>UOP!B37</f>
        <v>Hard Costs - Contingency</v>
      </c>
      <c r="D19" s="2747"/>
      <c r="E19" s="875">
        <f>UOP!D37</f>
        <v>0</v>
      </c>
      <c r="F19" s="875">
        <f>UOP!E37</f>
        <v>0</v>
      </c>
      <c r="G19" s="875">
        <f>UOP!F37</f>
        <v>0</v>
      </c>
      <c r="H19" s="875">
        <f>UOP!G37</f>
        <v>0</v>
      </c>
      <c r="I19" s="876">
        <f>UOP!H37</f>
        <v>0</v>
      </c>
      <c r="K19" s="2723" t="s">
        <v>121</v>
      </c>
      <c r="L19" s="2626"/>
      <c r="M19" s="2768">
        <f>UOP!P19</f>
        <v>0</v>
      </c>
      <c r="N19" s="2769"/>
    </row>
    <row r="20" spans="3:14">
      <c r="C20" s="2672" t="str">
        <f>UOP!B38</f>
        <v>Equipment - Non Contingency</v>
      </c>
      <c r="D20" s="2747"/>
      <c r="E20" s="875">
        <f>UOP!D38</f>
        <v>0</v>
      </c>
      <c r="F20" s="875">
        <f>UOP!E38</f>
        <v>0</v>
      </c>
      <c r="G20" s="875">
        <f>UOP!F38</f>
        <v>0</v>
      </c>
      <c r="H20" s="875">
        <f>UOP!G38</f>
        <v>0</v>
      </c>
      <c r="I20" s="876">
        <f>UOP!H38</f>
        <v>0</v>
      </c>
      <c r="K20" s="2723" t="s">
        <v>122</v>
      </c>
      <c r="L20" s="2626"/>
      <c r="M20" s="2759">
        <f>UOP!P20</f>
        <v>0</v>
      </c>
      <c r="N20" s="2760"/>
    </row>
    <row r="21" spans="3:14">
      <c r="C21" s="2672" t="str">
        <f>UOP!B50</f>
        <v>Interim Interest Reserve</v>
      </c>
      <c r="D21" s="2747"/>
      <c r="E21" s="875">
        <f>UOP!D50</f>
        <v>0</v>
      </c>
      <c r="F21" s="875">
        <f>UOP!E50</f>
        <v>0</v>
      </c>
      <c r="G21" s="875">
        <f>UOP!F50</f>
        <v>0</v>
      </c>
      <c r="H21" s="875">
        <f>UOP!G50</f>
        <v>0</v>
      </c>
      <c r="I21" s="876">
        <f>UOP!H50</f>
        <v>0</v>
      </c>
      <c r="K21" s="2723" t="s">
        <v>528</v>
      </c>
      <c r="L21" s="2626"/>
      <c r="M21" s="2736">
        <f>UOP!P21</f>
        <v>0</v>
      </c>
      <c r="N21" s="2737"/>
    </row>
    <row r="22" spans="3:14">
      <c r="C22" s="167" t="str">
        <f>UOP!B51</f>
        <v>Contingency Reserve</v>
      </c>
      <c r="D22" s="1731">
        <f>UOP!C51</f>
        <v>0.1</v>
      </c>
      <c r="E22" s="875">
        <f>UOP!D51</f>
        <v>0</v>
      </c>
      <c r="F22" s="875">
        <f>UOP!E51</f>
        <v>0</v>
      </c>
      <c r="G22" s="875">
        <f>UOP!F51</f>
        <v>0</v>
      </c>
      <c r="H22" s="875">
        <f>UOP!G51</f>
        <v>0</v>
      </c>
      <c r="I22" s="876">
        <f>UOP!H51</f>
        <v>0</v>
      </c>
      <c r="K22" s="2723" t="s">
        <v>529</v>
      </c>
      <c r="L22" s="2631"/>
      <c r="M22" s="2738">
        <f>UOP!P22</f>
        <v>0.75</v>
      </c>
      <c r="N22" s="2739"/>
    </row>
    <row r="23" spans="3:14" ht="16" thickBot="1">
      <c r="C23" s="2672" t="str">
        <f>UOP!B52</f>
        <v>Construction Monitoring Cost</v>
      </c>
      <c r="D23" s="2747"/>
      <c r="E23" s="875">
        <f>UOP!D52</f>
        <v>0</v>
      </c>
      <c r="F23" s="875">
        <f>UOP!E52</f>
        <v>0</v>
      </c>
      <c r="G23" s="875">
        <f>UOP!F52</f>
        <v>0</v>
      </c>
      <c r="H23" s="875">
        <f>UOP!G52</f>
        <v>0</v>
      </c>
      <c r="I23" s="876">
        <f>UOP!H52</f>
        <v>0</v>
      </c>
      <c r="K23" s="2740" t="s">
        <v>530</v>
      </c>
      <c r="L23" s="2330"/>
      <c r="M23" s="2741">
        <f>UOP!P23</f>
        <v>0</v>
      </c>
      <c r="N23" s="2742"/>
    </row>
    <row r="24" spans="3:14">
      <c r="C24" s="2672" t="s">
        <v>539</v>
      </c>
      <c r="D24" s="2673"/>
      <c r="E24" s="1588">
        <f>SUM(UOP!D42:D49,UOP!D53:D55)</f>
        <v>0</v>
      </c>
      <c r="F24" s="1588">
        <f>SUM(UOP!E42:E49,UOP!E53:E55)</f>
        <v>0</v>
      </c>
      <c r="G24" s="1588">
        <f>SUM(UOP!F42:F49,UOP!F53:F55)</f>
        <v>0</v>
      </c>
      <c r="H24" s="1588">
        <f>SUM(UOP!G42:G49,UOP!G53:G55)</f>
        <v>0</v>
      </c>
      <c r="I24" s="1701">
        <f>SUM(UOP!H42:H49,UOP!H53:H55)</f>
        <v>0</v>
      </c>
    </row>
    <row r="25" spans="3:14">
      <c r="C25" s="2669" t="s">
        <v>554</v>
      </c>
      <c r="D25" s="2670"/>
      <c r="E25" s="534">
        <f>SUM(E6:E24)</f>
        <v>0</v>
      </c>
      <c r="F25" s="534">
        <f>SUM(F6:F24)</f>
        <v>0</v>
      </c>
      <c r="G25" s="534">
        <f>SUM(G6:G24)</f>
        <v>0</v>
      </c>
      <c r="H25" s="534">
        <f>SUM(H6:H24)</f>
        <v>0</v>
      </c>
      <c r="I25" s="1704">
        <f>SUM(I6:I24)</f>
        <v>0</v>
      </c>
    </row>
    <row r="26" spans="3:14" ht="16" thickBot="1">
      <c r="C26" s="2774" t="s">
        <v>556</v>
      </c>
      <c r="D26" s="2775"/>
      <c r="E26" s="877">
        <f>IF(E25=0,0,E25/$I$25)</f>
        <v>0</v>
      </c>
      <c r="F26" s="877">
        <f>IF(F25=0,0,F25/$I$25)</f>
        <v>0</v>
      </c>
      <c r="G26" s="877">
        <f>IF(G25=0,0,G25/$I$25)</f>
        <v>0</v>
      </c>
      <c r="H26" s="877">
        <f>IF(H25=0,0,H25/$I$25)</f>
        <v>0</v>
      </c>
      <c r="I26" s="878">
        <f>SUM(E26:H26)</f>
        <v>0</v>
      </c>
    </row>
    <row r="27" spans="3:14" ht="16" thickBot="1"/>
    <row r="28" spans="3:14" ht="15.75" customHeight="1" thickBot="1">
      <c r="C28" s="1590"/>
      <c r="D28" s="1591" t="s">
        <v>561</v>
      </c>
      <c r="E28" s="1589" t="str">
        <f>UOP!D63</f>
        <v>T Bank 504 to perm</v>
      </c>
      <c r="F28" s="1589" t="str">
        <f>UOP!E63</f>
        <v>Borrower</v>
      </c>
      <c r="G28" s="1589" t="str">
        <f>UOP!F63</f>
        <v>Seller/Other</v>
      </c>
      <c r="H28" s="1589" t="str">
        <f>UOP!G63</f>
        <v>3rd Party/CDC Loan</v>
      </c>
      <c r="I28" s="1587" t="s">
        <v>104</v>
      </c>
    </row>
    <row r="29" spans="3:14">
      <c r="C29" s="2754" t="s">
        <v>562</v>
      </c>
      <c r="D29" s="2755"/>
      <c r="E29" s="1592">
        <f>UOP!D69</f>
        <v>0</v>
      </c>
      <c r="F29" s="1592">
        <f>UOP!E69</f>
        <v>0</v>
      </c>
      <c r="G29" s="1592">
        <f>UOP!F69</f>
        <v>0</v>
      </c>
      <c r="H29" s="1594">
        <f>UOP!G69</f>
        <v>3500</v>
      </c>
      <c r="I29" s="1702">
        <f>UOP!H69</f>
        <v>3500</v>
      </c>
    </row>
    <row r="30" spans="3:14">
      <c r="C30" s="2766" t="s">
        <v>147</v>
      </c>
      <c r="D30" s="2767"/>
      <c r="E30" s="1593">
        <f>UOP!D70</f>
        <v>0</v>
      </c>
      <c r="F30" s="1593">
        <f>UOP!E70</f>
        <v>0</v>
      </c>
      <c r="G30" s="1593">
        <f>UOP!F70</f>
        <v>0</v>
      </c>
      <c r="H30" s="557">
        <f>UOP!G70</f>
        <v>0</v>
      </c>
      <c r="I30" s="1703">
        <f>UOP!H70</f>
        <v>0</v>
      </c>
    </row>
    <row r="31" spans="3:14">
      <c r="C31" s="2766" t="s">
        <v>149</v>
      </c>
      <c r="D31" s="2767"/>
      <c r="E31" s="1593">
        <f>UOP!D71</f>
        <v>0</v>
      </c>
      <c r="F31" s="1593">
        <f>UOP!E71</f>
        <v>0</v>
      </c>
      <c r="G31" s="1593">
        <f>UOP!F71</f>
        <v>0</v>
      </c>
      <c r="H31" s="557">
        <f>UOP!G71</f>
        <v>0</v>
      </c>
      <c r="I31" s="1703">
        <f>UOP!H71</f>
        <v>0</v>
      </c>
    </row>
    <row r="32" spans="3:14">
      <c r="C32" s="2766" t="s">
        <v>153</v>
      </c>
      <c r="D32" s="2767"/>
      <c r="E32" s="1593">
        <f>UOP!D72</f>
        <v>0</v>
      </c>
      <c r="F32" s="1593">
        <f>UOP!E72</f>
        <v>0</v>
      </c>
      <c r="G32" s="1593">
        <f>UOP!F72</f>
        <v>0</v>
      </c>
      <c r="H32" s="557">
        <f>UOP!G72</f>
        <v>0</v>
      </c>
      <c r="I32" s="1703">
        <f>UOP!H72</f>
        <v>0</v>
      </c>
    </row>
    <row r="33" spans="3:10">
      <c r="C33" s="2766" t="s">
        <v>154</v>
      </c>
      <c r="D33" s="2767"/>
      <c r="E33" s="1593">
        <f>UOP!D73</f>
        <v>0</v>
      </c>
      <c r="F33" s="1593">
        <f>UOP!E73</f>
        <v>0</v>
      </c>
      <c r="G33" s="1593">
        <f>UOP!F73</f>
        <v>0</v>
      </c>
      <c r="H33" s="558">
        <f>UOP!G73</f>
        <v>0</v>
      </c>
      <c r="I33" s="1703">
        <f>UOP!H73</f>
        <v>0</v>
      </c>
    </row>
    <row r="34" spans="3:10">
      <c r="C34" s="2672" t="s">
        <v>563</v>
      </c>
      <c r="D34" s="2673"/>
      <c r="E34" s="534">
        <f>UOP!D74</f>
        <v>0</v>
      </c>
      <c r="F34" s="534">
        <f>UOP!E74</f>
        <v>0</v>
      </c>
      <c r="G34" s="534">
        <f>UOP!F74</f>
        <v>0</v>
      </c>
      <c r="H34" s="534">
        <f>UOP!G74</f>
        <v>3500</v>
      </c>
      <c r="I34" s="1704">
        <f>UOP!H74</f>
        <v>3500</v>
      </c>
    </row>
    <row r="35" spans="3:10">
      <c r="C35" s="2672" t="s">
        <v>564</v>
      </c>
      <c r="D35" s="2673"/>
      <c r="E35" s="534">
        <f>UOP!D75</f>
        <v>0</v>
      </c>
      <c r="F35" s="534">
        <f>UOP!E75</f>
        <v>0</v>
      </c>
      <c r="G35" s="534">
        <f>UOP!F75</f>
        <v>0</v>
      </c>
      <c r="H35" s="534">
        <f>UOP!G75</f>
        <v>0</v>
      </c>
      <c r="I35" s="1704">
        <f>UOP!H75</f>
        <v>3500</v>
      </c>
    </row>
    <row r="36" spans="3:10" ht="16" thickBot="1">
      <c r="C36" s="1705"/>
      <c r="D36" s="1706"/>
      <c r="E36" s="1707">
        <f>UOP!D76</f>
        <v>0</v>
      </c>
      <c r="F36" s="1707">
        <f>UOP!E76</f>
        <v>0</v>
      </c>
      <c r="G36" s="1707">
        <f>UOP!F76</f>
        <v>0</v>
      </c>
      <c r="H36" s="1707">
        <f>UOP!G76</f>
        <v>0</v>
      </c>
      <c r="I36" s="1708">
        <f>UOP!H76</f>
        <v>0</v>
      </c>
    </row>
    <row r="37" spans="3:10">
      <c r="C37" s="1597"/>
      <c r="D37" s="1597"/>
      <c r="E37" s="1598"/>
      <c r="F37" s="1598"/>
      <c r="G37" s="1598"/>
      <c r="H37" s="1598"/>
      <c r="I37" s="1598"/>
      <c r="J37" s="1599"/>
    </row>
    <row r="38" spans="3:10" ht="16">
      <c r="C38" s="2779" t="s">
        <v>606</v>
      </c>
      <c r="D38" s="2779"/>
      <c r="E38" s="2779"/>
      <c r="F38" s="2779"/>
      <c r="G38" s="2779"/>
      <c r="H38" s="2779"/>
      <c r="I38" s="2779"/>
    </row>
    <row r="39" spans="3:10">
      <c r="C39" s="2776" t="s">
        <v>607</v>
      </c>
      <c r="D39" s="2776"/>
      <c r="E39" s="2776"/>
      <c r="F39" s="2776"/>
      <c r="G39" s="2776"/>
      <c r="H39" s="2776"/>
      <c r="I39" s="2776"/>
    </row>
    <row r="40" spans="3:10">
      <c r="C40" s="2776" t="s">
        <v>608</v>
      </c>
      <c r="D40" s="2776"/>
      <c r="E40" s="2776"/>
      <c r="F40" s="2776"/>
      <c r="G40" s="2776"/>
      <c r="H40" s="2776"/>
      <c r="I40" s="2776"/>
    </row>
    <row r="41" spans="3:10" ht="31.5" customHeight="1">
      <c r="C41" s="2777" t="s">
        <v>609</v>
      </c>
      <c r="D41" s="2777"/>
      <c r="E41" s="2777"/>
      <c r="F41" s="2777"/>
      <c r="G41" s="2777"/>
      <c r="H41" s="2777"/>
      <c r="I41" s="2777"/>
    </row>
    <row r="42" spans="3:10">
      <c r="C42" s="2776" t="s">
        <v>610</v>
      </c>
      <c r="D42" s="2776"/>
      <c r="E42" s="2776"/>
      <c r="F42" s="2776"/>
      <c r="G42" s="2776"/>
      <c r="H42" s="2776"/>
      <c r="I42" s="2776"/>
    </row>
    <row r="43" spans="3:10">
      <c r="C43" s="2776" t="s">
        <v>611</v>
      </c>
      <c r="D43" s="2776"/>
      <c r="E43" s="2776"/>
      <c r="F43" s="2776"/>
      <c r="G43" s="2776"/>
      <c r="H43" s="2776"/>
      <c r="I43" s="2776"/>
    </row>
    <row r="44" spans="3:10" ht="31.5" customHeight="1">
      <c r="C44" s="2777" t="s">
        <v>612</v>
      </c>
      <c r="D44" s="2777"/>
      <c r="E44" s="2777"/>
      <c r="F44" s="2777"/>
      <c r="G44" s="2777"/>
      <c r="H44" s="2777"/>
      <c r="I44" s="2777"/>
    </row>
    <row r="45" spans="3:10">
      <c r="C45" s="2776" t="s">
        <v>613</v>
      </c>
      <c r="D45" s="2776"/>
      <c r="E45" s="2776"/>
      <c r="F45" s="2776"/>
      <c r="G45" s="2776"/>
      <c r="H45" s="2776"/>
      <c r="I45" s="2776"/>
    </row>
    <row r="46" spans="3:10">
      <c r="C46" s="2776" t="s">
        <v>614</v>
      </c>
      <c r="D46" s="2776"/>
      <c r="E46" s="2776"/>
      <c r="F46" s="2776"/>
      <c r="G46" s="2776"/>
      <c r="H46" s="2776"/>
      <c r="I46" s="2776"/>
    </row>
    <row r="47" spans="3:10">
      <c r="C47" s="2776" t="s">
        <v>615</v>
      </c>
      <c r="D47" s="2776"/>
      <c r="E47" s="2776"/>
      <c r="F47" s="2776"/>
      <c r="G47" s="2776"/>
      <c r="H47" s="2776"/>
      <c r="I47" s="2776"/>
    </row>
    <row r="48" spans="3:10">
      <c r="C48" s="2776" t="s">
        <v>616</v>
      </c>
      <c r="D48" s="2776"/>
      <c r="E48" s="2776"/>
      <c r="F48" s="2776"/>
      <c r="G48" s="2776"/>
      <c r="H48" s="2776"/>
      <c r="I48" s="2776"/>
    </row>
    <row r="49" spans="3:9">
      <c r="C49" s="2776" t="s">
        <v>617</v>
      </c>
      <c r="D49" s="2776"/>
      <c r="E49" s="2776"/>
      <c r="F49" s="2776"/>
      <c r="G49" s="2776"/>
      <c r="H49" s="2776"/>
      <c r="I49" s="2776"/>
    </row>
    <row r="50" spans="3:9">
      <c r="C50" s="2776" t="s">
        <v>618</v>
      </c>
      <c r="D50" s="2776"/>
      <c r="E50" s="2776"/>
      <c r="F50" s="2776"/>
      <c r="G50" s="2776"/>
      <c r="H50" s="2776"/>
      <c r="I50" s="2776"/>
    </row>
    <row r="51" spans="3:9" ht="60.75" customHeight="1">
      <c r="C51" s="2777" t="s">
        <v>619</v>
      </c>
      <c r="D51" s="2777"/>
      <c r="E51" s="2777"/>
      <c r="F51" s="2777"/>
      <c r="G51" s="2777"/>
      <c r="H51" s="2777"/>
      <c r="I51" s="2777"/>
    </row>
    <row r="52" spans="3:9">
      <c r="C52" s="2776" t="s">
        <v>620</v>
      </c>
      <c r="D52" s="2776"/>
      <c r="E52" s="2776"/>
      <c r="F52" s="2776"/>
      <c r="G52" s="2776"/>
      <c r="H52" s="2776"/>
      <c r="I52" s="2776"/>
    </row>
    <row r="53" spans="3:9">
      <c r="C53" s="2776" t="s">
        <v>621</v>
      </c>
      <c r="D53" s="2776"/>
      <c r="E53" s="2776"/>
      <c r="F53" s="2776"/>
      <c r="G53" s="2776"/>
      <c r="H53" s="2776"/>
      <c r="I53" s="2776"/>
    </row>
    <row r="54" spans="3:9">
      <c r="C54" s="2776" t="s">
        <v>622</v>
      </c>
      <c r="D54" s="2776"/>
      <c r="E54" s="2776"/>
      <c r="F54" s="2776"/>
      <c r="G54" s="2776"/>
      <c r="H54" s="2776"/>
      <c r="I54" s="2776"/>
    </row>
    <row r="55" spans="3:9">
      <c r="C55" s="2776" t="s">
        <v>623</v>
      </c>
      <c r="D55" s="2776"/>
      <c r="E55" s="2776"/>
      <c r="F55" s="2776"/>
      <c r="G55" s="2776"/>
      <c r="H55" s="2776"/>
      <c r="I55" s="2776"/>
    </row>
    <row r="56" spans="3:9">
      <c r="C56" s="2776" t="s">
        <v>624</v>
      </c>
      <c r="D56" s="2776"/>
      <c r="E56" s="2776"/>
      <c r="F56" s="2776"/>
      <c r="G56" s="2776"/>
      <c r="H56" s="2776"/>
      <c r="I56" s="2776"/>
    </row>
    <row r="57" spans="3:9">
      <c r="C57" s="2776" t="s">
        <v>611</v>
      </c>
      <c r="D57" s="2776"/>
      <c r="E57" s="2776"/>
      <c r="F57" s="2776"/>
      <c r="G57" s="2776"/>
      <c r="H57" s="2776"/>
      <c r="I57" s="2776"/>
    </row>
    <row r="58" spans="3:9" ht="32.25" customHeight="1">
      <c r="C58" s="2777" t="s">
        <v>612</v>
      </c>
      <c r="D58" s="2777"/>
      <c r="E58" s="2777"/>
      <c r="F58" s="2777"/>
      <c r="G58" s="2777"/>
      <c r="H58" s="2777"/>
      <c r="I58" s="2777"/>
    </row>
    <row r="59" spans="3:9">
      <c r="C59" s="2776" t="s">
        <v>613</v>
      </c>
      <c r="D59" s="2776"/>
      <c r="E59" s="2776"/>
      <c r="F59" s="2776"/>
      <c r="G59" s="2776"/>
      <c r="H59" s="2776"/>
      <c r="I59" s="2776"/>
    </row>
    <row r="60" spans="3:9">
      <c r="C60" s="2776" t="s">
        <v>614</v>
      </c>
      <c r="D60" s="2776"/>
      <c r="E60" s="2776"/>
      <c r="F60" s="2776"/>
      <c r="G60" s="2776"/>
      <c r="H60" s="2776"/>
      <c r="I60" s="2776"/>
    </row>
    <row r="61" spans="3:9">
      <c r="C61" s="2776" t="s">
        <v>615</v>
      </c>
      <c r="D61" s="2776"/>
      <c r="E61" s="2776"/>
      <c r="F61" s="2776"/>
      <c r="G61" s="2776"/>
      <c r="H61" s="2776"/>
      <c r="I61" s="2776"/>
    </row>
    <row r="62" spans="3:9">
      <c r="C62" s="2776" t="s">
        <v>616</v>
      </c>
      <c r="D62" s="2776"/>
      <c r="E62" s="2776"/>
      <c r="F62" s="2776"/>
      <c r="G62" s="2776"/>
      <c r="H62" s="2776"/>
      <c r="I62" s="2776"/>
    </row>
    <row r="63" spans="3:9">
      <c r="C63" s="2776" t="s">
        <v>625</v>
      </c>
      <c r="D63" s="2776"/>
      <c r="E63" s="2776"/>
      <c r="F63" s="2776"/>
      <c r="G63" s="2776"/>
      <c r="H63" s="2776"/>
      <c r="I63" s="2776"/>
    </row>
    <row r="64" spans="3:9">
      <c r="C64" s="2776" t="s">
        <v>626</v>
      </c>
      <c r="D64" s="2776"/>
      <c r="E64" s="2776"/>
      <c r="F64" s="2776"/>
      <c r="G64" s="2776"/>
      <c r="H64" s="2776"/>
      <c r="I64" s="2776"/>
    </row>
    <row r="65" spans="3:9">
      <c r="C65" s="2776" t="s">
        <v>627</v>
      </c>
      <c r="D65" s="2776"/>
      <c r="E65" s="2776"/>
      <c r="F65" s="2776"/>
      <c r="G65" s="2776"/>
      <c r="H65" s="2776"/>
      <c r="I65" s="2776"/>
    </row>
    <row r="66" spans="3:9">
      <c r="C66" s="2776" t="s">
        <v>622</v>
      </c>
      <c r="D66" s="2776"/>
      <c r="E66" s="2776"/>
      <c r="F66" s="2776"/>
      <c r="G66" s="2776"/>
      <c r="H66" s="2776"/>
      <c r="I66" s="2776"/>
    </row>
    <row r="67" spans="3:9">
      <c r="C67" s="2776" t="s">
        <v>628</v>
      </c>
      <c r="D67" s="2776"/>
      <c r="E67" s="2776"/>
      <c r="F67" s="2776"/>
      <c r="G67" s="2776"/>
      <c r="H67" s="2776"/>
      <c r="I67" s="2776"/>
    </row>
    <row r="68" spans="3:9">
      <c r="C68" s="2776" t="s">
        <v>629</v>
      </c>
      <c r="D68" s="2776"/>
      <c r="E68" s="2776"/>
      <c r="F68" s="2776"/>
      <c r="G68" s="2776"/>
      <c r="H68" s="2776"/>
      <c r="I68" s="2776"/>
    </row>
    <row r="69" spans="3:9" ht="34.5" customHeight="1">
      <c r="C69" s="2777" t="s">
        <v>630</v>
      </c>
      <c r="D69" s="2777"/>
      <c r="E69" s="2777"/>
      <c r="F69" s="2777"/>
      <c r="G69" s="2777"/>
      <c r="H69" s="2777"/>
      <c r="I69" s="2777"/>
    </row>
    <row r="70" spans="3:9">
      <c r="C70" s="2776"/>
      <c r="D70" s="2776"/>
      <c r="E70" s="2776"/>
      <c r="F70" s="2776"/>
      <c r="G70" s="2776"/>
      <c r="H70" s="2776"/>
      <c r="I70" s="2776"/>
    </row>
    <row r="71" spans="3:9" ht="33" customHeight="1">
      <c r="C71" s="2778" t="s">
        <v>631</v>
      </c>
      <c r="D71" s="2778"/>
      <c r="E71" s="2778"/>
      <c r="F71" s="2778"/>
      <c r="G71" s="2778"/>
      <c r="H71" s="2778"/>
      <c r="I71" s="2778"/>
    </row>
    <row r="72" spans="3:9">
      <c r="C72" s="2776" t="s">
        <v>621</v>
      </c>
      <c r="D72" s="2776"/>
      <c r="E72" s="2776"/>
      <c r="F72" s="2776"/>
      <c r="G72" s="2776"/>
      <c r="H72" s="2776"/>
      <c r="I72" s="2776"/>
    </row>
    <row r="73" spans="3:9">
      <c r="C73" s="2776" t="s">
        <v>608</v>
      </c>
      <c r="D73" s="2776"/>
      <c r="E73" s="2776"/>
      <c r="F73" s="2776"/>
      <c r="G73" s="2776"/>
      <c r="H73" s="2776"/>
      <c r="I73" s="2776"/>
    </row>
    <row r="74" spans="3:9" ht="30.75" customHeight="1">
      <c r="C74" s="2777" t="s">
        <v>632</v>
      </c>
      <c r="D74" s="2777"/>
      <c r="E74" s="2777"/>
      <c r="F74" s="2777"/>
      <c r="G74" s="2777"/>
      <c r="H74" s="2777"/>
      <c r="I74" s="2777"/>
    </row>
    <row r="75" spans="3:9">
      <c r="C75" s="2776" t="s">
        <v>610</v>
      </c>
      <c r="D75" s="2776"/>
      <c r="E75" s="2776"/>
      <c r="F75" s="2776"/>
      <c r="G75" s="2776"/>
      <c r="H75" s="2776"/>
      <c r="I75" s="2776"/>
    </row>
    <row r="76" spans="3:9">
      <c r="C76" s="2776" t="s">
        <v>611</v>
      </c>
      <c r="D76" s="2776"/>
      <c r="E76" s="2776"/>
      <c r="F76" s="2776"/>
      <c r="G76" s="2776"/>
      <c r="H76" s="2776"/>
      <c r="I76" s="2776"/>
    </row>
    <row r="77" spans="3:9" ht="33" customHeight="1">
      <c r="C77" s="2777" t="s">
        <v>612</v>
      </c>
      <c r="D77" s="2777"/>
      <c r="E77" s="2777"/>
      <c r="F77" s="2777"/>
      <c r="G77" s="2777"/>
      <c r="H77" s="2777"/>
      <c r="I77" s="2777"/>
    </row>
    <row r="78" spans="3:9">
      <c r="C78" s="2776" t="s">
        <v>613</v>
      </c>
      <c r="D78" s="2776"/>
      <c r="E78" s="2776"/>
      <c r="F78" s="2776"/>
      <c r="G78" s="2776"/>
      <c r="H78" s="2776"/>
      <c r="I78" s="2776"/>
    </row>
    <row r="79" spans="3:9">
      <c r="C79" s="2776" t="s">
        <v>614</v>
      </c>
      <c r="D79" s="2776"/>
      <c r="E79" s="2776"/>
      <c r="F79" s="2776"/>
      <c r="G79" s="2776"/>
      <c r="H79" s="2776"/>
      <c r="I79" s="2776"/>
    </row>
    <row r="80" spans="3:9">
      <c r="C80" s="2776" t="s">
        <v>633</v>
      </c>
      <c r="D80" s="2776"/>
      <c r="E80" s="2776"/>
      <c r="F80" s="2776"/>
      <c r="G80" s="2776"/>
      <c r="H80" s="2776"/>
      <c r="I80" s="2776"/>
    </row>
    <row r="81" spans="3:9">
      <c r="C81" s="2776" t="s">
        <v>616</v>
      </c>
      <c r="D81" s="2776"/>
      <c r="E81" s="2776"/>
      <c r="F81" s="2776"/>
      <c r="G81" s="2776"/>
      <c r="H81" s="2776"/>
      <c r="I81" s="2776"/>
    </row>
    <row r="82" spans="3:9">
      <c r="C82" s="2776" t="s">
        <v>617</v>
      </c>
      <c r="D82" s="2776"/>
      <c r="E82" s="2776"/>
      <c r="F82" s="2776"/>
      <c r="G82" s="2776"/>
      <c r="H82" s="2776"/>
      <c r="I82" s="2776"/>
    </row>
    <row r="83" spans="3:9" ht="60" customHeight="1">
      <c r="C83" s="2777" t="s">
        <v>619</v>
      </c>
      <c r="D83" s="2777"/>
      <c r="E83" s="2777"/>
      <c r="F83" s="2777"/>
      <c r="G83" s="2777"/>
      <c r="H83" s="2777"/>
      <c r="I83" s="2777"/>
    </row>
    <row r="84" spans="3:9">
      <c r="C84" s="2776" t="s">
        <v>634</v>
      </c>
      <c r="D84" s="2776"/>
      <c r="E84" s="2776"/>
      <c r="F84" s="2776"/>
      <c r="G84" s="2776"/>
      <c r="H84" s="2776"/>
      <c r="I84" s="2776"/>
    </row>
    <row r="85" spans="3:9">
      <c r="C85" s="2776" t="s">
        <v>635</v>
      </c>
      <c r="D85" s="2776"/>
      <c r="E85" s="2776"/>
      <c r="F85" s="2776"/>
      <c r="G85" s="2776"/>
      <c r="H85" s="2776"/>
      <c r="I85" s="2776"/>
    </row>
    <row r="86" spans="3:9">
      <c r="C86" s="2776" t="s">
        <v>636</v>
      </c>
      <c r="D86" s="2776"/>
      <c r="E86" s="2776"/>
      <c r="F86" s="2776"/>
      <c r="G86" s="2776"/>
      <c r="H86" s="2776"/>
      <c r="I86" s="2776"/>
    </row>
    <row r="87" spans="3:9">
      <c r="C87" s="2776" t="s">
        <v>637</v>
      </c>
      <c r="D87" s="2776"/>
      <c r="E87" s="2776"/>
      <c r="F87" s="2776"/>
      <c r="G87" s="2776"/>
      <c r="H87" s="2776"/>
      <c r="I87" s="2776"/>
    </row>
    <row r="88" spans="3:9">
      <c r="C88" s="2776" t="s">
        <v>638</v>
      </c>
      <c r="D88" s="2776"/>
      <c r="E88" s="2776"/>
      <c r="F88" s="2776"/>
      <c r="G88" s="2776"/>
      <c r="H88" s="2776"/>
      <c r="I88" s="2776"/>
    </row>
    <row r="89" spans="3:9" ht="33.75" customHeight="1">
      <c r="C89" s="2777" t="s">
        <v>612</v>
      </c>
      <c r="D89" s="2777"/>
      <c r="E89" s="2777"/>
      <c r="F89" s="2777"/>
      <c r="G89" s="2777"/>
      <c r="H89" s="2777"/>
      <c r="I89" s="2777"/>
    </row>
    <row r="90" spans="3:9">
      <c r="C90" s="2776" t="s">
        <v>613</v>
      </c>
      <c r="D90" s="2776"/>
      <c r="E90" s="2776"/>
      <c r="F90" s="2776"/>
      <c r="G90" s="2776"/>
      <c r="H90" s="2776"/>
      <c r="I90" s="2776"/>
    </row>
    <row r="91" spans="3:9">
      <c r="C91" s="2776" t="s">
        <v>614</v>
      </c>
      <c r="D91" s="2776"/>
      <c r="E91" s="2776"/>
      <c r="F91" s="2776"/>
      <c r="G91" s="2776"/>
      <c r="H91" s="2776"/>
      <c r="I91" s="2776"/>
    </row>
    <row r="92" spans="3:9">
      <c r="C92" s="2776" t="s">
        <v>633</v>
      </c>
      <c r="D92" s="2776"/>
      <c r="E92" s="2776"/>
      <c r="F92" s="2776"/>
      <c r="G92" s="2776"/>
      <c r="H92" s="2776"/>
      <c r="I92" s="2776"/>
    </row>
    <row r="93" spans="3:9">
      <c r="C93" s="2776" t="s">
        <v>616</v>
      </c>
      <c r="D93" s="2776"/>
      <c r="E93" s="2776"/>
      <c r="F93" s="2776"/>
      <c r="G93" s="2776"/>
      <c r="H93" s="2776"/>
      <c r="I93" s="2776"/>
    </row>
    <row r="94" spans="3:9">
      <c r="C94" s="2776" t="s">
        <v>617</v>
      </c>
      <c r="D94" s="2776"/>
      <c r="E94" s="2776"/>
      <c r="F94" s="2776"/>
      <c r="G94" s="2776"/>
      <c r="H94" s="2776"/>
      <c r="I94" s="2776"/>
    </row>
    <row r="95" spans="3:9">
      <c r="C95" s="2776" t="s">
        <v>639</v>
      </c>
      <c r="D95" s="2776"/>
      <c r="E95" s="2776"/>
      <c r="F95" s="2776"/>
      <c r="G95" s="2776"/>
      <c r="H95" s="2776"/>
      <c r="I95" s="2776"/>
    </row>
    <row r="96" spans="3:9">
      <c r="C96" s="2776" t="s">
        <v>640</v>
      </c>
      <c r="D96" s="2776"/>
      <c r="E96" s="2776"/>
      <c r="F96" s="2776"/>
      <c r="G96" s="2776"/>
      <c r="H96" s="2776"/>
      <c r="I96" s="2776"/>
    </row>
    <row r="97" spans="3:9">
      <c r="C97" s="2776" t="s">
        <v>618</v>
      </c>
      <c r="D97" s="2776"/>
      <c r="E97" s="2776"/>
      <c r="F97" s="2776"/>
      <c r="G97" s="2776"/>
      <c r="H97" s="2776"/>
      <c r="I97" s="2776"/>
    </row>
    <row r="98" spans="3:9">
      <c r="C98" s="2776" t="s">
        <v>627</v>
      </c>
      <c r="D98" s="2776"/>
      <c r="E98" s="2776"/>
      <c r="F98" s="2776"/>
      <c r="G98" s="2776"/>
      <c r="H98" s="2776"/>
      <c r="I98" s="2776"/>
    </row>
    <row r="99" spans="3:9">
      <c r="C99" s="2776" t="s">
        <v>622</v>
      </c>
      <c r="D99" s="2776"/>
      <c r="E99" s="2776"/>
      <c r="F99" s="2776"/>
      <c r="G99" s="2776"/>
      <c r="H99" s="2776"/>
      <c r="I99" s="2776"/>
    </row>
    <row r="100" spans="3:9">
      <c r="C100" s="2776" t="s">
        <v>628</v>
      </c>
      <c r="D100" s="2776"/>
      <c r="E100" s="2776"/>
      <c r="F100" s="2776"/>
      <c r="G100" s="2776"/>
      <c r="H100" s="2776"/>
      <c r="I100" s="2776"/>
    </row>
    <row r="101" spans="3:9">
      <c r="C101" s="2776" t="s">
        <v>629</v>
      </c>
      <c r="D101" s="2776"/>
      <c r="E101" s="2776"/>
      <c r="F101" s="2776"/>
      <c r="G101" s="2776"/>
      <c r="H101" s="2776"/>
      <c r="I101" s="2776"/>
    </row>
    <row r="102" spans="3:9" ht="33" customHeight="1">
      <c r="C102" s="2777" t="s">
        <v>630</v>
      </c>
      <c r="D102" s="2777"/>
      <c r="E102" s="2777"/>
      <c r="F102" s="2777"/>
      <c r="G102" s="2777"/>
      <c r="H102" s="2777"/>
      <c r="I102" s="2777"/>
    </row>
    <row r="103" spans="3:9">
      <c r="C103" s="2776"/>
      <c r="D103" s="2776"/>
      <c r="E103" s="2776"/>
      <c r="F103" s="2776"/>
      <c r="G103" s="2776"/>
      <c r="H103" s="2776"/>
      <c r="I103" s="2776"/>
    </row>
    <row r="104" spans="3:9" ht="33" customHeight="1">
      <c r="C104" s="2778" t="s">
        <v>641</v>
      </c>
      <c r="D104" s="2778"/>
      <c r="E104" s="2778"/>
      <c r="F104" s="2778"/>
      <c r="G104" s="2778"/>
      <c r="H104" s="2778"/>
      <c r="I104" s="2778"/>
    </row>
    <row r="105" spans="3:9">
      <c r="C105" s="2776" t="s">
        <v>642</v>
      </c>
      <c r="D105" s="2776"/>
      <c r="E105" s="2776"/>
      <c r="F105" s="2776"/>
      <c r="G105" s="2776"/>
      <c r="H105" s="2776"/>
      <c r="I105" s="2776"/>
    </row>
    <row r="106" spans="3:9">
      <c r="C106" s="2776" t="s">
        <v>608</v>
      </c>
      <c r="D106" s="2776"/>
      <c r="E106" s="2776"/>
      <c r="F106" s="2776"/>
      <c r="G106" s="2776"/>
      <c r="H106" s="2776"/>
      <c r="I106" s="2776"/>
    </row>
    <row r="107" spans="3:9" ht="33.75" customHeight="1">
      <c r="C107" s="2777" t="s">
        <v>632</v>
      </c>
      <c r="D107" s="2777"/>
      <c r="E107" s="2777"/>
      <c r="F107" s="2777"/>
      <c r="G107" s="2777"/>
      <c r="H107" s="2777"/>
      <c r="I107" s="2777"/>
    </row>
    <row r="108" spans="3:9">
      <c r="C108" s="2776" t="s">
        <v>610</v>
      </c>
      <c r="D108" s="2776"/>
      <c r="E108" s="2776"/>
      <c r="F108" s="2776"/>
      <c r="G108" s="2776"/>
      <c r="H108" s="2776"/>
      <c r="I108" s="2776"/>
    </row>
    <row r="109" spans="3:9">
      <c r="C109" s="2776" t="s">
        <v>611</v>
      </c>
      <c r="D109" s="2776"/>
      <c r="E109" s="2776"/>
      <c r="F109" s="2776"/>
      <c r="G109" s="2776"/>
      <c r="H109" s="2776"/>
      <c r="I109" s="2776"/>
    </row>
    <row r="110" spans="3:9" ht="31.5" customHeight="1">
      <c r="C110" s="2777" t="s">
        <v>612</v>
      </c>
      <c r="D110" s="2777"/>
      <c r="E110" s="2777"/>
      <c r="F110" s="2777"/>
      <c r="G110" s="2777"/>
      <c r="H110" s="2777"/>
      <c r="I110" s="2777"/>
    </row>
    <row r="111" spans="3:9">
      <c r="C111" s="2776" t="s">
        <v>613</v>
      </c>
      <c r="D111" s="2776"/>
      <c r="E111" s="2776"/>
      <c r="F111" s="2776"/>
      <c r="G111" s="2776"/>
      <c r="H111" s="2776"/>
      <c r="I111" s="2776"/>
    </row>
    <row r="112" spans="3:9">
      <c r="C112" s="2776" t="s">
        <v>614</v>
      </c>
      <c r="D112" s="2776"/>
      <c r="E112" s="2776"/>
      <c r="F112" s="2776"/>
      <c r="G112" s="2776"/>
      <c r="H112" s="2776"/>
      <c r="I112" s="2776"/>
    </row>
    <row r="113" spans="3:9">
      <c r="C113" s="2776" t="s">
        <v>633</v>
      </c>
      <c r="D113" s="2776"/>
      <c r="E113" s="2776"/>
      <c r="F113" s="2776"/>
      <c r="G113" s="2776"/>
      <c r="H113" s="2776"/>
      <c r="I113" s="2776"/>
    </row>
    <row r="114" spans="3:9">
      <c r="C114" s="2776" t="s">
        <v>616</v>
      </c>
      <c r="D114" s="2776"/>
      <c r="E114" s="2776"/>
      <c r="F114" s="2776"/>
      <c r="G114" s="2776"/>
      <c r="H114" s="2776"/>
      <c r="I114" s="2776"/>
    </row>
    <row r="115" spans="3:9">
      <c r="C115" s="2776" t="s">
        <v>617</v>
      </c>
      <c r="D115" s="2776"/>
      <c r="E115" s="2776"/>
      <c r="F115" s="2776"/>
      <c r="G115" s="2776"/>
      <c r="H115" s="2776"/>
      <c r="I115" s="2776"/>
    </row>
    <row r="116" spans="3:9">
      <c r="C116" s="2776" t="s">
        <v>643</v>
      </c>
      <c r="D116" s="2776"/>
      <c r="E116" s="2776"/>
      <c r="F116" s="2776"/>
      <c r="G116" s="2776"/>
      <c r="H116" s="2776"/>
      <c r="I116" s="2776"/>
    </row>
    <row r="117" spans="3:9" ht="59.25" customHeight="1">
      <c r="C117" s="2777" t="s">
        <v>619</v>
      </c>
      <c r="D117" s="2777"/>
      <c r="E117" s="2777"/>
      <c r="F117" s="2777"/>
      <c r="G117" s="2777"/>
      <c r="H117" s="2777"/>
      <c r="I117" s="2777"/>
    </row>
    <row r="118" spans="3:9" ht="31.5" customHeight="1">
      <c r="C118" s="2777" t="s">
        <v>644</v>
      </c>
      <c r="D118" s="2777"/>
      <c r="E118" s="2777"/>
      <c r="F118" s="2777"/>
      <c r="G118" s="2777"/>
      <c r="H118" s="2777"/>
      <c r="I118" s="2777"/>
    </row>
    <row r="119" spans="3:9">
      <c r="C119" s="2776" t="s">
        <v>645</v>
      </c>
      <c r="D119" s="2776"/>
      <c r="E119" s="2776"/>
      <c r="F119" s="2776"/>
      <c r="G119" s="2776"/>
      <c r="H119" s="2776"/>
      <c r="I119" s="2776"/>
    </row>
    <row r="120" spans="3:9">
      <c r="C120" s="2776" t="s">
        <v>636</v>
      </c>
      <c r="D120" s="2776"/>
      <c r="E120" s="2776"/>
      <c r="F120" s="2776"/>
      <c r="G120" s="2776"/>
      <c r="H120" s="2776"/>
      <c r="I120" s="2776"/>
    </row>
    <row r="121" spans="3:9">
      <c r="C121" s="2776" t="s">
        <v>637</v>
      </c>
      <c r="D121" s="2776"/>
      <c r="E121" s="2776"/>
      <c r="F121" s="2776"/>
      <c r="G121" s="2776"/>
      <c r="H121" s="2776"/>
      <c r="I121" s="2776"/>
    </row>
    <row r="122" spans="3:9">
      <c r="C122" s="2776" t="s">
        <v>638</v>
      </c>
      <c r="D122" s="2776"/>
      <c r="E122" s="2776"/>
      <c r="F122" s="2776"/>
      <c r="G122" s="2776"/>
      <c r="H122" s="2776"/>
      <c r="I122" s="2776"/>
    </row>
    <row r="123" spans="3:9" ht="32.25" customHeight="1">
      <c r="C123" s="2777" t="s">
        <v>612</v>
      </c>
      <c r="D123" s="2777"/>
      <c r="E123" s="2777"/>
      <c r="F123" s="2777"/>
      <c r="G123" s="2777"/>
      <c r="H123" s="2777"/>
      <c r="I123" s="2777"/>
    </row>
    <row r="124" spans="3:9">
      <c r="C124" s="2776" t="s">
        <v>613</v>
      </c>
      <c r="D124" s="2776"/>
      <c r="E124" s="2776"/>
      <c r="F124" s="2776"/>
      <c r="G124" s="2776"/>
      <c r="H124" s="2776"/>
      <c r="I124" s="2776"/>
    </row>
    <row r="125" spans="3:9">
      <c r="C125" s="2776" t="s">
        <v>614</v>
      </c>
      <c r="D125" s="2776"/>
      <c r="E125" s="2776"/>
      <c r="F125" s="2776"/>
      <c r="G125" s="2776"/>
      <c r="H125" s="2776"/>
      <c r="I125" s="2776"/>
    </row>
    <row r="126" spans="3:9">
      <c r="C126" s="2776" t="s">
        <v>633</v>
      </c>
      <c r="D126" s="2776"/>
      <c r="E126" s="2776"/>
      <c r="F126" s="2776"/>
      <c r="G126" s="2776"/>
      <c r="H126" s="2776"/>
      <c r="I126" s="2776"/>
    </row>
    <row r="127" spans="3:9">
      <c r="C127" s="2776" t="s">
        <v>616</v>
      </c>
      <c r="D127" s="2776"/>
      <c r="E127" s="2776"/>
      <c r="F127" s="2776"/>
      <c r="G127" s="2776"/>
      <c r="H127" s="2776"/>
      <c r="I127" s="2776"/>
    </row>
    <row r="128" spans="3:9">
      <c r="C128" s="2776" t="s">
        <v>617</v>
      </c>
      <c r="D128" s="2776"/>
      <c r="E128" s="2776"/>
      <c r="F128" s="2776"/>
      <c r="G128" s="2776"/>
      <c r="H128" s="2776"/>
      <c r="I128" s="2776"/>
    </row>
    <row r="129" spans="3:9">
      <c r="C129" s="2776" t="s">
        <v>639</v>
      </c>
      <c r="D129" s="2776"/>
      <c r="E129" s="2776"/>
      <c r="F129" s="2776"/>
      <c r="G129" s="2776"/>
      <c r="H129" s="2776"/>
      <c r="I129" s="2776"/>
    </row>
    <row r="130" spans="3:9">
      <c r="C130" s="2776" t="s">
        <v>640</v>
      </c>
      <c r="D130" s="2776"/>
      <c r="E130" s="2776"/>
      <c r="F130" s="2776"/>
      <c r="G130" s="2776"/>
      <c r="H130" s="2776"/>
      <c r="I130" s="2776"/>
    </row>
    <row r="131" spans="3:9">
      <c r="C131" s="2776" t="s">
        <v>643</v>
      </c>
      <c r="D131" s="2776"/>
      <c r="E131" s="2776"/>
      <c r="F131" s="2776"/>
      <c r="G131" s="2776"/>
      <c r="H131" s="2776"/>
      <c r="I131" s="2776"/>
    </row>
    <row r="132" spans="3:9">
      <c r="C132" s="2776" t="s">
        <v>646</v>
      </c>
      <c r="D132" s="2776"/>
      <c r="E132" s="2776"/>
      <c r="F132" s="2776"/>
      <c r="G132" s="2776"/>
      <c r="H132" s="2776"/>
      <c r="I132" s="2776"/>
    </row>
    <row r="133" spans="3:9">
      <c r="C133" s="2776" t="s">
        <v>647</v>
      </c>
      <c r="D133" s="2776"/>
      <c r="E133" s="2776"/>
      <c r="F133" s="2776"/>
      <c r="G133" s="2776"/>
      <c r="H133" s="2776"/>
      <c r="I133" s="2776"/>
    </row>
    <row r="134" spans="3:9">
      <c r="C134" s="2776" t="s">
        <v>622</v>
      </c>
      <c r="D134" s="2776"/>
      <c r="E134" s="2776"/>
      <c r="F134" s="2776"/>
      <c r="G134" s="2776"/>
      <c r="H134" s="2776"/>
      <c r="I134" s="2776"/>
    </row>
    <row r="135" spans="3:9">
      <c r="C135" s="2776" t="s">
        <v>623</v>
      </c>
      <c r="D135" s="2776"/>
      <c r="E135" s="2776"/>
      <c r="F135" s="2776"/>
      <c r="G135" s="2776"/>
      <c r="H135" s="2776"/>
      <c r="I135" s="2776"/>
    </row>
    <row r="136" spans="3:9">
      <c r="C136" s="2776" t="s">
        <v>624</v>
      </c>
      <c r="D136" s="2776"/>
      <c r="E136" s="2776"/>
      <c r="F136" s="2776"/>
      <c r="G136" s="2776"/>
      <c r="H136" s="2776"/>
      <c r="I136" s="2776"/>
    </row>
    <row r="137" spans="3:9">
      <c r="C137" s="2776" t="s">
        <v>611</v>
      </c>
      <c r="D137" s="2776"/>
      <c r="E137" s="2776"/>
      <c r="F137" s="2776"/>
      <c r="G137" s="2776"/>
      <c r="H137" s="2776"/>
      <c r="I137" s="2776"/>
    </row>
    <row r="138" spans="3:9" ht="31.5" customHeight="1">
      <c r="C138" s="2777" t="s">
        <v>612</v>
      </c>
      <c r="D138" s="2777"/>
      <c r="E138" s="2777"/>
      <c r="F138" s="2777"/>
      <c r="G138" s="2777"/>
      <c r="H138" s="2777"/>
      <c r="I138" s="2777"/>
    </row>
    <row r="139" spans="3:9">
      <c r="C139" s="2776" t="s">
        <v>613</v>
      </c>
      <c r="D139" s="2776"/>
      <c r="E139" s="2776"/>
      <c r="F139" s="2776"/>
      <c r="G139" s="2776"/>
      <c r="H139" s="2776"/>
      <c r="I139" s="2776"/>
    </row>
    <row r="140" spans="3:9">
      <c r="C140" s="2776" t="s">
        <v>614</v>
      </c>
      <c r="D140" s="2776"/>
      <c r="E140" s="2776"/>
      <c r="F140" s="2776"/>
      <c r="G140" s="2776"/>
      <c r="H140" s="2776"/>
      <c r="I140" s="2776"/>
    </row>
    <row r="141" spans="3:9">
      <c r="C141" s="2776" t="s">
        <v>615</v>
      </c>
      <c r="D141" s="2776"/>
      <c r="E141" s="2776"/>
      <c r="F141" s="2776"/>
      <c r="G141" s="2776"/>
      <c r="H141" s="2776"/>
      <c r="I141" s="2776"/>
    </row>
    <row r="142" spans="3:9">
      <c r="C142" s="2776" t="s">
        <v>616</v>
      </c>
      <c r="D142" s="2776"/>
      <c r="E142" s="2776"/>
      <c r="F142" s="2776"/>
      <c r="G142" s="2776"/>
      <c r="H142" s="2776"/>
      <c r="I142" s="2776"/>
    </row>
    <row r="143" spans="3:9">
      <c r="C143" s="2776" t="s">
        <v>625</v>
      </c>
      <c r="D143" s="2776"/>
      <c r="E143" s="2776"/>
      <c r="F143" s="2776"/>
      <c r="G143" s="2776"/>
      <c r="H143" s="2776"/>
      <c r="I143" s="2776"/>
    </row>
    <row r="144" spans="3:9">
      <c r="C144" s="2776" t="s">
        <v>626</v>
      </c>
      <c r="D144" s="2776"/>
      <c r="E144" s="2776"/>
      <c r="F144" s="2776"/>
      <c r="G144" s="2776"/>
      <c r="H144" s="2776"/>
      <c r="I144" s="2776"/>
    </row>
    <row r="145" spans="3:9">
      <c r="C145" s="2776" t="s">
        <v>627</v>
      </c>
      <c r="D145" s="2776"/>
      <c r="E145" s="2776"/>
      <c r="F145" s="2776"/>
      <c r="G145" s="2776"/>
      <c r="H145" s="2776"/>
      <c r="I145" s="2776"/>
    </row>
    <row r="146" spans="3:9">
      <c r="C146" s="2776" t="s">
        <v>622</v>
      </c>
      <c r="D146" s="2776"/>
      <c r="E146" s="2776"/>
      <c r="F146" s="2776"/>
      <c r="G146" s="2776"/>
      <c r="H146" s="2776"/>
      <c r="I146" s="2776"/>
    </row>
    <row r="147" spans="3:9">
      <c r="C147" s="2776" t="s">
        <v>628</v>
      </c>
      <c r="D147" s="2776"/>
      <c r="E147" s="2776"/>
      <c r="F147" s="2776"/>
      <c r="G147" s="2776"/>
      <c r="H147" s="2776"/>
      <c r="I147" s="2776"/>
    </row>
    <row r="148" spans="3:9">
      <c r="C148" s="2776" t="s">
        <v>629</v>
      </c>
      <c r="D148" s="2776"/>
      <c r="E148" s="2776"/>
      <c r="F148" s="2776"/>
      <c r="G148" s="2776"/>
      <c r="H148" s="2776"/>
      <c r="I148" s="2776"/>
    </row>
    <row r="149" spans="3:9" ht="28.5" customHeight="1">
      <c r="C149" s="2777" t="s">
        <v>630</v>
      </c>
      <c r="D149" s="2777"/>
      <c r="E149" s="2777"/>
      <c r="F149" s="2777"/>
      <c r="G149" s="2777"/>
      <c r="H149" s="2777"/>
      <c r="I149" s="2777"/>
    </row>
    <row r="150" spans="3:9">
      <c r="C150" s="2776"/>
      <c r="D150" s="2776"/>
      <c r="E150" s="2776"/>
      <c r="F150" s="2776"/>
      <c r="G150" s="2776"/>
      <c r="H150" s="2776"/>
      <c r="I150" s="2776"/>
    </row>
    <row r="151" spans="3:9" ht="33" customHeight="1">
      <c r="C151" s="2778" t="s">
        <v>648</v>
      </c>
      <c r="D151" s="2778"/>
      <c r="E151" s="2778"/>
      <c r="F151" s="2778"/>
      <c r="G151" s="2778"/>
      <c r="H151" s="2778"/>
      <c r="I151" s="2778"/>
    </row>
    <row r="152" spans="3:9">
      <c r="C152" s="2776" t="s">
        <v>649</v>
      </c>
      <c r="D152" s="2776"/>
      <c r="E152" s="2776"/>
      <c r="F152" s="2776"/>
      <c r="G152" s="2776"/>
      <c r="H152" s="2776"/>
      <c r="I152" s="2776"/>
    </row>
    <row r="153" spans="3:9">
      <c r="C153" s="2776" t="s">
        <v>650</v>
      </c>
      <c r="D153" s="2776"/>
      <c r="E153" s="2776"/>
      <c r="F153" s="2776"/>
      <c r="G153" s="2776"/>
      <c r="H153" s="2776"/>
      <c r="I153" s="2776"/>
    </row>
    <row r="154" spans="3:9">
      <c r="C154" s="2776" t="s">
        <v>623</v>
      </c>
      <c r="D154" s="2776"/>
      <c r="E154" s="2776"/>
      <c r="F154" s="2776"/>
      <c r="G154" s="2776"/>
      <c r="H154" s="2776"/>
      <c r="I154" s="2776"/>
    </row>
    <row r="155" spans="3:9">
      <c r="C155" s="2776" t="s">
        <v>624</v>
      </c>
      <c r="D155" s="2776"/>
      <c r="E155" s="2776"/>
      <c r="F155" s="2776"/>
      <c r="G155" s="2776"/>
      <c r="H155" s="2776"/>
      <c r="I155" s="2776"/>
    </row>
    <row r="156" spans="3:9">
      <c r="C156" s="2776" t="s">
        <v>611</v>
      </c>
      <c r="D156" s="2776"/>
      <c r="E156" s="2776"/>
      <c r="F156" s="2776"/>
      <c r="G156" s="2776"/>
      <c r="H156" s="2776"/>
      <c r="I156" s="2776"/>
    </row>
    <row r="157" spans="3:9" ht="30" customHeight="1">
      <c r="C157" s="2777" t="s">
        <v>612</v>
      </c>
      <c r="D157" s="2777"/>
      <c r="E157" s="2777"/>
      <c r="F157" s="2777"/>
      <c r="G157" s="2777"/>
      <c r="H157" s="2777"/>
      <c r="I157" s="2777"/>
    </row>
    <row r="158" spans="3:9">
      <c r="C158" s="2776" t="s">
        <v>613</v>
      </c>
      <c r="D158" s="2776"/>
      <c r="E158" s="2776"/>
      <c r="F158" s="2776"/>
      <c r="G158" s="2776"/>
      <c r="H158" s="2776"/>
      <c r="I158" s="2776"/>
    </row>
    <row r="159" spans="3:9">
      <c r="C159" s="2776" t="s">
        <v>614</v>
      </c>
      <c r="D159" s="2776"/>
      <c r="E159" s="2776"/>
      <c r="F159" s="2776"/>
      <c r="G159" s="2776"/>
      <c r="H159" s="2776"/>
      <c r="I159" s="2776"/>
    </row>
    <row r="160" spans="3:9">
      <c r="C160" s="2776" t="s">
        <v>615</v>
      </c>
      <c r="D160" s="2776"/>
      <c r="E160" s="2776"/>
      <c r="F160" s="2776"/>
      <c r="G160" s="2776"/>
      <c r="H160" s="2776"/>
      <c r="I160" s="2776"/>
    </row>
    <row r="161" spans="3:9">
      <c r="C161" s="2776" t="s">
        <v>616</v>
      </c>
      <c r="D161" s="2776"/>
      <c r="E161" s="2776"/>
      <c r="F161" s="2776"/>
      <c r="G161" s="2776"/>
      <c r="H161" s="2776"/>
      <c r="I161" s="2776"/>
    </row>
    <row r="162" spans="3:9">
      <c r="C162" s="2776" t="s">
        <v>651</v>
      </c>
      <c r="D162" s="2776"/>
      <c r="E162" s="2776"/>
      <c r="F162" s="2776"/>
      <c r="G162" s="2776"/>
      <c r="H162" s="2776"/>
      <c r="I162" s="2776"/>
    </row>
    <row r="163" spans="3:9" ht="57.75" customHeight="1">
      <c r="C163" s="2777" t="s">
        <v>619</v>
      </c>
      <c r="D163" s="2777"/>
      <c r="E163" s="2777"/>
      <c r="F163" s="2777"/>
      <c r="G163" s="2777"/>
      <c r="H163" s="2777"/>
      <c r="I163" s="2777"/>
    </row>
    <row r="164" spans="3:9">
      <c r="C164" s="2776" t="s">
        <v>652</v>
      </c>
      <c r="D164" s="2776"/>
      <c r="E164" s="2776"/>
      <c r="F164" s="2776"/>
      <c r="G164" s="2776"/>
      <c r="H164" s="2776"/>
      <c r="I164" s="2776"/>
    </row>
    <row r="165" spans="3:9">
      <c r="C165" s="2776" t="s">
        <v>653</v>
      </c>
      <c r="D165" s="2776"/>
      <c r="E165" s="2776"/>
      <c r="F165" s="2776"/>
      <c r="G165" s="2776"/>
      <c r="H165" s="2776"/>
      <c r="I165" s="2776"/>
    </row>
    <row r="166" spans="3:9">
      <c r="C166" s="2776" t="s">
        <v>654</v>
      </c>
      <c r="D166" s="2776"/>
      <c r="E166" s="2776"/>
      <c r="F166" s="2776"/>
      <c r="G166" s="2776"/>
      <c r="H166" s="2776"/>
      <c r="I166" s="2776"/>
    </row>
    <row r="167" spans="3:9">
      <c r="C167" s="2776" t="s">
        <v>637</v>
      </c>
      <c r="D167" s="2776"/>
      <c r="E167" s="2776"/>
      <c r="F167" s="2776"/>
      <c r="G167" s="2776"/>
      <c r="H167" s="2776"/>
      <c r="I167" s="2776"/>
    </row>
    <row r="168" spans="3:9">
      <c r="C168" s="2776" t="s">
        <v>638</v>
      </c>
      <c r="D168" s="2776"/>
      <c r="E168" s="2776"/>
      <c r="F168" s="2776"/>
      <c r="G168" s="2776"/>
      <c r="H168" s="2776"/>
      <c r="I168" s="2776"/>
    </row>
    <row r="169" spans="3:9" ht="33" customHeight="1">
      <c r="C169" s="2777" t="s">
        <v>612</v>
      </c>
      <c r="D169" s="2777"/>
      <c r="E169" s="2777"/>
      <c r="F169" s="2777"/>
      <c r="G169" s="2777"/>
      <c r="H169" s="2777"/>
      <c r="I169" s="2777"/>
    </row>
    <row r="170" spans="3:9">
      <c r="C170" s="2776" t="s">
        <v>613</v>
      </c>
      <c r="D170" s="2776"/>
      <c r="E170" s="2776"/>
      <c r="F170" s="2776"/>
      <c r="G170" s="2776"/>
      <c r="H170" s="2776"/>
      <c r="I170" s="2776"/>
    </row>
    <row r="171" spans="3:9">
      <c r="C171" s="2776" t="s">
        <v>614</v>
      </c>
      <c r="D171" s="2776"/>
      <c r="E171" s="2776"/>
      <c r="F171" s="2776"/>
      <c r="G171" s="2776"/>
      <c r="H171" s="2776"/>
      <c r="I171" s="2776"/>
    </row>
    <row r="172" spans="3:9">
      <c r="C172" s="2776" t="s">
        <v>633</v>
      </c>
      <c r="D172" s="2776"/>
      <c r="E172" s="2776"/>
      <c r="F172" s="2776"/>
      <c r="G172" s="2776"/>
      <c r="H172" s="2776"/>
      <c r="I172" s="2776"/>
    </row>
    <row r="173" spans="3:9">
      <c r="C173" s="2776" t="s">
        <v>616</v>
      </c>
      <c r="D173" s="2776"/>
      <c r="E173" s="2776"/>
      <c r="F173" s="2776"/>
      <c r="G173" s="2776"/>
      <c r="H173" s="2776"/>
      <c r="I173" s="2776"/>
    </row>
    <row r="174" spans="3:9">
      <c r="C174" s="2776" t="s">
        <v>617</v>
      </c>
      <c r="D174" s="2776"/>
      <c r="E174" s="2776"/>
      <c r="F174" s="2776"/>
      <c r="G174" s="2776"/>
      <c r="H174" s="2776"/>
      <c r="I174" s="2776"/>
    </row>
    <row r="175" spans="3:9">
      <c r="C175" s="2776" t="s">
        <v>639</v>
      </c>
      <c r="D175" s="2776"/>
      <c r="E175" s="2776"/>
      <c r="F175" s="2776"/>
      <c r="G175" s="2776"/>
      <c r="H175" s="2776"/>
      <c r="I175" s="2776"/>
    </row>
    <row r="176" spans="3:9">
      <c r="C176" s="2776" t="s">
        <v>618</v>
      </c>
      <c r="D176" s="2776"/>
      <c r="E176" s="2776"/>
      <c r="F176" s="2776"/>
      <c r="G176" s="2776"/>
      <c r="H176" s="2776"/>
      <c r="I176" s="2776"/>
    </row>
    <row r="177" spans="3:9">
      <c r="C177" s="2776" t="s">
        <v>655</v>
      </c>
      <c r="D177" s="2776"/>
      <c r="E177" s="2776"/>
      <c r="F177" s="2776"/>
      <c r="G177" s="2776"/>
      <c r="H177" s="2776"/>
      <c r="I177" s="2776"/>
    </row>
    <row r="178" spans="3:9" ht="31.5" customHeight="1">
      <c r="C178" s="2777" t="s">
        <v>656</v>
      </c>
      <c r="D178" s="2777"/>
      <c r="E178" s="2777"/>
      <c r="F178" s="2777"/>
      <c r="G178" s="2777"/>
      <c r="H178" s="2777"/>
      <c r="I178" s="2777"/>
    </row>
    <row r="179" spans="3:9">
      <c r="C179" s="2776" t="s">
        <v>627</v>
      </c>
      <c r="D179" s="2776"/>
      <c r="E179" s="2776"/>
      <c r="F179" s="2776"/>
      <c r="G179" s="2776"/>
      <c r="H179" s="2776"/>
      <c r="I179" s="2776"/>
    </row>
    <row r="180" spans="3:9">
      <c r="C180" s="2776" t="s">
        <v>622</v>
      </c>
      <c r="D180" s="2776"/>
      <c r="E180" s="2776"/>
      <c r="F180" s="2776"/>
      <c r="G180" s="2776"/>
      <c r="H180" s="2776"/>
      <c r="I180" s="2776"/>
    </row>
    <row r="181" spans="3:9">
      <c r="C181" s="2776" t="s">
        <v>628</v>
      </c>
      <c r="D181" s="2776"/>
      <c r="E181" s="2776"/>
      <c r="F181" s="2776"/>
      <c r="G181" s="2776"/>
      <c r="H181" s="2776"/>
      <c r="I181" s="2776"/>
    </row>
    <row r="182" spans="3:9">
      <c r="C182" s="2776" t="s">
        <v>629</v>
      </c>
      <c r="D182" s="2776"/>
      <c r="E182" s="2776"/>
      <c r="F182" s="2776"/>
      <c r="G182" s="2776"/>
      <c r="H182" s="2776"/>
      <c r="I182" s="2776"/>
    </row>
    <row r="183" spans="3:9" ht="30" customHeight="1">
      <c r="C183" s="2777" t="s">
        <v>630</v>
      </c>
      <c r="D183" s="2777"/>
      <c r="E183" s="2777"/>
      <c r="F183" s="2777"/>
      <c r="G183" s="2777"/>
      <c r="H183" s="2777"/>
      <c r="I183" s="2777"/>
    </row>
    <row r="184" spans="3:9">
      <c r="C184" s="2776"/>
      <c r="D184" s="2776"/>
      <c r="E184" s="2776"/>
      <c r="F184" s="2776"/>
      <c r="G184" s="2776"/>
      <c r="H184" s="2776"/>
      <c r="I184" s="2776"/>
    </row>
    <row r="185" spans="3:9" ht="33" customHeight="1">
      <c r="C185" s="2778" t="s">
        <v>657</v>
      </c>
      <c r="D185" s="2778"/>
      <c r="E185" s="2778"/>
      <c r="F185" s="2778"/>
      <c r="G185" s="2778"/>
      <c r="H185" s="2778"/>
      <c r="I185" s="2778"/>
    </row>
    <row r="186" spans="3:9">
      <c r="C186" s="2776" t="s">
        <v>658</v>
      </c>
      <c r="D186" s="2776"/>
      <c r="E186" s="2776"/>
      <c r="F186" s="2776"/>
      <c r="G186" s="2776"/>
      <c r="H186" s="2776"/>
      <c r="I186" s="2776"/>
    </row>
    <row r="187" spans="3:9">
      <c r="C187" s="2776" t="s">
        <v>659</v>
      </c>
      <c r="D187" s="2776"/>
      <c r="E187" s="2776"/>
      <c r="F187" s="2776"/>
      <c r="G187" s="2776"/>
      <c r="H187" s="2776"/>
      <c r="I187" s="2776"/>
    </row>
    <row r="188" spans="3:9">
      <c r="C188" s="2776" t="s">
        <v>660</v>
      </c>
      <c r="D188" s="2776"/>
      <c r="E188" s="2776"/>
      <c r="F188" s="2776"/>
      <c r="G188" s="2776"/>
      <c r="H188" s="2776"/>
      <c r="I188" s="2776"/>
    </row>
    <row r="189" spans="3:9">
      <c r="C189" s="2776" t="s">
        <v>638</v>
      </c>
      <c r="D189" s="2776"/>
      <c r="E189" s="2776"/>
      <c r="F189" s="2776"/>
      <c r="G189" s="2776"/>
      <c r="H189" s="2776"/>
      <c r="I189" s="2776"/>
    </row>
    <row r="190" spans="3:9" ht="33" customHeight="1">
      <c r="C190" s="2777" t="s">
        <v>612</v>
      </c>
      <c r="D190" s="2777"/>
      <c r="E190" s="2777"/>
      <c r="F190" s="2777"/>
      <c r="G190" s="2777"/>
      <c r="H190" s="2777"/>
      <c r="I190" s="2777"/>
    </row>
    <row r="191" spans="3:9">
      <c r="C191" s="2776" t="s">
        <v>613</v>
      </c>
      <c r="D191" s="2776"/>
      <c r="E191" s="2776"/>
      <c r="F191" s="2776"/>
      <c r="G191" s="2776"/>
      <c r="H191" s="2776"/>
      <c r="I191" s="2776"/>
    </row>
    <row r="192" spans="3:9">
      <c r="C192" s="2776" t="s">
        <v>614</v>
      </c>
      <c r="D192" s="2776"/>
      <c r="E192" s="2776"/>
      <c r="F192" s="2776"/>
      <c r="G192" s="2776"/>
      <c r="H192" s="2776"/>
      <c r="I192" s="2776"/>
    </row>
    <row r="193" spans="3:9">
      <c r="C193" s="2776" t="s">
        <v>633</v>
      </c>
      <c r="D193" s="2776"/>
      <c r="E193" s="2776"/>
      <c r="F193" s="2776"/>
      <c r="G193" s="2776"/>
      <c r="H193" s="2776"/>
      <c r="I193" s="2776"/>
    </row>
    <row r="194" spans="3:9">
      <c r="C194" s="2776" t="s">
        <v>616</v>
      </c>
      <c r="D194" s="2776"/>
      <c r="E194" s="2776"/>
      <c r="F194" s="2776"/>
      <c r="G194" s="2776"/>
      <c r="H194" s="2776"/>
      <c r="I194" s="2776"/>
    </row>
    <row r="195" spans="3:9">
      <c r="C195" s="2776" t="s">
        <v>617</v>
      </c>
      <c r="D195" s="2776"/>
      <c r="E195" s="2776"/>
      <c r="F195" s="2776"/>
      <c r="G195" s="2776"/>
      <c r="H195" s="2776"/>
      <c r="I195" s="2776"/>
    </row>
    <row r="196" spans="3:9">
      <c r="C196" s="2776" t="s">
        <v>618</v>
      </c>
      <c r="D196" s="2776"/>
      <c r="E196" s="2776"/>
      <c r="F196" s="2776"/>
      <c r="G196" s="2776"/>
      <c r="H196" s="2776"/>
      <c r="I196" s="2776"/>
    </row>
    <row r="197" spans="3:9">
      <c r="C197" s="2776" t="s">
        <v>655</v>
      </c>
      <c r="D197" s="2776"/>
      <c r="E197" s="2776"/>
      <c r="F197" s="2776"/>
      <c r="G197" s="2776"/>
      <c r="H197" s="2776"/>
      <c r="I197" s="2776"/>
    </row>
    <row r="198" spans="3:9" ht="31.5" customHeight="1">
      <c r="C198" s="2777" t="s">
        <v>656</v>
      </c>
      <c r="D198" s="2777"/>
      <c r="E198" s="2777"/>
      <c r="F198" s="2777"/>
      <c r="G198" s="2777"/>
      <c r="H198" s="2777"/>
      <c r="I198" s="2777"/>
    </row>
    <row r="199" spans="3:9">
      <c r="C199" s="2776" t="s">
        <v>649</v>
      </c>
      <c r="D199" s="2776"/>
      <c r="E199" s="2776"/>
      <c r="F199" s="2776"/>
      <c r="G199" s="2776"/>
      <c r="H199" s="2776"/>
      <c r="I199" s="2776"/>
    </row>
    <row r="200" spans="3:9">
      <c r="C200" s="2776" t="s">
        <v>622</v>
      </c>
      <c r="D200" s="2776"/>
      <c r="E200" s="2776"/>
      <c r="F200" s="2776"/>
      <c r="G200" s="2776"/>
      <c r="H200" s="2776"/>
      <c r="I200" s="2776"/>
    </row>
    <row r="201" spans="3:9">
      <c r="C201" s="2776" t="s">
        <v>623</v>
      </c>
      <c r="D201" s="2776"/>
      <c r="E201" s="2776"/>
      <c r="F201" s="2776"/>
      <c r="G201" s="2776"/>
      <c r="H201" s="2776"/>
      <c r="I201" s="2776"/>
    </row>
    <row r="202" spans="3:9">
      <c r="C202" s="2776" t="s">
        <v>624</v>
      </c>
      <c r="D202" s="2776"/>
      <c r="E202" s="2776"/>
      <c r="F202" s="2776"/>
      <c r="G202" s="2776"/>
      <c r="H202" s="2776"/>
      <c r="I202" s="2776"/>
    </row>
    <row r="203" spans="3:9">
      <c r="C203" s="2776" t="s">
        <v>611</v>
      </c>
      <c r="D203" s="2776"/>
      <c r="E203" s="2776"/>
      <c r="F203" s="2776"/>
      <c r="G203" s="2776"/>
      <c r="H203" s="2776"/>
      <c r="I203" s="2776"/>
    </row>
    <row r="204" spans="3:9" ht="33.75" customHeight="1">
      <c r="C204" s="2777" t="s">
        <v>612</v>
      </c>
      <c r="D204" s="2777"/>
      <c r="E204" s="2777"/>
      <c r="F204" s="2777"/>
      <c r="G204" s="2777"/>
      <c r="H204" s="2777"/>
      <c r="I204" s="2777"/>
    </row>
    <row r="205" spans="3:9">
      <c r="C205" s="2776" t="s">
        <v>613</v>
      </c>
      <c r="D205" s="2776"/>
      <c r="E205" s="2776"/>
      <c r="F205" s="2776"/>
      <c r="G205" s="2776"/>
      <c r="H205" s="2776"/>
      <c r="I205" s="2776"/>
    </row>
    <row r="206" spans="3:9">
      <c r="C206" s="2776" t="s">
        <v>614</v>
      </c>
      <c r="D206" s="2776"/>
      <c r="E206" s="2776"/>
      <c r="F206" s="2776"/>
      <c r="G206" s="2776"/>
      <c r="H206" s="2776"/>
      <c r="I206" s="2776"/>
    </row>
    <row r="207" spans="3:9">
      <c r="C207" s="2776" t="s">
        <v>615</v>
      </c>
      <c r="D207" s="2776"/>
      <c r="E207" s="2776"/>
      <c r="F207" s="2776"/>
      <c r="G207" s="2776"/>
      <c r="H207" s="2776"/>
      <c r="I207" s="2776"/>
    </row>
    <row r="208" spans="3:9">
      <c r="C208" s="2776" t="s">
        <v>616</v>
      </c>
      <c r="D208" s="2776"/>
      <c r="E208" s="2776"/>
      <c r="F208" s="2776"/>
      <c r="G208" s="2776"/>
      <c r="H208" s="2776"/>
      <c r="I208" s="2776"/>
    </row>
    <row r="209" spans="3:14">
      <c r="C209" s="2776" t="s">
        <v>651</v>
      </c>
      <c r="D209" s="2776"/>
      <c r="E209" s="2776"/>
      <c r="F209" s="2776"/>
      <c r="G209" s="2776"/>
      <c r="H209" s="2776"/>
      <c r="I209" s="2776"/>
    </row>
    <row r="210" spans="3:14" ht="63.75" customHeight="1">
      <c r="C210" s="2777" t="s">
        <v>619</v>
      </c>
      <c r="D210" s="2777"/>
      <c r="E210" s="2777"/>
      <c r="F210" s="2777"/>
      <c r="G210" s="2777"/>
      <c r="H210" s="2777"/>
      <c r="I210" s="2777"/>
    </row>
    <row r="211" spans="3:14">
      <c r="C211" s="2776" t="s">
        <v>627</v>
      </c>
      <c r="D211" s="2776"/>
      <c r="E211" s="2776"/>
      <c r="F211" s="2776"/>
      <c r="G211" s="2776"/>
      <c r="H211" s="2776"/>
      <c r="I211" s="2776"/>
    </row>
    <row r="212" spans="3:14">
      <c r="C212" s="2776" t="s">
        <v>622</v>
      </c>
      <c r="D212" s="2776"/>
      <c r="E212" s="2776"/>
      <c r="F212" s="2776"/>
      <c r="G212" s="2776"/>
      <c r="H212" s="2776"/>
      <c r="I212" s="2776"/>
    </row>
    <row r="213" spans="3:14">
      <c r="C213" s="2776" t="s">
        <v>628</v>
      </c>
      <c r="D213" s="2776"/>
      <c r="E213" s="2776"/>
      <c r="F213" s="2776"/>
      <c r="G213" s="2776"/>
      <c r="H213" s="2776"/>
      <c r="I213" s="2776"/>
    </row>
    <row r="214" spans="3:14">
      <c r="C214" s="2776" t="s">
        <v>629</v>
      </c>
      <c r="D214" s="2776"/>
      <c r="E214" s="2776"/>
      <c r="F214" s="2776"/>
      <c r="G214" s="2776"/>
      <c r="H214" s="2776"/>
      <c r="I214" s="2776"/>
    </row>
    <row r="215" spans="3:14" ht="28.5" customHeight="1">
      <c r="C215" s="2777" t="s">
        <v>630</v>
      </c>
      <c r="D215" s="2777"/>
      <c r="E215" s="2777"/>
      <c r="F215" s="2777"/>
      <c r="G215" s="2777"/>
      <c r="H215" s="2777"/>
      <c r="I215" s="2777"/>
    </row>
    <row r="216" spans="3:14" ht="16" thickBot="1"/>
    <row r="217" spans="3:14" ht="19">
      <c r="C217" s="2748" t="s">
        <v>602</v>
      </c>
      <c r="D217" s="2749"/>
      <c r="E217" s="2749"/>
      <c r="F217" s="2749"/>
      <c r="G217" s="2749"/>
      <c r="H217" s="2749"/>
      <c r="I217" s="2750"/>
    </row>
    <row r="218" spans="3:14" ht="19">
      <c r="C218" s="2751" t="s">
        <v>605</v>
      </c>
      <c r="D218" s="2752"/>
      <c r="E218" s="2752"/>
      <c r="F218" s="2752"/>
      <c r="G218" s="2752"/>
      <c r="H218" s="2752"/>
      <c r="I218" s="2753"/>
    </row>
    <row r="219" spans="3:14" ht="17" thickBot="1">
      <c r="C219" s="2672"/>
      <c r="D219" s="2673"/>
      <c r="E219" s="210" t="str">
        <f>'UOP (2)'!D2</f>
        <v>T Bank Loan</v>
      </c>
      <c r="F219" s="210" t="str">
        <f>'UOP (2)'!E2</f>
        <v>Borrower</v>
      </c>
      <c r="G219" s="210" t="str">
        <f>'UOP (2)'!F2</f>
        <v>Seller/Other</v>
      </c>
      <c r="H219" s="210" t="str">
        <f>'UOP (2)'!G2</f>
        <v>3rd Party/CDC Loan</v>
      </c>
      <c r="I219" s="212" t="s">
        <v>104</v>
      </c>
    </row>
    <row r="220" spans="3:14">
      <c r="C220" s="2672" t="str">
        <f>'UOP (2)'!B4</f>
        <v>Real Estate Acquisition</v>
      </c>
      <c r="D220" s="2747"/>
      <c r="E220" s="875">
        <f>'UOP (2)'!D4</f>
        <v>0</v>
      </c>
      <c r="F220" s="875">
        <f>'UOP (2)'!E4</f>
        <v>0</v>
      </c>
      <c r="G220" s="875">
        <f>'UOP (2)'!F4</f>
        <v>0</v>
      </c>
      <c r="H220" s="875">
        <f>'UOP (2)'!G4</f>
        <v>0</v>
      </c>
      <c r="I220" s="876">
        <f>'UOP (2)'!H4</f>
        <v>0</v>
      </c>
      <c r="K220" s="2743" t="s">
        <v>108</v>
      </c>
      <c r="L220" s="2744"/>
      <c r="M220" s="2745">
        <f>'UOP (2)'!P42</f>
        <v>0</v>
      </c>
      <c r="N220" s="2746"/>
    </row>
    <row r="221" spans="3:14">
      <c r="C221" s="2672" t="str">
        <f>'UOP (2)'!B5</f>
        <v>Debt Refi - CRE</v>
      </c>
      <c r="D221" s="2747"/>
      <c r="E221" s="875">
        <f>'UOP (2)'!D5</f>
        <v>0</v>
      </c>
      <c r="F221" s="875">
        <f>'UOP (2)'!E5</f>
        <v>0</v>
      </c>
      <c r="G221" s="875">
        <f>'UOP (2)'!F5</f>
        <v>0</v>
      </c>
      <c r="H221" s="875">
        <f>'UOP (2)'!G5</f>
        <v>0</v>
      </c>
      <c r="I221" s="876">
        <f>'UOP (2)'!H5</f>
        <v>0</v>
      </c>
      <c r="K221" s="2723" t="s">
        <v>144</v>
      </c>
      <c r="L221" s="2626"/>
      <c r="M221" s="2724">
        <f>'UOP (2)'!P43</f>
        <v>0</v>
      </c>
      <c r="N221" s="2725"/>
    </row>
    <row r="222" spans="3:14">
      <c r="C222" s="2672" t="str">
        <f>'UOP (2)'!B6</f>
        <v>Debt Refi - Non-CRE</v>
      </c>
      <c r="D222" s="2747"/>
      <c r="E222" s="875">
        <f>'UOP (2)'!D6</f>
        <v>0</v>
      </c>
      <c r="F222" s="875">
        <f>'UOP (2)'!E6</f>
        <v>0</v>
      </c>
      <c r="G222" s="875">
        <f>'UOP (2)'!F6</f>
        <v>0</v>
      </c>
      <c r="H222" s="875">
        <f>'UOP (2)'!G6</f>
        <v>0</v>
      </c>
      <c r="I222" s="876">
        <f>'UOP (2)'!H6</f>
        <v>0</v>
      </c>
      <c r="K222" s="2723" t="s">
        <v>523</v>
      </c>
      <c r="L222" s="2626"/>
      <c r="M222" s="2732">
        <f>'UOP (2)'!P44</f>
        <v>0</v>
      </c>
      <c r="N222" s="2733"/>
    </row>
    <row r="223" spans="3:14">
      <c r="C223" s="2672" t="str">
        <f>'UOP (2)'!B7</f>
        <v>Machinery &amp; Equipment</v>
      </c>
      <c r="D223" s="2747"/>
      <c r="E223" s="875">
        <f>'UOP (2)'!D7</f>
        <v>0</v>
      </c>
      <c r="F223" s="875">
        <f>'UOP (2)'!E7</f>
        <v>0</v>
      </c>
      <c r="G223" s="875">
        <f>'UOP (2)'!F7</f>
        <v>0</v>
      </c>
      <c r="H223" s="875">
        <f>'UOP (2)'!G7</f>
        <v>0</v>
      </c>
      <c r="I223" s="876">
        <f>'UOP (2)'!H7</f>
        <v>0</v>
      </c>
      <c r="K223" s="2723" t="s">
        <v>524</v>
      </c>
      <c r="L223" s="2626"/>
      <c r="M223" s="2734">
        <f>'UOP (2)'!P45</f>
        <v>0</v>
      </c>
      <c r="N223" s="2735"/>
    </row>
    <row r="224" spans="3:14">
      <c r="C224" s="2672" t="str">
        <f>'UOP (2)'!B8</f>
        <v>Furniture &amp; Fixtures (TIs)</v>
      </c>
      <c r="D224" s="2747"/>
      <c r="E224" s="875">
        <f>'UOP (2)'!D8</f>
        <v>0</v>
      </c>
      <c r="F224" s="875">
        <f>'UOP (2)'!E8</f>
        <v>0</v>
      </c>
      <c r="G224" s="875">
        <f>'UOP (2)'!F8</f>
        <v>0</v>
      </c>
      <c r="H224" s="875">
        <f>'UOP (2)'!G8</f>
        <v>0</v>
      </c>
      <c r="I224" s="876">
        <f>'UOP (2)'!H8</f>
        <v>0</v>
      </c>
      <c r="K224" s="2723" t="s">
        <v>112</v>
      </c>
      <c r="L224" s="2626"/>
      <c r="M224" s="2728">
        <f>'UOP (2)'!P46</f>
        <v>0</v>
      </c>
      <c r="N224" s="2729"/>
    </row>
    <row r="225" spans="3:14">
      <c r="C225" s="2672" t="str">
        <f>'UOP (2)'!B9</f>
        <v>Inventory</v>
      </c>
      <c r="D225" s="2747"/>
      <c r="E225" s="875">
        <f>'UOP (2)'!D9</f>
        <v>0</v>
      </c>
      <c r="F225" s="875">
        <f>'UOP (2)'!E9</f>
        <v>0</v>
      </c>
      <c r="G225" s="875">
        <f>'UOP (2)'!F9</f>
        <v>0</v>
      </c>
      <c r="H225" s="875">
        <f>'UOP (2)'!G9</f>
        <v>0</v>
      </c>
      <c r="I225" s="876">
        <f>'UOP (2)'!H9</f>
        <v>0</v>
      </c>
      <c r="K225" s="2723" t="s">
        <v>113</v>
      </c>
      <c r="L225" s="2626"/>
      <c r="M225" s="2728">
        <f>'UOP (2)'!P47</f>
        <v>0</v>
      </c>
      <c r="N225" s="2729"/>
    </row>
    <row r="226" spans="3:14">
      <c r="C226" s="2672" t="str">
        <f>'UOP (2)'!B10</f>
        <v>Working Capital</v>
      </c>
      <c r="D226" s="2747"/>
      <c r="E226" s="875">
        <f>'UOP (2)'!D10</f>
        <v>0</v>
      </c>
      <c r="F226" s="875">
        <f>'UOP (2)'!E10</f>
        <v>0</v>
      </c>
      <c r="G226" s="875">
        <f>'UOP (2)'!F10</f>
        <v>0</v>
      </c>
      <c r="H226" s="875">
        <f>'UOP (2)'!G10</f>
        <v>0</v>
      </c>
      <c r="I226" s="876">
        <f>'UOP (2)'!H10</f>
        <v>0</v>
      </c>
      <c r="K226" s="2723" t="s">
        <v>115</v>
      </c>
      <c r="L226" s="2626"/>
      <c r="M226" s="2728">
        <f>'UOP (2)'!P48</f>
        <v>0</v>
      </c>
      <c r="N226" s="2729"/>
    </row>
    <row r="227" spans="3:14">
      <c r="C227" s="2672" t="str">
        <f>'UOP (2)'!B11</f>
        <v>Working Capital - Pre Opening</v>
      </c>
      <c r="D227" s="2747"/>
      <c r="E227" s="875">
        <f>'UOP (2)'!D11</f>
        <v>0</v>
      </c>
      <c r="F227" s="875">
        <f>'UOP (2)'!E11</f>
        <v>0</v>
      </c>
      <c r="G227" s="875">
        <f>'UOP (2)'!F11</f>
        <v>0</v>
      </c>
      <c r="H227" s="875">
        <f>'UOP (2)'!G11</f>
        <v>0</v>
      </c>
      <c r="I227" s="876">
        <f>'UOP (2)'!H11</f>
        <v>0</v>
      </c>
      <c r="K227" s="2723" t="s">
        <v>373</v>
      </c>
      <c r="L227" s="2626"/>
      <c r="M227" s="2726">
        <f>'UOP (2)'!P49</f>
        <v>0</v>
      </c>
      <c r="N227" s="2727"/>
    </row>
    <row r="228" spans="3:14">
      <c r="C228" s="2672" t="str">
        <f>'UOP (2)'!B12</f>
        <v>Business Acquisition</v>
      </c>
      <c r="D228" s="2747"/>
      <c r="E228" s="875">
        <f>'UOP (2)'!D12</f>
        <v>0</v>
      </c>
      <c r="F228" s="875">
        <f>'UOP (2)'!E12</f>
        <v>0</v>
      </c>
      <c r="G228" s="875">
        <f>'UOP (2)'!F12</f>
        <v>0</v>
      </c>
      <c r="H228" s="875">
        <f>'UOP (2)'!G12</f>
        <v>0</v>
      </c>
      <c r="I228" s="876">
        <f>'UOP (2)'!H12</f>
        <v>0</v>
      </c>
      <c r="K228" s="2723" t="s">
        <v>374</v>
      </c>
      <c r="L228" s="2626"/>
      <c r="M228" s="2726">
        <f>'UOP (2)'!P50</f>
        <v>0</v>
      </c>
      <c r="N228" s="2727"/>
    </row>
    <row r="229" spans="3:14">
      <c r="C229" s="2672" t="str">
        <f>'UOP (2)'!B13</f>
        <v>Franchise Fees</v>
      </c>
      <c r="D229" s="2747"/>
      <c r="E229" s="875">
        <f>'UOP (2)'!D13</f>
        <v>0</v>
      </c>
      <c r="F229" s="875">
        <f>'UOP (2)'!E13</f>
        <v>0</v>
      </c>
      <c r="G229" s="875">
        <f>'UOP (2)'!F13</f>
        <v>0</v>
      </c>
      <c r="H229" s="875">
        <f>'UOP (2)'!G13</f>
        <v>0</v>
      </c>
      <c r="I229" s="876">
        <f>'UOP (2)'!H13</f>
        <v>0</v>
      </c>
      <c r="K229" s="2723" t="s">
        <v>387</v>
      </c>
      <c r="L229" s="2626"/>
      <c r="M229" s="2726">
        <f>'UOP (2)'!P51</f>
        <v>0</v>
      </c>
      <c r="N229" s="2727"/>
    </row>
    <row r="230" spans="3:14">
      <c r="C230" s="2672" t="str">
        <f>'UOP (2)'!B17</f>
        <v>SBA Guaranty Fee</v>
      </c>
      <c r="D230" s="2747"/>
      <c r="E230" s="875">
        <f>'UOP (2)'!D17</f>
        <v>0</v>
      </c>
      <c r="F230" s="875">
        <f>'UOP (2)'!E17</f>
        <v>0</v>
      </c>
      <c r="G230" s="875">
        <f>'UOP (2)'!F17</f>
        <v>0</v>
      </c>
      <c r="H230" s="875">
        <f>'UOP (2)'!G17</f>
        <v>0</v>
      </c>
      <c r="I230" s="876">
        <f>'UOP (2)'!H17</f>
        <v>0</v>
      </c>
      <c r="K230" s="2723" t="s">
        <v>526</v>
      </c>
      <c r="L230" s="2626"/>
      <c r="M230" s="2730">
        <f>'UOP (2)'!P52</f>
        <v>0</v>
      </c>
      <c r="N230" s="2731"/>
    </row>
    <row r="231" spans="3:14">
      <c r="C231" s="2672" t="str">
        <f>'UOP (2)'!B31</f>
        <v>Interim Loan Fee</v>
      </c>
      <c r="D231" s="2747"/>
      <c r="E231" s="875">
        <f>'UOP (2)'!D31</f>
        <v>0</v>
      </c>
      <c r="F231" s="875">
        <f>'UOP (2)'!E31</f>
        <v>0</v>
      </c>
      <c r="G231" s="875">
        <f>'UOP (2)'!F31</f>
        <v>0</v>
      </c>
      <c r="H231" s="875">
        <f>'UOP (2)'!G31</f>
        <v>0</v>
      </c>
      <c r="I231" s="876">
        <f>'UOP (2)'!H31</f>
        <v>0</v>
      </c>
      <c r="K231" s="2723" t="s">
        <v>117</v>
      </c>
      <c r="L231" s="2626"/>
      <c r="M231" s="2726">
        <f>'UOP (2)'!P53</f>
        <v>0</v>
      </c>
      <c r="N231" s="2727"/>
    </row>
    <row r="232" spans="3:14">
      <c r="C232" s="2772" t="s">
        <v>102</v>
      </c>
      <c r="D232" s="2773"/>
      <c r="E232" s="1588">
        <f>SUM('UOP (2)'!D18:D30,'UOP (2)'!D32:D33)</f>
        <v>0</v>
      </c>
      <c r="F232" s="1588">
        <f>SUM(F231:F231)</f>
        <v>0</v>
      </c>
      <c r="G232" s="1588">
        <f>SUM(G231:G231)</f>
        <v>0</v>
      </c>
      <c r="H232" s="1588">
        <f>SUM(H231:H231)</f>
        <v>0</v>
      </c>
      <c r="I232" s="1701">
        <f>SUM(I231:I231)</f>
        <v>0</v>
      </c>
      <c r="K232" s="2723" t="s">
        <v>120</v>
      </c>
      <c r="L232" s="2626"/>
      <c r="M232" s="2721">
        <f>'UOP (2)'!P54</f>
        <v>0</v>
      </c>
      <c r="N232" s="2722"/>
    </row>
    <row r="233" spans="3:14">
      <c r="C233" s="2672" t="str">
        <f>'UOP (2)'!B37</f>
        <v>Hard Costs - Contingency</v>
      </c>
      <c r="D233" s="2747"/>
      <c r="E233" s="875">
        <f>'UOP (2)'!D37</f>
        <v>0</v>
      </c>
      <c r="F233" s="875">
        <f>'UOP (2)'!E37</f>
        <v>0</v>
      </c>
      <c r="G233" s="875">
        <f>'UOP (2)'!F37</f>
        <v>0</v>
      </c>
      <c r="H233" s="875">
        <f>'UOP (2)'!G37</f>
        <v>0</v>
      </c>
      <c r="I233" s="876">
        <f>'UOP (2)'!H37</f>
        <v>0</v>
      </c>
      <c r="K233" s="2723" t="s">
        <v>121</v>
      </c>
      <c r="L233" s="2626"/>
      <c r="M233" s="2721">
        <f>'UOP (2)'!P55</f>
        <v>0</v>
      </c>
      <c r="N233" s="2722"/>
    </row>
    <row r="234" spans="3:14">
      <c r="C234" s="2672" t="str">
        <f>'UOP (2)'!B38</f>
        <v>Equipment - Non Contingency</v>
      </c>
      <c r="D234" s="2747"/>
      <c r="E234" s="875">
        <f>'UOP (2)'!D38</f>
        <v>0</v>
      </c>
      <c r="F234" s="875">
        <f>'UOP (2)'!E38</f>
        <v>0</v>
      </c>
      <c r="G234" s="875">
        <f>'UOP (2)'!F38</f>
        <v>0</v>
      </c>
      <c r="H234" s="875">
        <f>'UOP (2)'!G38</f>
        <v>0</v>
      </c>
      <c r="I234" s="876">
        <f>'UOP (2)'!H38</f>
        <v>0</v>
      </c>
      <c r="K234" s="2723" t="s">
        <v>122</v>
      </c>
      <c r="L234" s="2626"/>
      <c r="M234" s="2724">
        <f>'UOP (2)'!P56</f>
        <v>0</v>
      </c>
      <c r="N234" s="2725"/>
    </row>
    <row r="235" spans="3:14">
      <c r="C235" s="2672" t="str">
        <f>'UOP (2)'!B50</f>
        <v>Interim Interest Reserve</v>
      </c>
      <c r="D235" s="2747"/>
      <c r="E235" s="875">
        <f>'UOP (2)'!D50</f>
        <v>0</v>
      </c>
      <c r="F235" s="875">
        <f>'UOP (2)'!E50</f>
        <v>0</v>
      </c>
      <c r="G235" s="875">
        <f>'UOP (2)'!F50</f>
        <v>0</v>
      </c>
      <c r="H235" s="875">
        <f>'UOP (2)'!G50</f>
        <v>0</v>
      </c>
      <c r="I235" s="876">
        <f>'UOP (2)'!H50</f>
        <v>0</v>
      </c>
      <c r="K235" s="2723" t="s">
        <v>528</v>
      </c>
      <c r="L235" s="2626"/>
      <c r="M235" s="2726">
        <f>'UOP (2)'!P57</f>
        <v>0</v>
      </c>
      <c r="N235" s="2727"/>
    </row>
    <row r="236" spans="3:14">
      <c r="C236" s="196" t="str">
        <f>'UOP (2)'!B51</f>
        <v>Contingency Reserve</v>
      </c>
      <c r="D236" s="1732">
        <f>'UOP (2)'!C51</f>
        <v>0.1</v>
      </c>
      <c r="E236" s="875">
        <f>'UOP (2)'!D51</f>
        <v>0</v>
      </c>
      <c r="F236" s="875">
        <f>'UOP (2)'!E51</f>
        <v>0</v>
      </c>
      <c r="G236" s="875">
        <f>'UOP (2)'!F51</f>
        <v>0</v>
      </c>
      <c r="H236" s="875">
        <f>'UOP (2)'!G51</f>
        <v>0</v>
      </c>
      <c r="I236" s="876">
        <f>'UOP (2)'!H51</f>
        <v>0</v>
      </c>
      <c r="K236" s="2723" t="s">
        <v>529</v>
      </c>
      <c r="L236" s="2631"/>
      <c r="M236" s="2728">
        <f>'UOP (2)'!P58</f>
        <v>0</v>
      </c>
      <c r="N236" s="2729"/>
    </row>
    <row r="237" spans="3:14" ht="16" thickBot="1">
      <c r="C237" s="2672" t="str">
        <f>'UOP (2)'!B52</f>
        <v>Construction Monitoring Cost</v>
      </c>
      <c r="D237" s="2747"/>
      <c r="E237" s="875">
        <f>'UOP (2)'!D52</f>
        <v>0</v>
      </c>
      <c r="F237" s="875">
        <f>'UOP (2)'!E52</f>
        <v>0</v>
      </c>
      <c r="G237" s="875">
        <f>'UOP (2)'!F52</f>
        <v>0</v>
      </c>
      <c r="H237" s="875">
        <f>'UOP (2)'!G52</f>
        <v>0</v>
      </c>
      <c r="I237" s="876">
        <f>'UOP (2)'!H52</f>
        <v>0</v>
      </c>
      <c r="K237" s="2740" t="s">
        <v>530</v>
      </c>
      <c r="L237" s="2330"/>
      <c r="M237" s="2719">
        <f>'UOP (2)'!P59</f>
        <v>0</v>
      </c>
      <c r="N237" s="2720"/>
    </row>
    <row r="238" spans="3:14">
      <c r="C238" s="2672" t="s">
        <v>539</v>
      </c>
      <c r="D238" s="2673"/>
      <c r="E238" s="1588">
        <f>SUM('UOP (2)'!D42:D49,'UOP (2)'!D53:D55)</f>
        <v>0</v>
      </c>
      <c r="F238" s="1588">
        <f>SUM('UOP (2)'!E42:E49,'UOP (2)'!E53:E55)</f>
        <v>0</v>
      </c>
      <c r="G238" s="1588">
        <f>SUM('UOP (2)'!F42:F49,'UOP (2)'!F53:F55)</f>
        <v>0</v>
      </c>
      <c r="H238" s="1588">
        <f>SUM('UOP (2)'!G42:G49,'UOP (2)'!G53:G55)</f>
        <v>0</v>
      </c>
      <c r="I238" s="1701">
        <f>SUM('UOP (2)'!H42:H49,'UOP (2)'!H53:H55)</f>
        <v>0</v>
      </c>
    </row>
    <row r="239" spans="3:14">
      <c r="C239" s="2669" t="s">
        <v>554</v>
      </c>
      <c r="D239" s="2670"/>
      <c r="E239" s="534">
        <f>SUM(E220:E238)</f>
        <v>0</v>
      </c>
      <c r="F239" s="534">
        <f>SUM(F220:F238)</f>
        <v>0</v>
      </c>
      <c r="G239" s="534">
        <f>SUM(G220:G238)</f>
        <v>0</v>
      </c>
      <c r="H239" s="534">
        <f>SUM(H220:H238)</f>
        <v>0</v>
      </c>
      <c r="I239" s="1704">
        <f>SUM(I220:I238)</f>
        <v>0</v>
      </c>
    </row>
    <row r="240" spans="3:14" ht="16" thickBot="1">
      <c r="C240" s="2774" t="s">
        <v>556</v>
      </c>
      <c r="D240" s="2775"/>
      <c r="E240" s="877">
        <f>IF(E239=0,0,E239/$I$239)</f>
        <v>0</v>
      </c>
      <c r="F240" s="877">
        <f>IF(F239=0,0,F239/$I$239)</f>
        <v>0</v>
      </c>
      <c r="G240" s="877">
        <f>IF(G239=0,0,G239/$I$239)</f>
        <v>0</v>
      </c>
      <c r="H240" s="877">
        <f>IF(H239=0,0,H239/$I$239)</f>
        <v>0</v>
      </c>
      <c r="I240" s="878">
        <f>SUM(E240:H240)</f>
        <v>0</v>
      </c>
    </row>
    <row r="242" spans="3:9" ht="16" hidden="1" thickBot="1">
      <c r="C242" s="1590"/>
      <c r="D242" s="1591" t="s">
        <v>561</v>
      </c>
      <c r="E242" s="1589" t="str">
        <f>'UOP (2)'!D63</f>
        <v>T Bank 504 to perm</v>
      </c>
      <c r="F242" s="1589" t="str">
        <f>'UOP (2)'!E63</f>
        <v>Borrower</v>
      </c>
      <c r="G242" s="1589" t="str">
        <f>'UOP (2)'!F63</f>
        <v>Seller/Other</v>
      </c>
      <c r="H242" s="1589" t="str">
        <f>'UOP (2)'!G63</f>
        <v>3rd Party/CDC Loan</v>
      </c>
      <c r="I242" s="1587" t="s">
        <v>104</v>
      </c>
    </row>
    <row r="243" spans="3:9" hidden="1">
      <c r="C243" s="2754" t="s">
        <v>562</v>
      </c>
      <c r="D243" s="2755"/>
      <c r="E243" s="1592">
        <f>'UOP (2)'!D69</f>
        <v>0</v>
      </c>
      <c r="F243" s="1592">
        <f>'UOP (2)'!E69</f>
        <v>0</v>
      </c>
      <c r="G243" s="1592">
        <f>'UOP (2)'!F69</f>
        <v>0</v>
      </c>
      <c r="H243" s="1594">
        <f>'UOP (2)'!G69</f>
        <v>3500</v>
      </c>
      <c r="I243" s="1702">
        <f>'UOP (2)'!H69</f>
        <v>3500</v>
      </c>
    </row>
    <row r="244" spans="3:9" hidden="1">
      <c r="C244" s="2766" t="s">
        <v>147</v>
      </c>
      <c r="D244" s="2767"/>
      <c r="E244" s="1593">
        <f>'UOP (2)'!D70</f>
        <v>0</v>
      </c>
      <c r="F244" s="1593">
        <f>'UOP (2)'!E70</f>
        <v>0</v>
      </c>
      <c r="G244" s="1593">
        <f>'UOP (2)'!F70</f>
        <v>0</v>
      </c>
      <c r="H244" s="557">
        <f>'UOP (2)'!G70</f>
        <v>0</v>
      </c>
      <c r="I244" s="1703">
        <f>'UOP (2)'!H70</f>
        <v>0</v>
      </c>
    </row>
    <row r="245" spans="3:9" hidden="1">
      <c r="C245" s="2766" t="s">
        <v>149</v>
      </c>
      <c r="D245" s="2767"/>
      <c r="E245" s="1593">
        <f>'UOP (2)'!D71</f>
        <v>0</v>
      </c>
      <c r="F245" s="1593">
        <f>'UOP (2)'!E71</f>
        <v>0</v>
      </c>
      <c r="G245" s="1593">
        <f>'UOP (2)'!F71</f>
        <v>0</v>
      </c>
      <c r="H245" s="557">
        <f>'UOP (2)'!G71</f>
        <v>0</v>
      </c>
      <c r="I245" s="1703">
        <f>'UOP (2)'!H71</f>
        <v>0</v>
      </c>
    </row>
    <row r="246" spans="3:9" hidden="1">
      <c r="C246" s="2766" t="s">
        <v>153</v>
      </c>
      <c r="D246" s="2767"/>
      <c r="E246" s="1593">
        <f>'UOP (2)'!D72</f>
        <v>0</v>
      </c>
      <c r="F246" s="1593">
        <f>'UOP (2)'!E72</f>
        <v>0</v>
      </c>
      <c r="G246" s="1593">
        <f>'UOP (2)'!F72</f>
        <v>0</v>
      </c>
      <c r="H246" s="557">
        <f>'UOP (2)'!G72</f>
        <v>0</v>
      </c>
      <c r="I246" s="1703">
        <f>'UOP (2)'!H72</f>
        <v>0</v>
      </c>
    </row>
    <row r="247" spans="3:9" hidden="1">
      <c r="C247" s="2766" t="s">
        <v>154</v>
      </c>
      <c r="D247" s="2767"/>
      <c r="E247" s="1593">
        <f>'UOP (2)'!D73</f>
        <v>0</v>
      </c>
      <c r="F247" s="1593">
        <f>'UOP (2)'!E73</f>
        <v>0</v>
      </c>
      <c r="G247" s="1593">
        <f>'UOP (2)'!F73</f>
        <v>0</v>
      </c>
      <c r="H247" s="558">
        <f>'UOP (2)'!G73</f>
        <v>0</v>
      </c>
      <c r="I247" s="1703">
        <f>'UOP (2)'!H73</f>
        <v>0</v>
      </c>
    </row>
    <row r="248" spans="3:9" hidden="1">
      <c r="C248" s="2672" t="s">
        <v>563</v>
      </c>
      <c r="D248" s="2673"/>
      <c r="E248" s="534">
        <f>'UOP (2)'!D74</f>
        <v>0</v>
      </c>
      <c r="F248" s="534">
        <f>'UOP (2)'!E74</f>
        <v>0</v>
      </c>
      <c r="G248" s="534">
        <f>'UOP (2)'!F74</f>
        <v>0</v>
      </c>
      <c r="H248" s="534">
        <f>'UOP (2)'!G74</f>
        <v>3500</v>
      </c>
      <c r="I248" s="1704">
        <f>'UOP (2)'!H74</f>
        <v>3500</v>
      </c>
    </row>
    <row r="249" spans="3:9" hidden="1">
      <c r="C249" s="2672" t="s">
        <v>564</v>
      </c>
      <c r="D249" s="2673"/>
      <c r="E249" s="534">
        <f>'UOP (2)'!D75</f>
        <v>0</v>
      </c>
      <c r="F249" s="534">
        <f>'UOP (2)'!E75</f>
        <v>0</v>
      </c>
      <c r="G249" s="534">
        <f>'UOP (2)'!F75</f>
        <v>0</v>
      </c>
      <c r="H249" s="534">
        <f>'UOP (2)'!G75</f>
        <v>0</v>
      </c>
      <c r="I249" s="1704">
        <f>'UOP (2)'!H75</f>
        <v>3500</v>
      </c>
    </row>
    <row r="250" spans="3:9" ht="16" hidden="1" thickBot="1">
      <c r="C250" s="1705"/>
      <c r="D250" s="1706"/>
      <c r="E250" s="1707">
        <f>'UOP (2)'!D76</f>
        <v>0</v>
      </c>
      <c r="F250" s="1707">
        <f>'UOP (2)'!E76</f>
        <v>0</v>
      </c>
      <c r="G250" s="1707">
        <f>'UOP (2)'!F76</f>
        <v>0</v>
      </c>
      <c r="H250" s="1707">
        <f>'UOP (2)'!G76</f>
        <v>0</v>
      </c>
      <c r="I250" s="1708">
        <f>'UOP (2)'!H76</f>
        <v>0</v>
      </c>
    </row>
    <row r="251" spans="3:9" hidden="1"/>
  </sheetData>
  <sheetProtection algorithmName="SHA-512" hashValue="w5YOSDl/aoxAM8KAL8jHqhfOzo9mVo3fahu6jvWqucEI6Kbph/rSzaIfz1nlxVzOTuOpjWZMxbH1fqXnxHN2wg==" saltValue="SMoNyHTlJYU2Z4AdyjKSUQ==" spinCount="100000" sheet="1" scenarios="1" formatCells="0" formatColumns="0" formatRows="0"/>
  <mergeCells count="311">
    <mergeCell ref="C213:I213"/>
    <mergeCell ref="C214:I214"/>
    <mergeCell ref="C215:I215"/>
    <mergeCell ref="C38:I38"/>
    <mergeCell ref="C39:I39"/>
    <mergeCell ref="C207:I207"/>
    <mergeCell ref="C208:I208"/>
    <mergeCell ref="C209:I209"/>
    <mergeCell ref="C210:I210"/>
    <mergeCell ref="C211:I211"/>
    <mergeCell ref="C212:I212"/>
    <mergeCell ref="C201:I201"/>
    <mergeCell ref="C202:I202"/>
    <mergeCell ref="C203:I203"/>
    <mergeCell ref="C204:I204"/>
    <mergeCell ref="C205:I205"/>
    <mergeCell ref="C206:I206"/>
    <mergeCell ref="C195:I195"/>
    <mergeCell ref="C196:I196"/>
    <mergeCell ref="C197:I197"/>
    <mergeCell ref="C198:I198"/>
    <mergeCell ref="C199:I199"/>
    <mergeCell ref="C200:I200"/>
    <mergeCell ref="C189:I189"/>
    <mergeCell ref="C190:I190"/>
    <mergeCell ref="C191:I191"/>
    <mergeCell ref="C192:I192"/>
    <mergeCell ref="C193:I193"/>
    <mergeCell ref="C194:I194"/>
    <mergeCell ref="C184:I184"/>
    <mergeCell ref="C185:I185"/>
    <mergeCell ref="C186:I186"/>
    <mergeCell ref="C187:I187"/>
    <mergeCell ref="C188:I188"/>
    <mergeCell ref="C178:I178"/>
    <mergeCell ref="C179:I179"/>
    <mergeCell ref="C180:I180"/>
    <mergeCell ref="C181:I181"/>
    <mergeCell ref="C182:I182"/>
    <mergeCell ref="C183:I183"/>
    <mergeCell ref="C172:I172"/>
    <mergeCell ref="C173:I173"/>
    <mergeCell ref="C174:I174"/>
    <mergeCell ref="C175:I175"/>
    <mergeCell ref="C176:I176"/>
    <mergeCell ref="C177:I177"/>
    <mergeCell ref="C166:I166"/>
    <mergeCell ref="C167:I167"/>
    <mergeCell ref="C168:I168"/>
    <mergeCell ref="C169:I169"/>
    <mergeCell ref="C170:I170"/>
    <mergeCell ref="C171:I171"/>
    <mergeCell ref="C160:I160"/>
    <mergeCell ref="C161:I161"/>
    <mergeCell ref="C162:I162"/>
    <mergeCell ref="C163:I163"/>
    <mergeCell ref="C164:I164"/>
    <mergeCell ref="C165:I165"/>
    <mergeCell ref="C154:I154"/>
    <mergeCell ref="C155:I155"/>
    <mergeCell ref="C156:I156"/>
    <mergeCell ref="C157:I157"/>
    <mergeCell ref="C158:I158"/>
    <mergeCell ref="C159:I159"/>
    <mergeCell ref="C149:I149"/>
    <mergeCell ref="C150:I150"/>
    <mergeCell ref="C151:I151"/>
    <mergeCell ref="C152:I152"/>
    <mergeCell ref="C153:I153"/>
    <mergeCell ref="C143:I143"/>
    <mergeCell ref="C144:I144"/>
    <mergeCell ref="C145:I145"/>
    <mergeCell ref="C146:I146"/>
    <mergeCell ref="C147:I147"/>
    <mergeCell ref="C148:I148"/>
    <mergeCell ref="C137:I137"/>
    <mergeCell ref="C138:I138"/>
    <mergeCell ref="C139:I139"/>
    <mergeCell ref="C140:I140"/>
    <mergeCell ref="C141:I141"/>
    <mergeCell ref="C142:I142"/>
    <mergeCell ref="C131:I131"/>
    <mergeCell ref="C132:I132"/>
    <mergeCell ref="C133:I133"/>
    <mergeCell ref="C134:I134"/>
    <mergeCell ref="C135:I135"/>
    <mergeCell ref="C136:I136"/>
    <mergeCell ref="C125:I125"/>
    <mergeCell ref="C126:I126"/>
    <mergeCell ref="C127:I127"/>
    <mergeCell ref="C128:I128"/>
    <mergeCell ref="C129:I129"/>
    <mergeCell ref="C130:I130"/>
    <mergeCell ref="C120:I120"/>
    <mergeCell ref="C121:I121"/>
    <mergeCell ref="C122:I122"/>
    <mergeCell ref="C123:I123"/>
    <mergeCell ref="C124:I124"/>
    <mergeCell ref="C113:I113"/>
    <mergeCell ref="C114:I114"/>
    <mergeCell ref="C115:I115"/>
    <mergeCell ref="C116:I116"/>
    <mergeCell ref="C117:I117"/>
    <mergeCell ref="C118:I118"/>
    <mergeCell ref="C109:I109"/>
    <mergeCell ref="C110:I110"/>
    <mergeCell ref="C111:I111"/>
    <mergeCell ref="C112:I112"/>
    <mergeCell ref="C103:I103"/>
    <mergeCell ref="C104:I104"/>
    <mergeCell ref="C105:I105"/>
    <mergeCell ref="C106:I106"/>
    <mergeCell ref="C119:I119"/>
    <mergeCell ref="C102:I102"/>
    <mergeCell ref="C91:I91"/>
    <mergeCell ref="C92:I92"/>
    <mergeCell ref="C93:I93"/>
    <mergeCell ref="C94:I94"/>
    <mergeCell ref="C95:I95"/>
    <mergeCell ref="C96:I96"/>
    <mergeCell ref="C107:I107"/>
    <mergeCell ref="C108:I108"/>
    <mergeCell ref="C81:I81"/>
    <mergeCell ref="C82:I82"/>
    <mergeCell ref="C83:I83"/>
    <mergeCell ref="C84:I84"/>
    <mergeCell ref="C97:I97"/>
    <mergeCell ref="C98:I98"/>
    <mergeCell ref="C99:I99"/>
    <mergeCell ref="C100:I100"/>
    <mergeCell ref="C101:I101"/>
    <mergeCell ref="C247:D247"/>
    <mergeCell ref="C248:D248"/>
    <mergeCell ref="C249:D249"/>
    <mergeCell ref="C244:D244"/>
    <mergeCell ref="C245:D245"/>
    <mergeCell ref="C246:D246"/>
    <mergeCell ref="C62:I62"/>
    <mergeCell ref="C63:I63"/>
    <mergeCell ref="C64:I64"/>
    <mergeCell ref="C65:I65"/>
    <mergeCell ref="C66:I66"/>
    <mergeCell ref="C67:I67"/>
    <mergeCell ref="C73:I73"/>
    <mergeCell ref="C74:I74"/>
    <mergeCell ref="C75:I75"/>
    <mergeCell ref="C76:I76"/>
    <mergeCell ref="C77:I77"/>
    <mergeCell ref="C78:I78"/>
    <mergeCell ref="C68:I68"/>
    <mergeCell ref="C69:I69"/>
    <mergeCell ref="C70:I70"/>
    <mergeCell ref="C71:I71"/>
    <mergeCell ref="C72:I72"/>
    <mergeCell ref="C85:I85"/>
    <mergeCell ref="C239:D239"/>
    <mergeCell ref="C240:D240"/>
    <mergeCell ref="C243:D243"/>
    <mergeCell ref="C232:D232"/>
    <mergeCell ref="C228:D228"/>
    <mergeCell ref="C224:D224"/>
    <mergeCell ref="C219:D219"/>
    <mergeCell ref="C220:D220"/>
    <mergeCell ref="C50:I50"/>
    <mergeCell ref="C51:I51"/>
    <mergeCell ref="C52:I52"/>
    <mergeCell ref="C53:I53"/>
    <mergeCell ref="C54:I54"/>
    <mergeCell ref="C55:I55"/>
    <mergeCell ref="C56:I56"/>
    <mergeCell ref="C57:I57"/>
    <mergeCell ref="C58:I58"/>
    <mergeCell ref="C59:I59"/>
    <mergeCell ref="C60:I60"/>
    <mergeCell ref="C61:I61"/>
    <mergeCell ref="C86:I86"/>
    <mergeCell ref="C87:I87"/>
    <mergeCell ref="C88:I88"/>
    <mergeCell ref="C89:I89"/>
    <mergeCell ref="K236:L236"/>
    <mergeCell ref="M236:N236"/>
    <mergeCell ref="C237:D237"/>
    <mergeCell ref="K237:L237"/>
    <mergeCell ref="M237:N237"/>
    <mergeCell ref="C238:D238"/>
    <mergeCell ref="C234:D234"/>
    <mergeCell ref="K234:L234"/>
    <mergeCell ref="M234:N234"/>
    <mergeCell ref="C235:D235"/>
    <mergeCell ref="K235:L235"/>
    <mergeCell ref="M235:N235"/>
    <mergeCell ref="K232:L232"/>
    <mergeCell ref="M232:N232"/>
    <mergeCell ref="C233:D233"/>
    <mergeCell ref="K233:L233"/>
    <mergeCell ref="M233:N233"/>
    <mergeCell ref="C230:D230"/>
    <mergeCell ref="K230:L230"/>
    <mergeCell ref="M230:N230"/>
    <mergeCell ref="C231:D231"/>
    <mergeCell ref="K231:L231"/>
    <mergeCell ref="M231:N231"/>
    <mergeCell ref="K228:L228"/>
    <mergeCell ref="M228:N228"/>
    <mergeCell ref="C229:D229"/>
    <mergeCell ref="K229:L229"/>
    <mergeCell ref="M229:N229"/>
    <mergeCell ref="C226:D226"/>
    <mergeCell ref="K226:L226"/>
    <mergeCell ref="M226:N226"/>
    <mergeCell ref="C227:D227"/>
    <mergeCell ref="K227:L227"/>
    <mergeCell ref="M227:N227"/>
    <mergeCell ref="K224:L224"/>
    <mergeCell ref="M224:N224"/>
    <mergeCell ref="C225:D225"/>
    <mergeCell ref="K225:L225"/>
    <mergeCell ref="M225:N225"/>
    <mergeCell ref="C222:D222"/>
    <mergeCell ref="K222:L222"/>
    <mergeCell ref="M222:N222"/>
    <mergeCell ref="C223:D223"/>
    <mergeCell ref="K223:L223"/>
    <mergeCell ref="M223:N223"/>
    <mergeCell ref="K220:L220"/>
    <mergeCell ref="M220:N220"/>
    <mergeCell ref="C221:D221"/>
    <mergeCell ref="K221:L221"/>
    <mergeCell ref="M221:N221"/>
    <mergeCell ref="C32:D32"/>
    <mergeCell ref="C33:D33"/>
    <mergeCell ref="C34:D34"/>
    <mergeCell ref="C35:D35"/>
    <mergeCell ref="C217:I217"/>
    <mergeCell ref="C218:I218"/>
    <mergeCell ref="C46:I46"/>
    <mergeCell ref="C47:I47"/>
    <mergeCell ref="C48:I48"/>
    <mergeCell ref="C49:I49"/>
    <mergeCell ref="C40:I40"/>
    <mergeCell ref="C41:I41"/>
    <mergeCell ref="C42:I42"/>
    <mergeCell ref="C43:I43"/>
    <mergeCell ref="C44:I44"/>
    <mergeCell ref="C45:I45"/>
    <mergeCell ref="C90:I90"/>
    <mergeCell ref="C79:I79"/>
    <mergeCell ref="C80:I80"/>
    <mergeCell ref="C24:D24"/>
    <mergeCell ref="C25:D25"/>
    <mergeCell ref="C26:D26"/>
    <mergeCell ref="C29:D29"/>
    <mergeCell ref="C30:D30"/>
    <mergeCell ref="C31:D31"/>
    <mergeCell ref="C21:D21"/>
    <mergeCell ref="K21:L21"/>
    <mergeCell ref="M21:N21"/>
    <mergeCell ref="K22:L22"/>
    <mergeCell ref="M22:N22"/>
    <mergeCell ref="C23:D23"/>
    <mergeCell ref="K23:L23"/>
    <mergeCell ref="M23:N23"/>
    <mergeCell ref="C19:D19"/>
    <mergeCell ref="K19:L19"/>
    <mergeCell ref="M19:N19"/>
    <mergeCell ref="C20:D20"/>
    <mergeCell ref="K20:L20"/>
    <mergeCell ref="M20:N20"/>
    <mergeCell ref="C17:D17"/>
    <mergeCell ref="K17:L17"/>
    <mergeCell ref="M17:N17"/>
    <mergeCell ref="C18:D18"/>
    <mergeCell ref="K18:L18"/>
    <mergeCell ref="M18:N18"/>
    <mergeCell ref="C15:D15"/>
    <mergeCell ref="K15:L15"/>
    <mergeCell ref="M15:N15"/>
    <mergeCell ref="C16:D16"/>
    <mergeCell ref="K16:L16"/>
    <mergeCell ref="M16:N16"/>
    <mergeCell ref="C13:D13"/>
    <mergeCell ref="K13:L13"/>
    <mergeCell ref="M13:N13"/>
    <mergeCell ref="C14:D14"/>
    <mergeCell ref="K14:L14"/>
    <mergeCell ref="M14:N14"/>
    <mergeCell ref="C11:D11"/>
    <mergeCell ref="K11:L11"/>
    <mergeCell ref="M11:N11"/>
    <mergeCell ref="C12:D12"/>
    <mergeCell ref="K12:L12"/>
    <mergeCell ref="M12:N12"/>
    <mergeCell ref="C9:D9"/>
    <mergeCell ref="K9:L9"/>
    <mergeCell ref="M9:N9"/>
    <mergeCell ref="C10:D10"/>
    <mergeCell ref="K10:L10"/>
    <mergeCell ref="M10:N10"/>
    <mergeCell ref="C7:D7"/>
    <mergeCell ref="K7:L7"/>
    <mergeCell ref="M7:N7"/>
    <mergeCell ref="C8:D8"/>
    <mergeCell ref="K8:L8"/>
    <mergeCell ref="M8:N8"/>
    <mergeCell ref="C3:I3"/>
    <mergeCell ref="L3:M3"/>
    <mergeCell ref="C4:I4"/>
    <mergeCell ref="C5:D5"/>
    <mergeCell ref="C6:D6"/>
    <mergeCell ref="K6:L6"/>
    <mergeCell ref="M6:N6"/>
  </mergeCells>
  <printOptions horizontalCentered="1"/>
  <pageMargins left="0" right="0" top="0.75" bottom="0.75" header="0.3" footer="0.3"/>
  <pageSetup scale="59" orientation="landscape" r:id="rId1"/>
  <headerFooter differentFirst="1"/>
  <rowBreaks count="6" manualBreakCount="6">
    <brk id="37" min="2" max="14" man="1"/>
    <brk id="70" min="2" max="14" man="1"/>
    <brk id="103" min="2" max="14" man="1"/>
    <brk id="149" min="2" max="14" man="1"/>
    <brk id="184" min="2" max="14" man="1"/>
    <brk id="216" min="2" max="14" man="1"/>
  </row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tabColor rgb="FF00B050"/>
    <pageSetUpPr autoPageBreaks="0"/>
  </sheetPr>
  <dimension ref="B1:P167"/>
  <sheetViews>
    <sheetView showGridLines="0" topLeftCell="A100" zoomScale="85" zoomScaleNormal="85" workbookViewId="0">
      <selection activeCell="J99" sqref="J99"/>
    </sheetView>
  </sheetViews>
  <sheetFormatPr baseColWidth="10" defaultColWidth="8.83203125" defaultRowHeight="15" outlineLevelRow="1"/>
  <cols>
    <col min="1" max="1" width="2.83203125" customWidth="1"/>
    <col min="2" max="2" width="27.6640625" customWidth="1"/>
    <col min="3" max="3" width="14.6640625" customWidth="1"/>
    <col min="4" max="4" width="24.6640625" customWidth="1"/>
    <col min="5" max="5" width="16.83203125" customWidth="1"/>
    <col min="6" max="6" width="20.6640625" customWidth="1"/>
    <col min="7" max="7" width="14.6640625" customWidth="1"/>
    <col min="8" max="9" width="18.6640625" customWidth="1"/>
    <col min="10" max="10" width="17.6640625" customWidth="1"/>
    <col min="11" max="11" width="15.6640625" customWidth="1"/>
  </cols>
  <sheetData>
    <row r="1" spans="2:16" ht="16" thickBot="1"/>
    <row r="2" spans="2:16" ht="21">
      <c r="B2" s="2798" t="s">
        <v>307</v>
      </c>
      <c r="C2" s="2799"/>
      <c r="D2" s="2799"/>
      <c r="E2" s="2799"/>
      <c r="F2" s="2799"/>
      <c r="G2" s="2799"/>
      <c r="H2" s="2799"/>
      <c r="I2" s="2799"/>
      <c r="J2" s="2799"/>
      <c r="K2" s="2800"/>
      <c r="N2" s="2533"/>
      <c r="O2" s="2533"/>
      <c r="P2" s="2533"/>
    </row>
    <row r="3" spans="2:16" s="28" customFormat="1" ht="20">
      <c r="B3" s="54"/>
      <c r="C3" s="766"/>
      <c r="D3" s="766"/>
      <c r="E3" s="766"/>
      <c r="F3" s="766" t="s">
        <v>166</v>
      </c>
      <c r="G3" s="766"/>
      <c r="H3" s="766"/>
      <c r="I3" s="766"/>
      <c r="J3" s="766"/>
      <c r="K3" s="55"/>
      <c r="N3" s="765"/>
      <c r="O3" s="765"/>
      <c r="P3" s="765"/>
    </row>
    <row r="4" spans="2:16" ht="17" thickBot="1">
      <c r="B4" s="2801" t="s">
        <v>661</v>
      </c>
      <c r="C4" s="2802"/>
      <c r="D4" s="2802"/>
      <c r="E4" s="2802"/>
      <c r="F4" s="2802"/>
      <c r="G4" s="2802"/>
      <c r="H4" s="2802"/>
      <c r="I4" s="2802"/>
      <c r="J4" s="2802"/>
      <c r="K4" s="2803"/>
    </row>
    <row r="5" spans="2:16" ht="17">
      <c r="B5" s="401" t="s">
        <v>662</v>
      </c>
      <c r="C5" s="2825"/>
      <c r="D5" s="2826"/>
      <c r="E5" s="2826"/>
      <c r="F5" s="2826"/>
      <c r="G5" s="2826"/>
      <c r="H5" s="2826"/>
      <c r="I5" s="2826"/>
      <c r="J5" s="2827"/>
      <c r="K5" s="402"/>
    </row>
    <row r="6" spans="2:16" ht="17">
      <c r="B6" s="403" t="s">
        <v>663</v>
      </c>
      <c r="C6" s="1470"/>
      <c r="D6" s="390" t="s">
        <v>664</v>
      </c>
      <c r="E6" s="1472"/>
      <c r="F6" s="390" t="s">
        <v>310</v>
      </c>
      <c r="G6" s="1473"/>
      <c r="H6" s="397" t="s">
        <v>665</v>
      </c>
      <c r="I6" s="1472"/>
      <c r="J6" s="400" t="s">
        <v>666</v>
      </c>
      <c r="K6" s="404"/>
    </row>
    <row r="7" spans="2:16" ht="15.75" customHeight="1">
      <c r="B7" s="405" t="s">
        <v>667</v>
      </c>
      <c r="C7" s="385"/>
      <c r="D7" s="391" t="s">
        <v>668</v>
      </c>
      <c r="E7" s="385"/>
      <c r="F7" s="395" t="s">
        <v>669</v>
      </c>
      <c r="G7" s="386"/>
      <c r="H7" s="392" t="s">
        <v>670</v>
      </c>
      <c r="I7" s="1280"/>
      <c r="J7" s="400" t="s">
        <v>671</v>
      </c>
      <c r="K7" s="404"/>
    </row>
    <row r="8" spans="2:16" ht="16">
      <c r="B8" s="406" t="s">
        <v>672</v>
      </c>
      <c r="C8" s="385"/>
      <c r="D8" s="392" t="s">
        <v>673</v>
      </c>
      <c r="E8" s="380"/>
      <c r="F8" s="392" t="s">
        <v>674</v>
      </c>
      <c r="G8" s="380"/>
      <c r="H8" s="395" t="s">
        <v>675</v>
      </c>
      <c r="I8" s="1474"/>
      <c r="J8" s="399"/>
      <c r="K8" s="407"/>
    </row>
    <row r="9" spans="2:16" ht="15.75" customHeight="1">
      <c r="B9" s="408" t="s">
        <v>676</v>
      </c>
      <c r="C9" s="1471"/>
      <c r="D9" s="394" t="s">
        <v>405</v>
      </c>
      <c r="E9" s="389"/>
      <c r="F9" s="396" t="s">
        <v>406</v>
      </c>
      <c r="G9" s="389"/>
      <c r="H9" s="398" t="s">
        <v>677</v>
      </c>
      <c r="I9" s="387">
        <f>E9+G9</f>
        <v>0</v>
      </c>
      <c r="J9" s="392" t="s">
        <v>315</v>
      </c>
      <c r="K9" s="1475"/>
    </row>
    <row r="10" spans="2:16" ht="17">
      <c r="B10" s="409" t="s">
        <v>678</v>
      </c>
      <c r="C10" s="253">
        <f>I9-K9</f>
        <v>0</v>
      </c>
      <c r="D10" s="415" t="s">
        <v>679</v>
      </c>
      <c r="E10" s="416">
        <f>IF(E9=0,0,C10/E9)</f>
        <v>0</v>
      </c>
      <c r="F10" s="393" t="s">
        <v>680</v>
      </c>
      <c r="G10" s="388">
        <f>IFERROR(IF(E9&lt;C9,(UOP!$D$59/Coll!E9),(UOP!$D$59/Coll!C9)),0)</f>
        <v>0</v>
      </c>
      <c r="H10" s="392" t="s">
        <v>681</v>
      </c>
      <c r="I10" s="1280"/>
      <c r="J10" s="414"/>
      <c r="K10" s="417"/>
    </row>
    <row r="11" spans="2:16" ht="18" thickBot="1">
      <c r="B11" s="410" t="s">
        <v>447</v>
      </c>
      <c r="C11" s="411"/>
      <c r="D11" s="411"/>
      <c r="E11" s="411"/>
      <c r="F11" s="412"/>
      <c r="G11" s="2805"/>
      <c r="H11" s="2805"/>
      <c r="I11" s="2805"/>
      <c r="J11" s="413"/>
      <c r="K11" s="72"/>
    </row>
    <row r="12" spans="2:16" ht="16">
      <c r="B12" s="2791"/>
      <c r="C12" s="2792"/>
      <c r="D12" s="2792"/>
      <c r="E12" s="2792"/>
      <c r="F12" s="2792"/>
      <c r="G12" s="2792"/>
      <c r="H12" s="2792"/>
      <c r="I12" s="2792"/>
      <c r="J12" s="2792"/>
      <c r="K12" s="2793"/>
    </row>
    <row r="13" spans="2:16" ht="17" thickBot="1">
      <c r="B13" s="2806"/>
      <c r="C13" s="2807"/>
      <c r="D13" s="2807"/>
      <c r="E13" s="2807"/>
      <c r="F13" s="2807"/>
      <c r="G13" s="2807"/>
      <c r="H13" s="2807"/>
      <c r="I13" s="2807"/>
      <c r="J13" s="2807"/>
      <c r="K13" s="2808"/>
    </row>
    <row r="14" spans="2:16" ht="17" thickBot="1">
      <c r="B14" s="2801" t="s">
        <v>682</v>
      </c>
      <c r="C14" s="2802"/>
      <c r="D14" s="2802"/>
      <c r="E14" s="2802"/>
      <c r="F14" s="2802"/>
      <c r="G14" s="2802"/>
      <c r="H14" s="2802"/>
      <c r="I14" s="2802"/>
      <c r="J14" s="2802"/>
      <c r="K14" s="2803"/>
    </row>
    <row r="15" spans="2:16" ht="15.5" customHeight="1">
      <c r="B15" s="401" t="s">
        <v>662</v>
      </c>
      <c r="C15" s="2825"/>
      <c r="D15" s="2826"/>
      <c r="E15" s="2826"/>
      <c r="F15" s="2826"/>
      <c r="G15" s="2826"/>
      <c r="H15" s="2826"/>
      <c r="I15" s="2826"/>
      <c r="J15" s="2827"/>
      <c r="K15" s="402"/>
    </row>
    <row r="16" spans="2:16" ht="17">
      <c r="B16" s="403" t="s">
        <v>663</v>
      </c>
      <c r="C16" s="1470"/>
      <c r="D16" s="390" t="s">
        <v>664</v>
      </c>
      <c r="E16" s="1472"/>
      <c r="F16" s="390" t="s">
        <v>310</v>
      </c>
      <c r="G16" s="1473"/>
      <c r="H16" s="397" t="s">
        <v>665</v>
      </c>
      <c r="I16" s="1472"/>
      <c r="J16" s="400" t="s">
        <v>666</v>
      </c>
      <c r="K16" s="404"/>
    </row>
    <row r="17" spans="2:11" ht="17">
      <c r="B17" s="405" t="s">
        <v>667</v>
      </c>
      <c r="C17" s="385"/>
      <c r="D17" s="391" t="s">
        <v>668</v>
      </c>
      <c r="E17" s="385"/>
      <c r="F17" s="395" t="s">
        <v>669</v>
      </c>
      <c r="G17" s="386"/>
      <c r="H17" s="392" t="s">
        <v>670</v>
      </c>
      <c r="I17" s="1280"/>
      <c r="J17" s="400" t="s">
        <v>671</v>
      </c>
      <c r="K17" s="404"/>
    </row>
    <row r="18" spans="2:11" ht="16">
      <c r="B18" s="406" t="s">
        <v>672</v>
      </c>
      <c r="C18" s="385"/>
      <c r="D18" s="392" t="s">
        <v>673</v>
      </c>
      <c r="E18" s="380"/>
      <c r="F18" s="392" t="s">
        <v>674</v>
      </c>
      <c r="G18" s="380"/>
      <c r="H18" s="395" t="s">
        <v>675</v>
      </c>
      <c r="I18" s="1474"/>
      <c r="J18" s="399"/>
      <c r="K18" s="407"/>
    </row>
    <row r="19" spans="2:11" ht="15.75" customHeight="1">
      <c r="B19" s="408" t="s">
        <v>676</v>
      </c>
      <c r="C19" s="1471"/>
      <c r="D19" s="394" t="s">
        <v>405</v>
      </c>
      <c r="E19" s="389"/>
      <c r="F19" s="396" t="s">
        <v>406</v>
      </c>
      <c r="G19" s="389"/>
      <c r="H19" s="398" t="s">
        <v>677</v>
      </c>
      <c r="I19" s="387">
        <f>E19+G19</f>
        <v>0</v>
      </c>
      <c r="J19" s="392" t="s">
        <v>315</v>
      </c>
      <c r="K19" s="1475"/>
    </row>
    <row r="20" spans="2:11" ht="17">
      <c r="B20" s="409" t="s">
        <v>678</v>
      </c>
      <c r="C20" s="253">
        <f>I19-K19</f>
        <v>0</v>
      </c>
      <c r="D20" s="415" t="s">
        <v>679</v>
      </c>
      <c r="E20" s="416">
        <f>IF(E19=0,0,C20/E19)</f>
        <v>0</v>
      </c>
      <c r="F20" s="393" t="s">
        <v>680</v>
      </c>
      <c r="G20" s="388">
        <f>IFERROR(IF(E19&lt;C19,(UOP!$D$59/Coll!E19),(UOP!$D$59/Coll!C19)),0)</f>
        <v>0</v>
      </c>
      <c r="H20" s="392" t="s">
        <v>681</v>
      </c>
      <c r="I20" s="1280"/>
      <c r="J20" s="414"/>
      <c r="K20" s="417"/>
    </row>
    <row r="21" spans="2:11" ht="18" thickBot="1">
      <c r="B21" s="410" t="s">
        <v>447</v>
      </c>
      <c r="C21" s="411"/>
      <c r="D21" s="411"/>
      <c r="E21" s="411"/>
      <c r="F21" s="412"/>
      <c r="G21" s="2805"/>
      <c r="H21" s="2805"/>
      <c r="I21" s="2805"/>
      <c r="J21" s="413"/>
      <c r="K21" s="72"/>
    </row>
    <row r="22" spans="2:11" ht="17" thickBot="1">
      <c r="B22" s="2791"/>
      <c r="C22" s="2792"/>
      <c r="D22" s="2792"/>
      <c r="E22" s="2792"/>
      <c r="F22" s="2792"/>
      <c r="G22" s="2792"/>
      <c r="H22" s="2792"/>
      <c r="I22" s="2792"/>
      <c r="J22" s="2792"/>
      <c r="K22" s="2793"/>
    </row>
    <row r="23" spans="2:11" ht="17" thickBot="1">
      <c r="B23" s="2814" t="s">
        <v>682</v>
      </c>
      <c r="C23" s="2815"/>
      <c r="D23" s="2815"/>
      <c r="E23" s="2815"/>
      <c r="F23" s="2815"/>
      <c r="G23" s="2815"/>
      <c r="H23" s="2815"/>
      <c r="I23" s="2815"/>
      <c r="J23" s="2815"/>
      <c r="K23" s="2816"/>
    </row>
    <row r="24" spans="2:11" ht="15.5" customHeight="1">
      <c r="B24" s="401" t="s">
        <v>662</v>
      </c>
      <c r="C24" s="2825"/>
      <c r="D24" s="2826"/>
      <c r="E24" s="2826"/>
      <c r="F24" s="2826"/>
      <c r="G24" s="2826"/>
      <c r="H24" s="2826"/>
      <c r="I24" s="2826"/>
      <c r="J24" s="2827"/>
      <c r="K24" s="402"/>
    </row>
    <row r="25" spans="2:11" ht="17">
      <c r="B25" s="403" t="s">
        <v>663</v>
      </c>
      <c r="C25" s="1470"/>
      <c r="D25" s="390" t="s">
        <v>664</v>
      </c>
      <c r="E25" s="1472"/>
      <c r="F25" s="390" t="s">
        <v>310</v>
      </c>
      <c r="G25" s="1473"/>
      <c r="H25" s="397" t="s">
        <v>665</v>
      </c>
      <c r="I25" s="1472"/>
      <c r="J25" s="400" t="s">
        <v>666</v>
      </c>
      <c r="K25" s="404"/>
    </row>
    <row r="26" spans="2:11" ht="17">
      <c r="B26" s="405" t="s">
        <v>667</v>
      </c>
      <c r="C26" s="385"/>
      <c r="D26" s="391" t="s">
        <v>668</v>
      </c>
      <c r="E26" s="385"/>
      <c r="F26" s="395" t="s">
        <v>669</v>
      </c>
      <c r="G26" s="386"/>
      <c r="H26" s="392" t="s">
        <v>670</v>
      </c>
      <c r="I26" s="1280"/>
      <c r="J26" s="400" t="s">
        <v>671</v>
      </c>
      <c r="K26" s="404"/>
    </row>
    <row r="27" spans="2:11" ht="16">
      <c r="B27" s="406" t="s">
        <v>672</v>
      </c>
      <c r="C27" s="385"/>
      <c r="D27" s="392" t="s">
        <v>673</v>
      </c>
      <c r="E27" s="380"/>
      <c r="F27" s="392" t="s">
        <v>674</v>
      </c>
      <c r="G27" s="380"/>
      <c r="H27" s="395" t="s">
        <v>675</v>
      </c>
      <c r="I27" s="1474"/>
      <c r="J27" s="399"/>
      <c r="K27" s="407"/>
    </row>
    <row r="28" spans="2:11" ht="15.75" customHeight="1">
      <c r="B28" s="408" t="s">
        <v>676</v>
      </c>
      <c r="C28" s="1471"/>
      <c r="D28" s="394" t="s">
        <v>405</v>
      </c>
      <c r="E28" s="389"/>
      <c r="F28" s="396" t="s">
        <v>406</v>
      </c>
      <c r="G28" s="389"/>
      <c r="H28" s="398" t="s">
        <v>677</v>
      </c>
      <c r="I28" s="387">
        <f>E28+G28</f>
        <v>0</v>
      </c>
      <c r="J28" s="392" t="s">
        <v>315</v>
      </c>
      <c r="K28" s="1475"/>
    </row>
    <row r="29" spans="2:11" ht="17">
      <c r="B29" s="409" t="s">
        <v>678</v>
      </c>
      <c r="C29" s="253">
        <f>I28-K28</f>
        <v>0</v>
      </c>
      <c r="D29" s="415" t="s">
        <v>679</v>
      </c>
      <c r="E29" s="416">
        <f>IF(E28=0,0,C29/E28)</f>
        <v>0</v>
      </c>
      <c r="F29" s="393" t="s">
        <v>680</v>
      </c>
      <c r="G29" s="388">
        <f>IFERROR(IF(E28&lt;C28,(UOP!$D$59/Coll!E28),(UOP!$D$59/Coll!C28)),0)</f>
        <v>0</v>
      </c>
      <c r="H29" s="392" t="s">
        <v>681</v>
      </c>
      <c r="I29" s="1280"/>
      <c r="J29" s="414"/>
      <c r="K29" s="417"/>
    </row>
    <row r="30" spans="2:11" ht="18" thickBot="1">
      <c r="B30" s="410" t="s">
        <v>447</v>
      </c>
      <c r="C30" s="411"/>
      <c r="D30" s="411"/>
      <c r="E30" s="411"/>
      <c r="F30" s="412"/>
      <c r="G30" s="2805"/>
      <c r="H30" s="2805"/>
      <c r="I30" s="2805"/>
      <c r="J30" s="413"/>
      <c r="K30" s="72"/>
    </row>
    <row r="31" spans="2:11" ht="16">
      <c r="B31" s="2791"/>
      <c r="C31" s="2792"/>
      <c r="D31" s="2792"/>
      <c r="E31" s="2792"/>
      <c r="F31" s="2792"/>
      <c r="G31" s="2792"/>
      <c r="H31" s="2792"/>
      <c r="I31" s="2792"/>
      <c r="J31" s="2792"/>
      <c r="K31" s="2793"/>
    </row>
    <row r="32" spans="2:11" ht="16">
      <c r="B32" s="2829" t="s">
        <v>683</v>
      </c>
      <c r="C32" s="2830"/>
      <c r="D32" s="2830"/>
      <c r="E32" s="2830"/>
      <c r="F32" s="2830"/>
      <c r="G32" s="2830"/>
      <c r="H32" s="2830"/>
      <c r="I32" s="2830"/>
      <c r="J32" s="2830"/>
      <c r="K32" s="2831"/>
    </row>
    <row r="33" spans="2:11" ht="17">
      <c r="B33" s="425" t="s">
        <v>684</v>
      </c>
      <c r="C33" s="2817"/>
      <c r="D33" s="2818"/>
      <c r="E33" s="2818"/>
      <c r="F33" s="2818"/>
      <c r="G33" s="2818"/>
      <c r="H33" s="2818"/>
      <c r="I33" s="2818"/>
      <c r="J33" s="2818"/>
      <c r="K33" s="2819"/>
    </row>
    <row r="34" spans="2:11" ht="17">
      <c r="B34" s="426" t="s">
        <v>663</v>
      </c>
      <c r="C34" s="1476"/>
      <c r="D34" s="430"/>
      <c r="E34" s="430"/>
      <c r="F34" s="430"/>
      <c r="G34" s="430"/>
      <c r="H34" s="430"/>
      <c r="I34" s="357"/>
      <c r="J34" s="357"/>
      <c r="K34" s="194"/>
    </row>
    <row r="35" spans="2:11" ht="17">
      <c r="B35" s="427" t="s">
        <v>685</v>
      </c>
      <c r="C35" s="2832"/>
      <c r="D35" s="2833"/>
      <c r="E35" s="2834"/>
      <c r="F35" s="767" t="s">
        <v>686</v>
      </c>
      <c r="G35" s="2809"/>
      <c r="H35" s="2810"/>
      <c r="I35" s="122"/>
      <c r="J35" s="122"/>
      <c r="K35" s="195"/>
    </row>
    <row r="36" spans="2:11" ht="17">
      <c r="B36" s="428" t="s">
        <v>687</v>
      </c>
      <c r="C36" s="2811"/>
      <c r="D36" s="2812"/>
      <c r="E36" s="2812"/>
      <c r="F36" s="2812"/>
      <c r="G36" s="2812"/>
      <c r="H36" s="2813"/>
      <c r="I36" s="122"/>
      <c r="J36" s="122"/>
      <c r="K36" s="195"/>
    </row>
    <row r="37" spans="2:11" ht="17">
      <c r="B37" s="427" t="s">
        <v>312</v>
      </c>
      <c r="C37" s="8">
        <v>0</v>
      </c>
      <c r="D37" s="767"/>
      <c r="E37" s="767" t="s">
        <v>688</v>
      </c>
      <c r="F37" s="9">
        <v>0</v>
      </c>
      <c r="G37" s="2804" t="s">
        <v>689</v>
      </c>
      <c r="H37" s="2804"/>
      <c r="I37" s="8">
        <f>C37*F37</f>
        <v>0</v>
      </c>
      <c r="J37" s="122"/>
      <c r="K37" s="195"/>
    </row>
    <row r="38" spans="2:11" ht="17">
      <c r="B38" s="427" t="s">
        <v>310</v>
      </c>
      <c r="C38" s="10"/>
      <c r="D38" s="2820" t="s">
        <v>690</v>
      </c>
      <c r="E38" s="2821"/>
      <c r="F38" s="11"/>
      <c r="G38" s="2804" t="s">
        <v>315</v>
      </c>
      <c r="H38" s="2804"/>
      <c r="I38" s="8">
        <v>0</v>
      </c>
      <c r="J38" s="122"/>
      <c r="K38" s="195"/>
    </row>
    <row r="39" spans="2:11" ht="16">
      <c r="B39" s="429"/>
      <c r="C39" s="432"/>
      <c r="D39" s="431"/>
      <c r="E39" s="431"/>
      <c r="F39" s="768"/>
      <c r="G39" s="2804" t="s">
        <v>691</v>
      </c>
      <c r="H39" s="2804"/>
      <c r="I39" s="8">
        <f>I37-I38</f>
        <v>0</v>
      </c>
      <c r="J39" s="122"/>
      <c r="K39" s="195"/>
    </row>
    <row r="40" spans="2:11" ht="17">
      <c r="B40" s="433" t="s">
        <v>447</v>
      </c>
      <c r="C40" s="769"/>
      <c r="D40" s="769"/>
      <c r="E40" s="769"/>
      <c r="F40" s="770"/>
      <c r="G40" s="2794"/>
      <c r="H40" s="2794"/>
      <c r="I40" s="2794"/>
      <c r="J40" s="771"/>
      <c r="K40" s="195"/>
    </row>
    <row r="41" spans="2:11" ht="15.5" customHeight="1">
      <c r="B41" s="2795"/>
      <c r="C41" s="2796"/>
      <c r="D41" s="2796"/>
      <c r="E41" s="2796"/>
      <c r="F41" s="2796"/>
      <c r="G41" s="2796"/>
      <c r="H41" s="2796"/>
      <c r="I41" s="2796"/>
      <c r="J41" s="2796"/>
      <c r="K41" s="2797"/>
    </row>
    <row r="42" spans="2:11" ht="15.5" customHeight="1">
      <c r="B42" s="772"/>
      <c r="C42" s="29"/>
      <c r="D42" s="29"/>
      <c r="E42" s="29"/>
      <c r="F42" s="29"/>
      <c r="G42" s="29"/>
      <c r="H42" s="29"/>
      <c r="I42" s="29"/>
      <c r="J42" s="29"/>
      <c r="K42" s="30"/>
    </row>
    <row r="43" spans="2:11" ht="15.5" customHeight="1">
      <c r="B43" s="425" t="s">
        <v>684</v>
      </c>
      <c r="C43" s="2817"/>
      <c r="D43" s="2818"/>
      <c r="E43" s="2818"/>
      <c r="F43" s="2818"/>
      <c r="G43" s="2818"/>
      <c r="H43" s="2818"/>
      <c r="I43" s="2818"/>
      <c r="J43" s="2818"/>
      <c r="K43" s="2819"/>
    </row>
    <row r="44" spans="2:11" ht="17">
      <c r="B44" s="426" t="s">
        <v>663</v>
      </c>
      <c r="C44" s="1476"/>
      <c r="D44" s="430"/>
      <c r="E44" s="430"/>
      <c r="F44" s="430"/>
      <c r="G44" s="430"/>
      <c r="H44" s="430"/>
      <c r="I44" s="357"/>
      <c r="J44" s="357"/>
      <c r="K44" s="194"/>
    </row>
    <row r="45" spans="2:11" ht="17">
      <c r="B45" s="427" t="s">
        <v>685</v>
      </c>
      <c r="C45" s="2832"/>
      <c r="D45" s="2833"/>
      <c r="E45" s="2834"/>
      <c r="F45" s="767" t="s">
        <v>686</v>
      </c>
      <c r="G45" s="2809"/>
      <c r="H45" s="2810"/>
      <c r="I45" s="122"/>
      <c r="J45" s="122"/>
      <c r="K45" s="195"/>
    </row>
    <row r="46" spans="2:11" ht="17">
      <c r="B46" s="428" t="s">
        <v>687</v>
      </c>
      <c r="C46" s="2811"/>
      <c r="D46" s="2812"/>
      <c r="E46" s="2812"/>
      <c r="F46" s="2812"/>
      <c r="G46" s="2812"/>
      <c r="H46" s="2813"/>
      <c r="I46" s="122"/>
      <c r="J46" s="122"/>
      <c r="K46" s="195"/>
    </row>
    <row r="47" spans="2:11" ht="15.5" customHeight="1">
      <c r="B47" s="427" t="s">
        <v>312</v>
      </c>
      <c r="C47" s="8">
        <v>0</v>
      </c>
      <c r="D47" s="767"/>
      <c r="E47" s="767" t="s">
        <v>688</v>
      </c>
      <c r="F47" s="9">
        <v>0</v>
      </c>
      <c r="G47" s="2804" t="s">
        <v>689</v>
      </c>
      <c r="H47" s="2804"/>
      <c r="I47" s="8">
        <f>C47*F47</f>
        <v>0</v>
      </c>
      <c r="J47" s="122"/>
      <c r="K47" s="195"/>
    </row>
    <row r="48" spans="2:11" ht="17">
      <c r="B48" s="427" t="s">
        <v>310</v>
      </c>
      <c r="C48" s="10"/>
      <c r="D48" s="2820" t="s">
        <v>690</v>
      </c>
      <c r="E48" s="2821"/>
      <c r="F48" s="11"/>
      <c r="G48" s="2804" t="s">
        <v>315</v>
      </c>
      <c r="H48" s="2804"/>
      <c r="I48" s="8">
        <v>0</v>
      </c>
      <c r="J48" s="122"/>
      <c r="K48" s="195"/>
    </row>
    <row r="49" spans="2:11" ht="16">
      <c r="B49" s="429"/>
      <c r="C49" s="432"/>
      <c r="D49" s="431"/>
      <c r="E49" s="431"/>
      <c r="F49" s="768"/>
      <c r="G49" s="2804" t="s">
        <v>691</v>
      </c>
      <c r="H49" s="2804"/>
      <c r="I49" s="8">
        <f>I47-I48</f>
        <v>0</v>
      </c>
      <c r="J49" s="122"/>
      <c r="K49" s="195"/>
    </row>
    <row r="50" spans="2:11" ht="17">
      <c r="B50" s="433" t="s">
        <v>447</v>
      </c>
      <c r="C50" s="769"/>
      <c r="D50" s="769"/>
      <c r="E50" s="769"/>
      <c r="F50" s="770"/>
      <c r="G50" s="2794"/>
      <c r="H50" s="2794"/>
      <c r="I50" s="2794"/>
      <c r="J50" s="771"/>
      <c r="K50" s="195"/>
    </row>
    <row r="51" spans="2:11" ht="16">
      <c r="B51" s="2795"/>
      <c r="C51" s="2796"/>
      <c r="D51" s="2796"/>
      <c r="E51" s="2796"/>
      <c r="F51" s="2796"/>
      <c r="G51" s="2796"/>
      <c r="H51" s="2796"/>
      <c r="I51" s="2796"/>
      <c r="J51" s="2796"/>
      <c r="K51" s="2797"/>
    </row>
    <row r="52" spans="2:11" ht="16">
      <c r="B52" s="772"/>
      <c r="C52" s="29"/>
      <c r="D52" s="29"/>
      <c r="E52" s="29"/>
      <c r="F52" s="29"/>
      <c r="G52" s="29"/>
      <c r="H52" s="29"/>
      <c r="I52" s="29"/>
      <c r="J52" s="29"/>
      <c r="K52" s="30"/>
    </row>
    <row r="53" spans="2:11" ht="17">
      <c r="B53" s="425" t="s">
        <v>684</v>
      </c>
      <c r="C53" s="2817"/>
      <c r="D53" s="2818"/>
      <c r="E53" s="2818"/>
      <c r="F53" s="2818"/>
      <c r="G53" s="2818"/>
      <c r="H53" s="2818"/>
      <c r="I53" s="2818"/>
      <c r="J53" s="2818"/>
      <c r="K53" s="2819"/>
    </row>
    <row r="54" spans="2:11" ht="17">
      <c r="B54" s="426" t="s">
        <v>663</v>
      </c>
      <c r="C54" s="1476"/>
      <c r="D54" s="430"/>
      <c r="E54" s="430"/>
      <c r="F54" s="430"/>
      <c r="G54" s="430"/>
      <c r="H54" s="430"/>
      <c r="I54" s="357"/>
      <c r="J54" s="357"/>
      <c r="K54" s="194"/>
    </row>
    <row r="55" spans="2:11" ht="17">
      <c r="B55" s="427" t="s">
        <v>685</v>
      </c>
      <c r="C55" s="2832"/>
      <c r="D55" s="2833"/>
      <c r="E55" s="2834"/>
      <c r="F55" s="767" t="s">
        <v>686</v>
      </c>
      <c r="G55" s="2809"/>
      <c r="H55" s="2810"/>
      <c r="I55" s="122"/>
      <c r="J55" s="122"/>
      <c r="K55" s="195"/>
    </row>
    <row r="56" spans="2:11" ht="17">
      <c r="B56" s="428" t="s">
        <v>687</v>
      </c>
      <c r="C56" s="2811"/>
      <c r="D56" s="2812"/>
      <c r="E56" s="2812"/>
      <c r="F56" s="2812"/>
      <c r="G56" s="2812"/>
      <c r="H56" s="2813"/>
      <c r="I56" s="122"/>
      <c r="J56" s="122"/>
      <c r="K56" s="195"/>
    </row>
    <row r="57" spans="2:11" ht="15.5" customHeight="1">
      <c r="B57" s="427" t="s">
        <v>312</v>
      </c>
      <c r="C57" s="8">
        <v>0</v>
      </c>
      <c r="D57" s="767"/>
      <c r="E57" s="767" t="s">
        <v>688</v>
      </c>
      <c r="F57" s="9">
        <v>0</v>
      </c>
      <c r="G57" s="2804" t="s">
        <v>689</v>
      </c>
      <c r="H57" s="2804"/>
      <c r="I57" s="8">
        <f>C57*F57</f>
        <v>0</v>
      </c>
      <c r="J57" s="122"/>
      <c r="K57" s="195"/>
    </row>
    <row r="58" spans="2:11" ht="17">
      <c r="B58" s="427" t="s">
        <v>310</v>
      </c>
      <c r="C58" s="10"/>
      <c r="D58" s="2820" t="s">
        <v>690</v>
      </c>
      <c r="E58" s="2821"/>
      <c r="F58" s="11"/>
      <c r="G58" s="2804" t="s">
        <v>315</v>
      </c>
      <c r="H58" s="2804"/>
      <c r="I58" s="8">
        <v>0</v>
      </c>
      <c r="J58" s="122"/>
      <c r="K58" s="195"/>
    </row>
    <row r="59" spans="2:11" ht="16">
      <c r="B59" s="429"/>
      <c r="C59" s="432"/>
      <c r="D59" s="431"/>
      <c r="E59" s="431"/>
      <c r="F59" s="768"/>
      <c r="G59" s="2804" t="s">
        <v>691</v>
      </c>
      <c r="H59" s="2804"/>
      <c r="I59" s="8">
        <f>I57-I58</f>
        <v>0</v>
      </c>
      <c r="J59" s="122"/>
      <c r="K59" s="195"/>
    </row>
    <row r="60" spans="2:11" ht="17">
      <c r="B60" s="433" t="s">
        <v>447</v>
      </c>
      <c r="C60" s="769"/>
      <c r="D60" s="769"/>
      <c r="E60" s="769"/>
      <c r="F60" s="770"/>
      <c r="G60" s="2794"/>
      <c r="H60" s="2794"/>
      <c r="I60" s="2794"/>
      <c r="J60" s="771"/>
      <c r="K60" s="195"/>
    </row>
    <row r="61" spans="2:11" ht="16">
      <c r="B61" s="2795"/>
      <c r="C61" s="2796"/>
      <c r="D61" s="2796"/>
      <c r="E61" s="2796"/>
      <c r="F61" s="2796"/>
      <c r="G61" s="2796"/>
      <c r="H61" s="2796"/>
      <c r="I61" s="2796"/>
      <c r="J61" s="2796"/>
      <c r="K61" s="2797"/>
    </row>
    <row r="62" spans="2:11" ht="16">
      <c r="B62" s="772"/>
      <c r="C62" s="29"/>
      <c r="D62" s="29"/>
      <c r="E62" s="29"/>
      <c r="F62" s="29"/>
      <c r="G62" s="29"/>
      <c r="H62" s="29"/>
      <c r="I62" s="29"/>
      <c r="J62" s="29"/>
      <c r="K62" s="30"/>
    </row>
    <row r="63" spans="2:11" ht="17">
      <c r="B63" s="425" t="s">
        <v>684</v>
      </c>
      <c r="C63" s="2817"/>
      <c r="D63" s="2818"/>
      <c r="E63" s="2818"/>
      <c r="F63" s="2818"/>
      <c r="G63" s="2818"/>
      <c r="H63" s="2818"/>
      <c r="I63" s="2818"/>
      <c r="J63" s="2818"/>
      <c r="K63" s="2819"/>
    </row>
    <row r="64" spans="2:11" ht="17">
      <c r="B64" s="426" t="s">
        <v>663</v>
      </c>
      <c r="C64" s="1476"/>
      <c r="D64" s="430"/>
      <c r="E64" s="430"/>
      <c r="F64" s="430"/>
      <c r="G64" s="430"/>
      <c r="H64" s="430"/>
      <c r="I64" s="357"/>
      <c r="J64" s="357"/>
      <c r="K64" s="194"/>
    </row>
    <row r="65" spans="2:11" ht="17">
      <c r="B65" s="427" t="s">
        <v>685</v>
      </c>
      <c r="C65" s="2832"/>
      <c r="D65" s="2833"/>
      <c r="E65" s="2834"/>
      <c r="F65" s="767" t="s">
        <v>686</v>
      </c>
      <c r="G65" s="2809"/>
      <c r="H65" s="2810"/>
      <c r="I65" s="122"/>
      <c r="J65" s="122"/>
      <c r="K65" s="195"/>
    </row>
    <row r="66" spans="2:11" ht="17">
      <c r="B66" s="428" t="s">
        <v>687</v>
      </c>
      <c r="C66" s="2811"/>
      <c r="D66" s="2812"/>
      <c r="E66" s="2812"/>
      <c r="F66" s="2812"/>
      <c r="G66" s="2812"/>
      <c r="H66" s="2813"/>
      <c r="I66" s="122"/>
      <c r="J66" s="122"/>
      <c r="K66" s="195"/>
    </row>
    <row r="67" spans="2:11" ht="15.5" customHeight="1">
      <c r="B67" s="427" t="s">
        <v>312</v>
      </c>
      <c r="C67" s="8">
        <v>0</v>
      </c>
      <c r="D67" s="767"/>
      <c r="E67" s="767" t="s">
        <v>688</v>
      </c>
      <c r="F67" s="9">
        <v>0</v>
      </c>
      <c r="G67" s="2804" t="s">
        <v>689</v>
      </c>
      <c r="H67" s="2804"/>
      <c r="I67" s="8">
        <f>C67*F67</f>
        <v>0</v>
      </c>
      <c r="J67" s="122"/>
      <c r="K67" s="195"/>
    </row>
    <row r="68" spans="2:11" ht="17">
      <c r="B68" s="427" t="s">
        <v>310</v>
      </c>
      <c r="C68" s="10"/>
      <c r="D68" s="2820" t="s">
        <v>690</v>
      </c>
      <c r="E68" s="2821"/>
      <c r="F68" s="11"/>
      <c r="G68" s="2804" t="s">
        <v>315</v>
      </c>
      <c r="H68" s="2804"/>
      <c r="I68" s="8">
        <v>0</v>
      </c>
      <c r="J68" s="122"/>
      <c r="K68" s="195"/>
    </row>
    <row r="69" spans="2:11" ht="16">
      <c r="B69" s="429"/>
      <c r="C69" s="432"/>
      <c r="D69" s="431"/>
      <c r="E69" s="431"/>
      <c r="F69" s="768"/>
      <c r="G69" s="2804" t="s">
        <v>691</v>
      </c>
      <c r="H69" s="2804"/>
      <c r="I69" s="8">
        <f>I67-I68</f>
        <v>0</v>
      </c>
      <c r="J69" s="122"/>
      <c r="K69" s="195"/>
    </row>
    <row r="70" spans="2:11" ht="17">
      <c r="B70" s="433" t="s">
        <v>447</v>
      </c>
      <c r="C70" s="769"/>
      <c r="D70" s="769"/>
      <c r="E70" s="769"/>
      <c r="F70" s="770"/>
      <c r="G70" s="2794"/>
      <c r="H70" s="2794"/>
      <c r="I70" s="2794"/>
      <c r="J70" s="771"/>
      <c r="K70" s="195"/>
    </row>
    <row r="71" spans="2:11" ht="17" thickBot="1">
      <c r="B71" s="2795"/>
      <c r="C71" s="2796"/>
      <c r="D71" s="2796"/>
      <c r="E71" s="2796"/>
      <c r="F71" s="2796"/>
      <c r="G71" s="2796"/>
      <c r="H71" s="2796"/>
      <c r="I71" s="2796"/>
      <c r="J71" s="2796"/>
      <c r="K71" s="2797"/>
    </row>
    <row r="72" spans="2:11" ht="16">
      <c r="B72" s="2289" t="s">
        <v>308</v>
      </c>
      <c r="C72" s="2290"/>
      <c r="D72" s="2290"/>
      <c r="E72" s="2290"/>
      <c r="F72" s="2290"/>
      <c r="G72" s="2290"/>
      <c r="H72" s="2290"/>
      <c r="I72" s="2290"/>
      <c r="J72" s="2290"/>
      <c r="K72" s="2291"/>
    </row>
    <row r="73" spans="2:11" ht="34">
      <c r="B73" s="418" t="s">
        <v>266</v>
      </c>
      <c r="C73" s="419" t="s">
        <v>309</v>
      </c>
      <c r="D73" s="420" t="s">
        <v>310</v>
      </c>
      <c r="E73" s="2393" t="s">
        <v>311</v>
      </c>
      <c r="F73" s="2394"/>
      <c r="G73" s="423" t="s">
        <v>312</v>
      </c>
      <c r="H73" s="423" t="s">
        <v>313</v>
      </c>
      <c r="I73" s="423" t="s">
        <v>314</v>
      </c>
      <c r="J73" s="423" t="s">
        <v>315</v>
      </c>
      <c r="K73" s="424" t="s">
        <v>316</v>
      </c>
    </row>
    <row r="74" spans="2:11" ht="16">
      <c r="B74" s="1477" t="s">
        <v>692</v>
      </c>
      <c r="C74" s="421">
        <f>$E$6</f>
        <v>0</v>
      </c>
      <c r="D74" s="422">
        <f>$G$6</f>
        <v>0</v>
      </c>
      <c r="E74" s="2789">
        <f>$C$5</f>
        <v>0</v>
      </c>
      <c r="F74" s="2790"/>
      <c r="G74" s="1683">
        <f>IF(I9=0,C9,IF(I9&lt;C9,I9,C9))</f>
        <v>0</v>
      </c>
      <c r="H74" s="519">
        <v>0.85</v>
      </c>
      <c r="I74" s="1687">
        <f>G74*H74</f>
        <v>0</v>
      </c>
      <c r="J74" s="1683">
        <f>$K$9</f>
        <v>0</v>
      </c>
      <c r="K74" s="1688">
        <f>IF(I74-J74&lt;0,0,I74-J74)</f>
        <v>0</v>
      </c>
    </row>
    <row r="75" spans="2:11" ht="16">
      <c r="B75" s="1477" t="s">
        <v>693</v>
      </c>
      <c r="C75" s="421">
        <f>$E$16</f>
        <v>0</v>
      </c>
      <c r="D75" s="422">
        <f>$G$16</f>
        <v>0</v>
      </c>
      <c r="E75" s="2789">
        <f>$C$15</f>
        <v>0</v>
      </c>
      <c r="F75" s="2790"/>
      <c r="G75" s="1683">
        <f>IF(I19=0,C19,IF(I19&lt;C19,I19,C19))</f>
        <v>0</v>
      </c>
      <c r="H75" s="519">
        <v>0.85</v>
      </c>
      <c r="I75" s="1687">
        <f t="shared" ref="I75:I82" si="0">G75*H75</f>
        <v>0</v>
      </c>
      <c r="J75" s="1683">
        <f>$K$19</f>
        <v>0</v>
      </c>
      <c r="K75" s="1688">
        <f t="shared" ref="K75:K82" si="1">IF(I75-J75&lt;0,0,I75-J75)</f>
        <v>0</v>
      </c>
    </row>
    <row r="76" spans="2:11" ht="16">
      <c r="B76" s="1477" t="s">
        <v>694</v>
      </c>
      <c r="C76" s="421">
        <f>$E$25</f>
        <v>0</v>
      </c>
      <c r="D76" s="422">
        <f>$G$25</f>
        <v>0</v>
      </c>
      <c r="E76" s="2789">
        <f>$C$24</f>
        <v>0</v>
      </c>
      <c r="F76" s="2790"/>
      <c r="G76" s="1683">
        <f>IF(I28=0,C28,IF(I28&lt;C28,I28,C28))</f>
        <v>0</v>
      </c>
      <c r="H76" s="519">
        <v>0.85</v>
      </c>
      <c r="I76" s="1687">
        <f t="shared" si="0"/>
        <v>0</v>
      </c>
      <c r="J76" s="1683">
        <f>$K$28</f>
        <v>0</v>
      </c>
      <c r="K76" s="1688">
        <f t="shared" si="1"/>
        <v>0</v>
      </c>
    </row>
    <row r="77" spans="2:11" ht="16">
      <c r="B77" s="1478">
        <f>$G$35</f>
        <v>0</v>
      </c>
      <c r="C77" s="434"/>
      <c r="D77" s="518"/>
      <c r="E77" s="2391" t="str">
        <f t="shared" ref="E77:E82" si="2">IF(G77=0," ",$E$5)</f>
        <v xml:space="preserve"> </v>
      </c>
      <c r="F77" s="2392"/>
      <c r="G77" s="1684">
        <f>$C$37</f>
        <v>0</v>
      </c>
      <c r="H77" s="1572">
        <f>$F$37</f>
        <v>0</v>
      </c>
      <c r="I77" s="1687">
        <f t="shared" si="0"/>
        <v>0</v>
      </c>
      <c r="J77" s="1684">
        <f>$I$38</f>
        <v>0</v>
      </c>
      <c r="K77" s="1688">
        <f t="shared" si="1"/>
        <v>0</v>
      </c>
    </row>
    <row r="78" spans="2:11" ht="16">
      <c r="B78" s="1478">
        <f>$G$45</f>
        <v>0</v>
      </c>
      <c r="C78" s="434"/>
      <c r="D78" s="518"/>
      <c r="E78" s="2391" t="str">
        <f t="shared" si="2"/>
        <v xml:space="preserve"> </v>
      </c>
      <c r="F78" s="2392"/>
      <c r="G78" s="1684">
        <f>$C$47</f>
        <v>0</v>
      </c>
      <c r="H78" s="1572">
        <f>$F$47</f>
        <v>0</v>
      </c>
      <c r="I78" s="1687">
        <f t="shared" si="0"/>
        <v>0</v>
      </c>
      <c r="J78" s="1684">
        <f>$I$48</f>
        <v>0</v>
      </c>
      <c r="K78" s="1688">
        <f t="shared" si="1"/>
        <v>0</v>
      </c>
    </row>
    <row r="79" spans="2:11" ht="16">
      <c r="B79" s="1478">
        <f>$G$55</f>
        <v>0</v>
      </c>
      <c r="C79" s="434"/>
      <c r="D79" s="518"/>
      <c r="E79" s="2391" t="str">
        <f t="shared" si="2"/>
        <v xml:space="preserve"> </v>
      </c>
      <c r="F79" s="2392"/>
      <c r="G79" s="1684">
        <f>$C$57</f>
        <v>0</v>
      </c>
      <c r="H79" s="1572">
        <f>$F$57</f>
        <v>0</v>
      </c>
      <c r="I79" s="1687">
        <f t="shared" si="0"/>
        <v>0</v>
      </c>
      <c r="J79" s="1684">
        <f>$I$58</f>
        <v>0</v>
      </c>
      <c r="K79" s="1688">
        <f t="shared" si="1"/>
        <v>0</v>
      </c>
    </row>
    <row r="80" spans="2:11" ht="16">
      <c r="B80" s="1478">
        <f>$G$65</f>
        <v>0</v>
      </c>
      <c r="C80" s="434"/>
      <c r="D80" s="518"/>
      <c r="E80" s="2391" t="str">
        <f t="shared" si="2"/>
        <v xml:space="preserve"> </v>
      </c>
      <c r="F80" s="2392"/>
      <c r="G80" s="1684">
        <f>$C$67</f>
        <v>0</v>
      </c>
      <c r="H80" s="1572">
        <f>$F$67</f>
        <v>0</v>
      </c>
      <c r="I80" s="1687">
        <f t="shared" si="0"/>
        <v>0</v>
      </c>
      <c r="J80" s="1684">
        <f>$I$68</f>
        <v>0</v>
      </c>
      <c r="K80" s="1688">
        <f t="shared" si="1"/>
        <v>0</v>
      </c>
    </row>
    <row r="81" spans="2:13" ht="16">
      <c r="B81" s="1570" t="s">
        <v>218</v>
      </c>
      <c r="C81" s="434"/>
      <c r="D81" s="518"/>
      <c r="E81" s="2391" t="str">
        <f t="shared" si="2"/>
        <v xml:space="preserve"> </v>
      </c>
      <c r="F81" s="2392"/>
      <c r="G81" s="1685">
        <v>0</v>
      </c>
      <c r="H81" s="519">
        <v>0</v>
      </c>
      <c r="I81" s="1687">
        <f t="shared" si="0"/>
        <v>0</v>
      </c>
      <c r="J81" s="1685">
        <v>0</v>
      </c>
      <c r="K81" s="1688">
        <f t="shared" si="1"/>
        <v>0</v>
      </c>
    </row>
    <row r="82" spans="2:13" ht="16">
      <c r="B82" s="1571" t="s">
        <v>218</v>
      </c>
      <c r="C82" s="434"/>
      <c r="D82" s="518"/>
      <c r="E82" s="2391" t="str">
        <f t="shared" si="2"/>
        <v xml:space="preserve"> </v>
      </c>
      <c r="F82" s="2392"/>
      <c r="G82" s="1685">
        <v>0</v>
      </c>
      <c r="H82" s="519">
        <v>0</v>
      </c>
      <c r="I82" s="1687">
        <f t="shared" si="0"/>
        <v>0</v>
      </c>
      <c r="J82" s="1689">
        <v>0</v>
      </c>
      <c r="K82" s="1688">
        <f t="shared" si="1"/>
        <v>0</v>
      </c>
    </row>
    <row r="83" spans="2:13" ht="16">
      <c r="B83" s="451"/>
      <c r="C83" s="452"/>
      <c r="D83" s="452"/>
      <c r="E83" s="453"/>
      <c r="F83" s="454" t="s">
        <v>317</v>
      </c>
      <c r="G83" s="1686">
        <f>SUM(G74:G82)</f>
        <v>0</v>
      </c>
      <c r="H83" s="455"/>
      <c r="I83" s="1690">
        <f t="shared" ref="I83:K83" si="3">SUM(I74:I82)</f>
        <v>0</v>
      </c>
      <c r="J83" s="1686">
        <f>SUM(J74:J82)</f>
        <v>0</v>
      </c>
      <c r="K83" s="1691">
        <f t="shared" si="3"/>
        <v>0</v>
      </c>
    </row>
    <row r="84" spans="2:13" ht="16">
      <c r="B84" s="444"/>
      <c r="C84" s="432"/>
      <c r="D84" s="432"/>
      <c r="E84" s="445"/>
      <c r="F84" s="445"/>
      <c r="G84" s="773"/>
      <c r="H84" s="431"/>
      <c r="I84" s="431"/>
      <c r="J84" s="431"/>
      <c r="K84" s="446"/>
    </row>
    <row r="85" spans="2:13" ht="17">
      <c r="B85" s="429" t="s">
        <v>144</v>
      </c>
      <c r="C85" s="1693">
        <f>UOP!D59</f>
        <v>0</v>
      </c>
      <c r="D85" s="122"/>
      <c r="E85" s="122"/>
      <c r="F85" s="456" t="s">
        <v>318</v>
      </c>
      <c r="G85" s="449">
        <f>IFERROR((C85+J83)/G83,0)</f>
        <v>0</v>
      </c>
      <c r="H85" s="458"/>
      <c r="I85" s="122"/>
      <c r="J85" s="458" t="s">
        <v>319</v>
      </c>
      <c r="K85" s="459">
        <f>IFERROR((J83+C85)/I83,0)</f>
        <v>0</v>
      </c>
    </row>
    <row r="86" spans="2:13" ht="17">
      <c r="B86" s="429" t="s">
        <v>320</v>
      </c>
      <c r="C86" s="1694">
        <f>K83</f>
        <v>0</v>
      </c>
      <c r="D86" s="122"/>
      <c r="E86" s="122"/>
      <c r="F86" s="456" t="s">
        <v>321</v>
      </c>
      <c r="G86" s="449">
        <f>IFERROR(G83/(C85+J83),0)</f>
        <v>0</v>
      </c>
      <c r="H86" s="458"/>
      <c r="I86" s="122"/>
      <c r="J86" s="458" t="s">
        <v>322</v>
      </c>
      <c r="K86" s="459">
        <f>IFERROR(I83/(J83+C85),0)</f>
        <v>0</v>
      </c>
    </row>
    <row r="87" spans="2:13" ht="16">
      <c r="B87" s="259" t="s">
        <v>323</v>
      </c>
      <c r="C87" s="1693">
        <f>IF(C85-C86&lt;0,0,C85-C86)</f>
        <v>0</v>
      </c>
      <c r="D87" s="432"/>
      <c r="E87" s="445"/>
      <c r="F87" s="445"/>
      <c r="G87" s="773"/>
      <c r="H87" s="431"/>
      <c r="I87" s="431"/>
      <c r="J87" s="431"/>
      <c r="K87" s="446"/>
    </row>
    <row r="88" spans="2:13" ht="16">
      <c r="B88" s="168" t="s">
        <v>110</v>
      </c>
      <c r="C88" s="450">
        <f>UOP!G116</f>
        <v>0.75</v>
      </c>
      <c r="D88" s="244"/>
      <c r="E88" s="244"/>
      <c r="F88" s="460" t="s">
        <v>695</v>
      </c>
      <c r="G88" s="1695">
        <f>IF(OR(B74="Primary CRE",B74="Secondary RE"),K74,0)+IF(OR(B75="Primary CRE",B75="Secondary RE"),K75,0)+IF(OR(B76="Primary CRE",B76="Secondary RE"),K76,0)</f>
        <v>0</v>
      </c>
      <c r="H88" s="431"/>
      <c r="I88" s="431"/>
      <c r="J88" s="431"/>
      <c r="K88" s="446"/>
    </row>
    <row r="89" spans="2:13" ht="16">
      <c r="B89" s="429" t="s">
        <v>325</v>
      </c>
      <c r="C89" s="1693">
        <f>IF(C87&gt;0,C88*C87,0)</f>
        <v>0</v>
      </c>
      <c r="D89" s="432"/>
      <c r="E89" s="432"/>
      <c r="F89" s="460" t="s">
        <v>324</v>
      </c>
      <c r="G89" s="1695">
        <f>IF((C85-G88)&gt;0,C85-G88,0)</f>
        <v>0</v>
      </c>
      <c r="H89" s="431"/>
      <c r="I89" s="431"/>
      <c r="J89" s="431"/>
      <c r="K89" s="446"/>
    </row>
    <row r="90" spans="2:13" ht="16">
      <c r="B90" s="429" t="s">
        <v>326</v>
      </c>
      <c r="C90" s="1692">
        <f>IF(C89&gt;0,C87-C89,0)</f>
        <v>0</v>
      </c>
      <c r="D90" s="2390"/>
      <c r="E90" s="2390"/>
      <c r="F90" s="457"/>
      <c r="G90" s="773"/>
      <c r="H90" s="431"/>
      <c r="I90" s="431"/>
      <c r="J90" s="431"/>
      <c r="K90" s="446"/>
      <c r="M90">
        <f>1-UOP!D95</f>
        <v>1</v>
      </c>
    </row>
    <row r="91" spans="2:13" ht="17" thickBot="1">
      <c r="B91" s="436"/>
      <c r="C91" s="439"/>
      <c r="D91" s="439"/>
      <c r="E91" s="440"/>
      <c r="F91" s="440"/>
      <c r="G91" s="441"/>
      <c r="H91" s="442"/>
      <c r="I91" s="442"/>
      <c r="J91" s="442"/>
      <c r="K91" s="443"/>
    </row>
    <row r="92" spans="2:13" ht="16">
      <c r="B92" s="435"/>
      <c r="C92" s="1479"/>
      <c r="D92" s="2828" t="s">
        <v>696</v>
      </c>
      <c r="E92" s="2828"/>
      <c r="F92" s="2828"/>
      <c r="G92" s="2828"/>
      <c r="H92" s="2828"/>
      <c r="I92" s="2828"/>
      <c r="J92" s="437"/>
      <c r="K92" s="438"/>
    </row>
    <row r="93" spans="2:13" ht="17" thickBot="1">
      <c r="B93" s="436"/>
      <c r="C93" s="1480"/>
      <c r="D93" s="439" t="s">
        <v>697</v>
      </c>
      <c r="E93" s="440"/>
      <c r="F93" s="440"/>
      <c r="G93" s="441"/>
      <c r="H93" s="442"/>
      <c r="I93" s="442"/>
      <c r="J93" s="442"/>
      <c r="K93" s="443"/>
    </row>
    <row r="94" spans="2:13" ht="16">
      <c r="B94" s="444"/>
      <c r="C94" s="432"/>
      <c r="D94" s="432"/>
      <c r="E94" s="445"/>
      <c r="F94" s="445"/>
      <c r="G94" s="773"/>
      <c r="H94" s="431"/>
      <c r="I94" s="431"/>
      <c r="J94" s="431"/>
      <c r="K94" s="446"/>
    </row>
    <row r="95" spans="2:13" ht="18" thickBot="1">
      <c r="B95" s="447" t="s">
        <v>447</v>
      </c>
      <c r="C95" s="774"/>
      <c r="D95" s="774"/>
      <c r="E95" s="445"/>
      <c r="F95" s="432"/>
      <c r="G95" s="773"/>
      <c r="H95" s="445"/>
      <c r="I95" s="432"/>
      <c r="J95" s="445"/>
      <c r="K95" s="448"/>
    </row>
    <row r="96" spans="2:13" ht="52.25" customHeight="1" thickBot="1">
      <c r="B96" s="2822" t="s">
        <v>698</v>
      </c>
      <c r="C96" s="2823"/>
      <c r="D96" s="2823"/>
      <c r="E96" s="2823"/>
      <c r="F96" s="2823"/>
      <c r="G96" s="2823"/>
      <c r="H96" s="2823"/>
      <c r="I96" s="2823"/>
      <c r="J96" s="2823"/>
      <c r="K96" s="2824"/>
    </row>
    <row r="97" spans="2:11" ht="17" thickBot="1">
      <c r="B97" s="1631"/>
      <c r="C97" s="1632"/>
      <c r="D97" s="1632"/>
      <c r="E97" s="1632"/>
      <c r="F97" s="1632"/>
      <c r="G97" s="1632"/>
      <c r="H97" s="1632"/>
      <c r="I97" s="1632"/>
      <c r="J97" s="1632"/>
      <c r="K97" s="1632"/>
    </row>
    <row r="98" spans="2:11" ht="16">
      <c r="B98" s="2289" t="s">
        <v>699</v>
      </c>
      <c r="C98" s="2290"/>
      <c r="D98" s="2290"/>
      <c r="E98" s="2290"/>
      <c r="F98" s="2290"/>
      <c r="G98" s="2290"/>
      <c r="H98" s="2290"/>
      <c r="I98" s="2290"/>
      <c r="J98" s="2290"/>
      <c r="K98" s="2291"/>
    </row>
    <row r="99" spans="2:11" ht="34">
      <c r="B99" s="418" t="s">
        <v>266</v>
      </c>
      <c r="C99" s="419" t="s">
        <v>309</v>
      </c>
      <c r="D99" s="420" t="s">
        <v>310</v>
      </c>
      <c r="E99" s="2393" t="s">
        <v>311</v>
      </c>
      <c r="F99" s="2394"/>
      <c r="G99" s="423" t="s">
        <v>312</v>
      </c>
      <c r="H99" s="423" t="s">
        <v>313</v>
      </c>
      <c r="I99" s="423" t="s">
        <v>314</v>
      </c>
      <c r="J99" s="423" t="s">
        <v>315</v>
      </c>
      <c r="K99" s="424" t="s">
        <v>316</v>
      </c>
    </row>
    <row r="100" spans="2:11" ht="16">
      <c r="B100" s="1477" t="s">
        <v>692</v>
      </c>
      <c r="C100" s="421">
        <f>$E$6</f>
        <v>0</v>
      </c>
      <c r="D100" s="422">
        <f>$G$6</f>
        <v>0</v>
      </c>
      <c r="E100" s="2789">
        <f>$C$5</f>
        <v>0</v>
      </c>
      <c r="F100" s="2790"/>
      <c r="G100" s="1683">
        <f>IF(I35=0,C35,IF(I35&lt;C35,I35,C35))</f>
        <v>0</v>
      </c>
      <c r="H100" s="519">
        <v>0.85</v>
      </c>
      <c r="I100" s="1687">
        <f>G100*H100</f>
        <v>0</v>
      </c>
      <c r="J100" s="1683">
        <f>$K$9</f>
        <v>0</v>
      </c>
      <c r="K100" s="1688">
        <f>IF(I100-J100&lt;0,0,I100-J100)</f>
        <v>0</v>
      </c>
    </row>
    <row r="101" spans="2:11" ht="16">
      <c r="B101" s="1477" t="s">
        <v>693</v>
      </c>
      <c r="C101" s="421">
        <f>$E$16</f>
        <v>0</v>
      </c>
      <c r="D101" s="422">
        <f>$G$16</f>
        <v>0</v>
      </c>
      <c r="E101" s="2789">
        <f>$C$15</f>
        <v>0</v>
      </c>
      <c r="F101" s="2790"/>
      <c r="G101" s="1683">
        <f>IF(I45=0,C45,IF(I45&lt;C45,I45,C45))</f>
        <v>0</v>
      </c>
      <c r="H101" s="519">
        <v>0.85</v>
      </c>
      <c r="I101" s="1687">
        <f t="shared" ref="I101:I107" si="4">G101*H101</f>
        <v>0</v>
      </c>
      <c r="J101" s="1683">
        <f>$K$19</f>
        <v>0</v>
      </c>
      <c r="K101" s="1688">
        <f t="shared" ref="K101:K107" si="5">IF(I101-J101&lt;0,0,I101-J101)</f>
        <v>0</v>
      </c>
    </row>
    <row r="102" spans="2:11" ht="16">
      <c r="B102" s="1477" t="s">
        <v>694</v>
      </c>
      <c r="C102" s="421">
        <f>$E$25</f>
        <v>0</v>
      </c>
      <c r="D102" s="422">
        <f>$G$25</f>
        <v>0</v>
      </c>
      <c r="E102" s="2789">
        <f>$C$24</f>
        <v>0</v>
      </c>
      <c r="F102" s="2790"/>
      <c r="G102" s="1683">
        <f>IF(I54=0,C54,IF(I54&lt;C54,I54,C54))</f>
        <v>0</v>
      </c>
      <c r="H102" s="519">
        <v>0.85</v>
      </c>
      <c r="I102" s="1687">
        <f t="shared" si="4"/>
        <v>0</v>
      </c>
      <c r="J102" s="1683">
        <f>$K$28</f>
        <v>0</v>
      </c>
      <c r="K102" s="1688">
        <f t="shared" si="5"/>
        <v>0</v>
      </c>
    </row>
    <row r="103" spans="2:11" ht="16">
      <c r="B103" s="1478">
        <f>$G$35</f>
        <v>0</v>
      </c>
      <c r="C103" s="434"/>
      <c r="D103" s="518"/>
      <c r="E103" s="2391" t="str">
        <f t="shared" ref="E103:E107" si="6">IF(G103=0," ",$E$5)</f>
        <v xml:space="preserve"> </v>
      </c>
      <c r="F103" s="2392"/>
      <c r="G103" s="1684">
        <f>$C$37</f>
        <v>0</v>
      </c>
      <c r="H103" s="1572">
        <f>$F$37</f>
        <v>0</v>
      </c>
      <c r="I103" s="1687">
        <f t="shared" si="4"/>
        <v>0</v>
      </c>
      <c r="J103" s="1684">
        <f>$I$38</f>
        <v>0</v>
      </c>
      <c r="K103" s="1688">
        <f t="shared" si="5"/>
        <v>0</v>
      </c>
    </row>
    <row r="104" spans="2:11" ht="16">
      <c r="B104" s="1478">
        <f>$G$45</f>
        <v>0</v>
      </c>
      <c r="C104" s="434"/>
      <c r="D104" s="518"/>
      <c r="E104" s="2391" t="str">
        <f t="shared" si="6"/>
        <v xml:space="preserve"> </v>
      </c>
      <c r="F104" s="2392"/>
      <c r="G104" s="1684">
        <f>$C$47</f>
        <v>0</v>
      </c>
      <c r="H104" s="1572">
        <f>$F$47</f>
        <v>0</v>
      </c>
      <c r="I104" s="1687">
        <f t="shared" si="4"/>
        <v>0</v>
      </c>
      <c r="J104" s="1684">
        <f>$I$48</f>
        <v>0</v>
      </c>
      <c r="K104" s="1688">
        <f t="shared" si="5"/>
        <v>0</v>
      </c>
    </row>
    <row r="105" spans="2:11" ht="16">
      <c r="B105" s="1478">
        <f>$G$55</f>
        <v>0</v>
      </c>
      <c r="C105" s="434"/>
      <c r="D105" s="518"/>
      <c r="E105" s="2391" t="str">
        <f t="shared" si="6"/>
        <v xml:space="preserve"> </v>
      </c>
      <c r="F105" s="2392"/>
      <c r="G105" s="1684">
        <f>$C$57</f>
        <v>0</v>
      </c>
      <c r="H105" s="1572">
        <f>$F$57</f>
        <v>0</v>
      </c>
      <c r="I105" s="1687">
        <f t="shared" si="4"/>
        <v>0</v>
      </c>
      <c r="J105" s="1684">
        <f>$I$58</f>
        <v>0</v>
      </c>
      <c r="K105" s="1688">
        <f t="shared" si="5"/>
        <v>0</v>
      </c>
    </row>
    <row r="106" spans="2:11" ht="16">
      <c r="B106" s="1478">
        <f>$G$65</f>
        <v>0</v>
      </c>
      <c r="C106" s="434"/>
      <c r="D106" s="518"/>
      <c r="E106" s="2391" t="str">
        <f t="shared" si="6"/>
        <v xml:space="preserve"> </v>
      </c>
      <c r="F106" s="2392"/>
      <c r="G106" s="1684">
        <f>$C$67</f>
        <v>0</v>
      </c>
      <c r="H106" s="1572">
        <f>$F$67</f>
        <v>0</v>
      </c>
      <c r="I106" s="1687">
        <f t="shared" si="4"/>
        <v>0</v>
      </c>
      <c r="J106" s="1684">
        <f>$I$68</f>
        <v>0</v>
      </c>
      <c r="K106" s="1688">
        <f t="shared" si="5"/>
        <v>0</v>
      </c>
    </row>
    <row r="107" spans="2:11" ht="16">
      <c r="B107" s="1570" t="s">
        <v>218</v>
      </c>
      <c r="C107" s="434"/>
      <c r="D107" s="518"/>
      <c r="E107" s="2391" t="str">
        <f t="shared" si="6"/>
        <v xml:space="preserve"> </v>
      </c>
      <c r="F107" s="2392"/>
      <c r="G107" s="1685">
        <v>0</v>
      </c>
      <c r="H107" s="519">
        <v>0</v>
      </c>
      <c r="I107" s="1687">
        <f t="shared" si="4"/>
        <v>0</v>
      </c>
      <c r="J107" s="1689">
        <v>0</v>
      </c>
      <c r="K107" s="1688">
        <f t="shared" si="5"/>
        <v>0</v>
      </c>
    </row>
    <row r="108" spans="2:11" ht="16">
      <c r="B108" s="1571" t="s">
        <v>218</v>
      </c>
      <c r="C108" s="434"/>
      <c r="D108" s="518"/>
      <c r="E108" s="2391" t="str">
        <f t="shared" ref="E108" si="7">IF(G108=0," ",$E$5)</f>
        <v xml:space="preserve"> </v>
      </c>
      <c r="F108" s="2392"/>
      <c r="G108" s="1685">
        <v>0</v>
      </c>
      <c r="H108" s="519">
        <v>0</v>
      </c>
      <c r="I108" s="1687">
        <f t="shared" ref="I108" si="8">G108*H108</f>
        <v>0</v>
      </c>
      <c r="J108" s="1689">
        <v>0</v>
      </c>
      <c r="K108" s="1688">
        <f t="shared" ref="K108" si="9">IF(I108-J108&lt;0,0,I108-J108)</f>
        <v>0</v>
      </c>
    </row>
    <row r="109" spans="2:11" ht="16">
      <c r="B109" s="451"/>
      <c r="C109" s="452"/>
      <c r="D109" s="452"/>
      <c r="E109" s="453"/>
      <c r="F109" s="454" t="s">
        <v>317</v>
      </c>
      <c r="G109" s="1686">
        <f>SUM(G100:G108)</f>
        <v>0</v>
      </c>
      <c r="H109" s="455"/>
      <c r="I109" s="1690">
        <f t="shared" ref="I109" si="10">SUM(I100:I108)</f>
        <v>0</v>
      </c>
      <c r="J109" s="1686">
        <f>SUM(J100:J108)</f>
        <v>0</v>
      </c>
      <c r="K109" s="1691">
        <f t="shared" ref="K109" si="11">SUM(K100:K108)</f>
        <v>0</v>
      </c>
    </row>
    <row r="110" spans="2:11" ht="16">
      <c r="B110" s="444"/>
      <c r="C110" s="432"/>
      <c r="D110" s="432"/>
      <c r="E110" s="445"/>
      <c r="F110" s="445"/>
      <c r="G110" s="773"/>
      <c r="H110" s="431"/>
      <c r="I110" s="431"/>
      <c r="J110" s="431"/>
      <c r="K110" s="446"/>
    </row>
    <row r="111" spans="2:11" ht="17">
      <c r="B111" s="429" t="s">
        <v>144</v>
      </c>
      <c r="C111" s="1693">
        <f>UOP!D66</f>
        <v>0</v>
      </c>
      <c r="D111" s="122"/>
      <c r="E111" s="122"/>
      <c r="F111" s="456" t="s">
        <v>318</v>
      </c>
      <c r="G111" s="1697">
        <f>IFERROR((C111+J109)/G109,0)</f>
        <v>0</v>
      </c>
      <c r="H111" s="458"/>
      <c r="I111" s="122"/>
      <c r="J111" s="458" t="s">
        <v>319</v>
      </c>
      <c r="K111" s="459">
        <f>IFERROR((J109+C111)/I109,0)</f>
        <v>0</v>
      </c>
    </row>
    <row r="112" spans="2:11" ht="17">
      <c r="B112" s="429" t="s">
        <v>320</v>
      </c>
      <c r="C112" s="1694">
        <f>K109</f>
        <v>0</v>
      </c>
      <c r="D112" s="122"/>
      <c r="E112" s="122"/>
      <c r="F112" s="456" t="s">
        <v>321</v>
      </c>
      <c r="G112" s="1697">
        <f>IFERROR(G109/(C111+J109),0)</f>
        <v>0</v>
      </c>
      <c r="H112" s="458"/>
      <c r="I112" s="122"/>
      <c r="J112" s="458" t="s">
        <v>322</v>
      </c>
      <c r="K112" s="459">
        <f>IFERROR(I109/(J109+C111),0)</f>
        <v>0</v>
      </c>
    </row>
    <row r="113" spans="2:12" ht="16">
      <c r="B113" s="259" t="s">
        <v>323</v>
      </c>
      <c r="C113" s="1693">
        <f>IF(C111-C112&lt;0,0,C111-C112)</f>
        <v>0</v>
      </c>
      <c r="D113" s="432"/>
      <c r="E113" s="445"/>
      <c r="F113" s="445"/>
      <c r="G113" s="773"/>
      <c r="H113" s="431"/>
      <c r="I113" s="431"/>
      <c r="J113" s="431"/>
      <c r="K113" s="446"/>
    </row>
    <row r="114" spans="2:12" ht="16">
      <c r="B114" s="168" t="s">
        <v>110</v>
      </c>
      <c r="C114" s="1696">
        <f>UOP!G142</f>
        <v>0</v>
      </c>
      <c r="D114" s="244"/>
      <c r="E114" s="244"/>
      <c r="F114" s="460" t="s">
        <v>695</v>
      </c>
      <c r="G114" s="1695">
        <f>IF(OR(B100="Primary CRE",B100="Secondary RE"),K100,0)+IF(OR(B101="Primary CRE",B101="Secondary RE"),K101,0)+IF(OR(B102="Primary CRE",B102="Secondary RE"),K102,0)</f>
        <v>0</v>
      </c>
      <c r="H114" s="431"/>
      <c r="I114" s="431"/>
      <c r="J114" s="431"/>
      <c r="K114" s="446"/>
    </row>
    <row r="115" spans="2:12" ht="16">
      <c r="B115" s="429" t="s">
        <v>325</v>
      </c>
      <c r="C115" s="1693">
        <f>IF(C113&gt;0,C114*C113,0)</f>
        <v>0</v>
      </c>
      <c r="D115" s="432"/>
      <c r="E115" s="432"/>
      <c r="F115" s="460" t="s">
        <v>324</v>
      </c>
      <c r="G115" s="1695">
        <f>IF((C111-G114)&gt;0,C111-G114,0)</f>
        <v>0</v>
      </c>
      <c r="H115" s="431"/>
      <c r="I115" s="431"/>
      <c r="J115" s="431"/>
      <c r="K115" s="446"/>
    </row>
    <row r="116" spans="2:12" ht="16">
      <c r="B116" s="429" t="s">
        <v>326</v>
      </c>
      <c r="C116" s="1692">
        <f>IF(C115&gt;0,C113-C115,0)</f>
        <v>0</v>
      </c>
      <c r="D116" s="2390"/>
      <c r="E116" s="2390"/>
      <c r="F116" s="457"/>
      <c r="G116" s="773"/>
      <c r="H116" s="431"/>
      <c r="I116" s="431"/>
      <c r="J116" s="431"/>
      <c r="K116" s="446"/>
    </row>
    <row r="117" spans="2:12" ht="17" thickBot="1">
      <c r="B117" s="436"/>
      <c r="C117" s="439"/>
      <c r="D117" s="439"/>
      <c r="E117" s="440"/>
      <c r="F117" s="440"/>
      <c r="G117" s="441"/>
      <c r="H117" s="442"/>
      <c r="I117" s="442"/>
      <c r="J117" s="442"/>
      <c r="K117" s="443"/>
    </row>
    <row r="118" spans="2:12" ht="16">
      <c r="B118" s="1633"/>
      <c r="C118" s="1633"/>
      <c r="D118" s="1633"/>
      <c r="E118" s="1634"/>
      <c r="F118" s="1635"/>
      <c r="G118" s="1636"/>
      <c r="H118" s="1634"/>
      <c r="I118" s="1635"/>
      <c r="J118" s="1634"/>
      <c r="K118" s="1634"/>
    </row>
    <row r="119" spans="2:12" ht="16" thickBot="1"/>
    <row r="120" spans="2:12" ht="16" outlineLevel="1">
      <c r="B120" s="2289" t="s">
        <v>700</v>
      </c>
      <c r="C120" s="2290"/>
      <c r="D120" s="2290"/>
      <c r="E120" s="2290"/>
      <c r="F120" s="2290"/>
      <c r="G120" s="2290"/>
      <c r="H120" s="2290"/>
      <c r="I120" s="2290"/>
      <c r="J120" s="2290"/>
      <c r="K120" s="2291"/>
    </row>
    <row r="121" spans="2:12" outlineLevel="1">
      <c r="B121" s="121"/>
      <c r="C121" s="122"/>
      <c r="D121" s="122"/>
      <c r="E121" s="122"/>
      <c r="F121" s="122"/>
      <c r="G121" s="122"/>
      <c r="H121" s="122"/>
      <c r="I121" s="122"/>
      <c r="J121" s="122"/>
      <c r="K121" s="195"/>
    </row>
    <row r="122" spans="2:12" outlineLevel="1">
      <c r="B122" s="121"/>
      <c r="C122" s="122"/>
      <c r="D122" s="122"/>
      <c r="E122" s="122"/>
      <c r="F122" s="122"/>
      <c r="G122" s="122"/>
      <c r="H122" s="122"/>
      <c r="I122" s="122"/>
      <c r="J122" s="122"/>
      <c r="K122" s="195"/>
    </row>
    <row r="123" spans="2:12" ht="16" outlineLevel="1">
      <c r="B123" s="121"/>
      <c r="C123" s="466" t="s">
        <v>701</v>
      </c>
      <c r="D123" s="1664">
        <f>SUM(UOP!H4,UOP!H37,UOP!H56)</f>
        <v>0</v>
      </c>
      <c r="E123" s="122"/>
      <c r="F123" s="122"/>
      <c r="G123" s="466" t="s">
        <v>702</v>
      </c>
      <c r="H123" s="1669">
        <f>C9</f>
        <v>0</v>
      </c>
      <c r="I123" s="244"/>
      <c r="J123" s="244"/>
      <c r="K123" s="251"/>
      <c r="L123" s="60"/>
    </row>
    <row r="124" spans="2:12" ht="16" outlineLevel="1">
      <c r="B124" s="121"/>
      <c r="C124" s="466" t="s">
        <v>703</v>
      </c>
      <c r="D124" s="1665">
        <f>SUM(UOP!H5:H13,UOP!H34)</f>
        <v>0</v>
      </c>
      <c r="E124" s="244"/>
      <c r="F124" s="122"/>
      <c r="G124" s="244"/>
      <c r="H124" s="460"/>
      <c r="I124" s="244"/>
      <c r="J124" s="244"/>
      <c r="K124" s="251"/>
      <c r="L124" s="60"/>
    </row>
    <row r="125" spans="2:12" ht="16" outlineLevel="1">
      <c r="B125" s="121"/>
      <c r="C125" s="466" t="s">
        <v>704</v>
      </c>
      <c r="D125" s="1666">
        <f>UOP!H59</f>
        <v>0</v>
      </c>
      <c r="E125" s="1669">
        <f>+D123+D124</f>
        <v>0</v>
      </c>
      <c r="F125" s="122"/>
      <c r="G125" s="244"/>
      <c r="H125" s="460"/>
      <c r="I125" s="244"/>
      <c r="J125" s="244"/>
      <c r="K125" s="251"/>
      <c r="L125" s="60"/>
    </row>
    <row r="126" spans="2:12" ht="17" outlineLevel="1">
      <c r="B126" s="121"/>
      <c r="C126" s="466" t="s">
        <v>705</v>
      </c>
      <c r="D126" s="1666">
        <f>UOP!E59</f>
        <v>0</v>
      </c>
      <c r="E126" s="468"/>
      <c r="F126" s="122"/>
      <c r="G126" s="469" t="s">
        <v>705</v>
      </c>
      <c r="H126" s="1670">
        <f>D126</f>
        <v>0</v>
      </c>
      <c r="I126" s="468"/>
      <c r="J126" s="244"/>
      <c r="K126" s="251"/>
      <c r="L126" s="60"/>
    </row>
    <row r="127" spans="2:12" ht="16" outlineLevel="1">
      <c r="B127" s="121"/>
      <c r="C127" s="466" t="s">
        <v>706</v>
      </c>
      <c r="D127" s="1666">
        <f>UOP!F59+UOP!G59</f>
        <v>0</v>
      </c>
      <c r="E127" s="468"/>
      <c r="F127" s="122"/>
      <c r="G127" s="466" t="s">
        <v>707</v>
      </c>
      <c r="H127" s="1670">
        <f>H123-H126</f>
        <v>0</v>
      </c>
      <c r="I127" s="468"/>
      <c r="J127" s="244"/>
      <c r="K127" s="251"/>
      <c r="L127" s="60"/>
    </row>
    <row r="128" spans="2:12" ht="16" outlineLevel="1">
      <c r="B128" s="121"/>
      <c r="C128" s="466" t="s">
        <v>144</v>
      </c>
      <c r="D128" s="1667">
        <f>UOP!D59</f>
        <v>0</v>
      </c>
      <c r="E128" s="1670">
        <f>D125-D126-D127</f>
        <v>0</v>
      </c>
      <c r="F128" s="122"/>
      <c r="G128" s="460" t="s">
        <v>708</v>
      </c>
      <c r="H128" s="465">
        <f>IFERROR(H127/H123,0)</f>
        <v>0</v>
      </c>
      <c r="I128" s="2780"/>
      <c r="J128" s="2781"/>
      <c r="K128" s="2782"/>
      <c r="L128" s="60"/>
    </row>
    <row r="129" spans="2:12" ht="16" outlineLevel="1">
      <c r="B129" s="121"/>
      <c r="C129" s="466"/>
      <c r="D129" s="775"/>
      <c r="E129" s="244"/>
      <c r="F129" s="122"/>
      <c r="G129" s="460" t="s">
        <v>709</v>
      </c>
      <c r="H129" s="1343">
        <v>0.8</v>
      </c>
      <c r="I129" s="244"/>
      <c r="J129" s="244"/>
      <c r="K129" s="251"/>
      <c r="L129" s="60"/>
    </row>
    <row r="130" spans="2:12" ht="16" outlineLevel="1">
      <c r="B130" s="121"/>
      <c r="C130" s="122"/>
      <c r="D130" s="122"/>
      <c r="E130" s="244"/>
      <c r="F130" s="122"/>
      <c r="G130" s="460" t="s">
        <v>710</v>
      </c>
      <c r="H130" s="1671">
        <f>H129*H123</f>
        <v>0</v>
      </c>
      <c r="I130" s="469"/>
      <c r="J130" s="244"/>
      <c r="K130" s="470"/>
      <c r="L130" s="60"/>
    </row>
    <row r="131" spans="2:12" ht="16" outlineLevel="1">
      <c r="B131" s="121"/>
      <c r="C131" s="466" t="s">
        <v>529</v>
      </c>
      <c r="D131" s="381">
        <f>UOP!G116</f>
        <v>0.75</v>
      </c>
      <c r="E131" s="463"/>
      <c r="F131" s="122"/>
      <c r="G131" s="244" t="s">
        <v>144</v>
      </c>
      <c r="H131" s="1670">
        <f>E128</f>
        <v>0</v>
      </c>
      <c r="I131" s="469"/>
      <c r="J131" s="244"/>
      <c r="K131" s="470"/>
      <c r="L131" s="60"/>
    </row>
    <row r="132" spans="2:12" ht="17" outlineLevel="1" thickBot="1">
      <c r="B132" s="121"/>
      <c r="C132" s="460" t="s">
        <v>711</v>
      </c>
      <c r="D132" s="1668">
        <f>E128*D131</f>
        <v>0</v>
      </c>
      <c r="E132" s="244"/>
      <c r="F132" s="122"/>
      <c r="G132" s="460" t="s">
        <v>712</v>
      </c>
      <c r="H132" s="1672">
        <f>H131-H130</f>
        <v>0</v>
      </c>
      <c r="I132" s="469"/>
      <c r="J132" s="244"/>
      <c r="K132" s="470"/>
      <c r="L132" s="60"/>
    </row>
    <row r="133" spans="2:12" ht="17" outlineLevel="1" thickBot="1">
      <c r="B133" s="259"/>
      <c r="C133" s="2585" t="str">
        <f>IF(H132&lt;=D132,"THIS LOAN IS NOT HIGH LTV","THIS LOAN IS HIGH LTV")</f>
        <v>THIS LOAN IS NOT HIGH LTV</v>
      </c>
      <c r="D133" s="2586"/>
      <c r="E133" s="2586"/>
      <c r="F133" s="2586"/>
      <c r="G133" s="2586"/>
      <c r="H133" s="2587"/>
      <c r="I133" s="469"/>
      <c r="J133" s="244"/>
      <c r="K133" s="470"/>
      <c r="L133" s="60"/>
    </row>
    <row r="134" spans="2:12" ht="17" outlineLevel="1" thickBot="1">
      <c r="B134" s="471"/>
      <c r="C134" s="249" t="s">
        <v>713</v>
      </c>
      <c r="D134" s="472"/>
      <c r="E134" s="249"/>
      <c r="F134" s="249"/>
      <c r="G134" s="249"/>
      <c r="H134" s="249"/>
      <c r="I134" s="249"/>
      <c r="J134" s="249"/>
      <c r="K134" s="378"/>
      <c r="L134" s="464"/>
    </row>
    <row r="135" spans="2:12" ht="17" thickBot="1">
      <c r="B135" s="776"/>
      <c r="C135" s="777" t="s">
        <v>714</v>
      </c>
      <c r="D135" s="777"/>
      <c r="E135" s="777"/>
      <c r="F135" s="777"/>
      <c r="G135" s="777"/>
      <c r="H135" s="777"/>
      <c r="I135" s="777"/>
      <c r="J135" s="777"/>
      <c r="K135" s="778"/>
      <c r="L135" s="60"/>
    </row>
    <row r="136" spans="2:12" ht="17" thickBot="1">
      <c r="B136" s="464"/>
      <c r="C136" s="60"/>
      <c r="D136" s="60"/>
      <c r="E136" s="60"/>
      <c r="F136" s="60"/>
      <c r="G136" s="60"/>
      <c r="H136" s="60"/>
      <c r="I136" s="60"/>
      <c r="J136" s="60"/>
      <c r="K136" s="60"/>
      <c r="L136" s="60"/>
    </row>
    <row r="137" spans="2:12" ht="16" outlineLevel="1">
      <c r="B137" s="2289" t="s">
        <v>715</v>
      </c>
      <c r="C137" s="2290"/>
      <c r="D137" s="2290"/>
      <c r="E137" s="2290"/>
      <c r="F137" s="2290"/>
      <c r="G137" s="2290"/>
      <c r="H137" s="2290"/>
      <c r="I137" s="2290"/>
      <c r="J137" s="2290"/>
      <c r="K137" s="2291"/>
      <c r="L137" s="60"/>
    </row>
    <row r="138" spans="2:12" ht="16" outlineLevel="1">
      <c r="B138" s="2387" t="s">
        <v>716</v>
      </c>
      <c r="C138" s="2388"/>
      <c r="D138" s="2388"/>
      <c r="E138" s="2388"/>
      <c r="F138" s="2388"/>
      <c r="G138" s="2388"/>
      <c r="H138" s="2388"/>
      <c r="I138" s="2388"/>
      <c r="J138" s="2388"/>
      <c r="K138" s="2785"/>
      <c r="L138" s="60"/>
    </row>
    <row r="139" spans="2:12" ht="16" outlineLevel="1">
      <c r="B139" s="2786" t="s">
        <v>717</v>
      </c>
      <c r="C139" s="2787"/>
      <c r="D139" s="2787"/>
      <c r="E139" s="2787"/>
      <c r="F139" s="2787"/>
      <c r="G139" s="2787"/>
      <c r="H139" s="2787"/>
      <c r="I139" s="2787"/>
      <c r="J139" s="2787"/>
      <c r="K139" s="2788"/>
      <c r="L139" s="60"/>
    </row>
    <row r="140" spans="2:12" ht="16" outlineLevel="1" thickBot="1">
      <c r="B140" s="121"/>
      <c r="C140" s="122"/>
      <c r="D140" s="122" t="s">
        <v>103</v>
      </c>
      <c r="E140" s="122"/>
      <c r="F140" s="122"/>
      <c r="G140" s="122"/>
      <c r="H140" s="122" t="s">
        <v>718</v>
      </c>
      <c r="I140" s="122"/>
      <c r="J140" s="122"/>
      <c r="K140" s="195"/>
    </row>
    <row r="141" spans="2:12" ht="17" outlineLevel="1" thickBot="1">
      <c r="B141" s="121"/>
      <c r="C141" s="466" t="s">
        <v>719</v>
      </c>
      <c r="D141" s="1673">
        <f>UOP!$H$59-UOP!$H$6-UOP!$H$7-UOP!$H$8</f>
        <v>0</v>
      </c>
      <c r="E141" s="122"/>
      <c r="F141" s="122"/>
      <c r="G141" s="466" t="s">
        <v>702</v>
      </c>
      <c r="H141" s="1678">
        <f>C9</f>
        <v>0</v>
      </c>
      <c r="I141" s="244"/>
      <c r="J141" s="244"/>
      <c r="K141" s="251"/>
    </row>
    <row r="142" spans="2:12" ht="17" outlineLevel="1" thickBot="1">
      <c r="B142" s="121"/>
      <c r="C142" s="466" t="s">
        <v>720</v>
      </c>
      <c r="D142" s="1674">
        <f>UOP!$D$59-UOP!$D$6-UOP!$D$7-UOP!$D$8</f>
        <v>0</v>
      </c>
      <c r="E142" s="244"/>
      <c r="F142" s="122"/>
      <c r="G142" s="122"/>
      <c r="H142" s="122"/>
      <c r="I142" s="244"/>
      <c r="J142" s="244"/>
      <c r="K142" s="251"/>
    </row>
    <row r="143" spans="2:12" ht="16" outlineLevel="1">
      <c r="B143" s="121"/>
      <c r="C143" s="466" t="s">
        <v>721</v>
      </c>
      <c r="D143" s="1673">
        <f>UOP!D7</f>
        <v>0</v>
      </c>
      <c r="E143" s="244"/>
      <c r="F143" s="122"/>
      <c r="G143" s="466" t="s">
        <v>721</v>
      </c>
      <c r="H143" s="1673">
        <f>UOP!D7</f>
        <v>0</v>
      </c>
      <c r="I143" s="244"/>
      <c r="J143" s="244"/>
      <c r="K143" s="251"/>
    </row>
    <row r="144" spans="2:12" ht="16" outlineLevel="1">
      <c r="B144" s="121"/>
      <c r="C144" s="460" t="s">
        <v>722</v>
      </c>
      <c r="D144" s="1675">
        <f>UOP!H7</f>
        <v>0</v>
      </c>
      <c r="E144" s="122"/>
      <c r="F144" s="122"/>
      <c r="G144" s="460" t="s">
        <v>722</v>
      </c>
      <c r="H144" s="1675">
        <f>UOP!H7</f>
        <v>0</v>
      </c>
      <c r="I144" s="244"/>
      <c r="J144" s="244"/>
      <c r="K144" s="251"/>
    </row>
    <row r="145" spans="2:11" ht="16" outlineLevel="1">
      <c r="B145" s="121"/>
      <c r="C145" s="460" t="s">
        <v>723</v>
      </c>
      <c r="D145" s="1453"/>
      <c r="E145" s="1452"/>
      <c r="F145" s="122"/>
      <c r="G145" s="460" t="s">
        <v>723</v>
      </c>
      <c r="H145" s="1454">
        <f>D145</f>
        <v>0</v>
      </c>
      <c r="I145" s="244"/>
      <c r="J145" s="244"/>
      <c r="K145" s="251"/>
    </row>
    <row r="146" spans="2:11" ht="17" outlineLevel="1" thickBot="1">
      <c r="B146" s="121"/>
      <c r="C146" s="466" t="s">
        <v>724</v>
      </c>
      <c r="D146" s="1676">
        <f>(D143+D144)*D145</f>
        <v>0</v>
      </c>
      <c r="E146" s="244"/>
      <c r="F146" s="122"/>
      <c r="G146" s="466" t="s">
        <v>724</v>
      </c>
      <c r="H146" s="1682">
        <f>(H141+H143)*H145</f>
        <v>0</v>
      </c>
      <c r="I146" s="244"/>
      <c r="J146" s="244"/>
      <c r="K146" s="251"/>
    </row>
    <row r="147" spans="2:11" ht="17" outlineLevel="1" thickBot="1">
      <c r="B147" s="121"/>
      <c r="C147" s="460" t="s">
        <v>725</v>
      </c>
      <c r="D147" s="1677">
        <f>+D141+D142+D146</f>
        <v>0</v>
      </c>
      <c r="E147" s="244"/>
      <c r="F147" s="122"/>
      <c r="G147" s="460" t="s">
        <v>725</v>
      </c>
      <c r="H147" s="1677">
        <f>+H141+H146</f>
        <v>0</v>
      </c>
      <c r="I147" s="468"/>
      <c r="J147" s="244"/>
      <c r="K147" s="251"/>
    </row>
    <row r="148" spans="2:11" ht="17" outlineLevel="1" thickBot="1">
      <c r="B148" s="121"/>
      <c r="C148" s="122"/>
      <c r="D148" s="122"/>
      <c r="E148" s="244"/>
      <c r="F148" s="122"/>
      <c r="G148" s="466"/>
      <c r="H148" s="244"/>
      <c r="I148" s="468"/>
      <c r="J148" s="244"/>
      <c r="K148" s="251"/>
    </row>
    <row r="149" spans="2:11" ht="16" outlineLevel="1">
      <c r="B149" s="121"/>
      <c r="C149" s="244" t="s">
        <v>144</v>
      </c>
      <c r="D149" s="1679">
        <f>UOP!D59</f>
        <v>0</v>
      </c>
      <c r="E149" s="244"/>
      <c r="F149" s="122"/>
      <c r="G149" s="244" t="s">
        <v>144</v>
      </c>
      <c r="H149" s="1679">
        <f>UOP!D59</f>
        <v>0</v>
      </c>
      <c r="I149" s="2780"/>
      <c r="J149" s="2781"/>
      <c r="K149" s="2782"/>
    </row>
    <row r="150" spans="2:11" ht="16" outlineLevel="1">
      <c r="B150" s="121"/>
      <c r="C150" s="466" t="s">
        <v>726</v>
      </c>
      <c r="D150" s="1454">
        <f>IFERROR(D149/D147,0)</f>
        <v>0</v>
      </c>
      <c r="E150" s="244"/>
      <c r="F150" s="122"/>
      <c r="G150" s="466" t="s">
        <v>726</v>
      </c>
      <c r="H150" s="1456">
        <f>IFERROR(H149/H147,0)</f>
        <v>0</v>
      </c>
      <c r="I150" s="244"/>
      <c r="J150" s="244"/>
      <c r="K150" s="251"/>
    </row>
    <row r="151" spans="2:11" ht="16" outlineLevel="1">
      <c r="B151" s="121"/>
      <c r="C151" s="460" t="s">
        <v>709</v>
      </c>
      <c r="D151" s="1455"/>
      <c r="E151" s="244"/>
      <c r="F151" s="122"/>
      <c r="G151" s="460" t="s">
        <v>709</v>
      </c>
      <c r="H151" s="1455"/>
      <c r="I151" s="469"/>
      <c r="J151" s="244"/>
      <c r="K151" s="470"/>
    </row>
    <row r="152" spans="2:11" ht="16" outlineLevel="1">
      <c r="B152" s="121"/>
      <c r="C152" s="460" t="s">
        <v>710</v>
      </c>
      <c r="D152" s="1680">
        <f>D147*D151</f>
        <v>0</v>
      </c>
      <c r="E152" s="463"/>
      <c r="F152" s="122"/>
      <c r="G152" s="460" t="s">
        <v>710</v>
      </c>
      <c r="H152" s="1680">
        <f>H147*H151</f>
        <v>0</v>
      </c>
      <c r="I152" s="469"/>
      <c r="J152" s="244"/>
      <c r="K152" s="470"/>
    </row>
    <row r="153" spans="2:11" ht="17" outlineLevel="1" thickBot="1">
      <c r="B153" s="121"/>
      <c r="C153" s="460" t="s">
        <v>712</v>
      </c>
      <c r="D153" s="1681">
        <f>D149-D152</f>
        <v>0</v>
      </c>
      <c r="E153" s="244"/>
      <c r="F153" s="122"/>
      <c r="G153" s="460" t="s">
        <v>712</v>
      </c>
      <c r="H153" s="1681">
        <f>H149-H152</f>
        <v>0</v>
      </c>
      <c r="I153" s="469"/>
      <c r="J153" s="244"/>
      <c r="K153" s="470"/>
    </row>
    <row r="154" spans="2:11" ht="17" outlineLevel="1" thickBot="1">
      <c r="B154" s="248"/>
      <c r="C154" s="2783" t="str">
        <f>IF($D$149&lt;=$D$152,"THIS LOAN IS NOT HIGH LTV","THIS LOAN IS HIGH LTV")</f>
        <v>THIS LOAN IS NOT HIGH LTV</v>
      </c>
      <c r="D154" s="2398"/>
      <c r="E154" s="2784"/>
      <c r="F154" s="358"/>
      <c r="G154" s="2783" t="str">
        <f>IF($H$149&lt;=$H$152,"THIS LOAN IS NOT HIGH LTV","THIS LOAN IS HIGH LTV")</f>
        <v>THIS LOAN IS NOT HIGH LTV</v>
      </c>
      <c r="H154" s="2398"/>
      <c r="I154" s="2784"/>
      <c r="J154" s="244"/>
      <c r="K154" s="470"/>
    </row>
    <row r="155" spans="2:11" ht="17" outlineLevel="1" thickBot="1">
      <c r="B155" s="471"/>
      <c r="C155" s="761" t="s">
        <v>727</v>
      </c>
      <c r="D155" s="472"/>
      <c r="E155" s="249"/>
      <c r="F155" s="249"/>
      <c r="G155" s="249"/>
      <c r="H155" s="249"/>
      <c r="I155" s="249"/>
      <c r="J155" s="249"/>
      <c r="K155" s="378"/>
    </row>
    <row r="156" spans="2:11" ht="17" thickBot="1">
      <c r="B156" s="776"/>
      <c r="C156" s="777" t="s">
        <v>728</v>
      </c>
      <c r="D156" s="777"/>
      <c r="E156" s="777"/>
      <c r="F156" s="777"/>
      <c r="G156" s="777"/>
      <c r="H156" s="777"/>
      <c r="I156" s="777"/>
      <c r="J156" s="777"/>
      <c r="K156" s="778"/>
    </row>
    <row r="157" spans="2:11" ht="16" thickBot="1"/>
    <row r="158" spans="2:11" ht="17" thickBot="1">
      <c r="B158" s="2289" t="s">
        <v>729</v>
      </c>
      <c r="C158" s="2290"/>
      <c r="D158" s="2290"/>
      <c r="E158" s="2290"/>
      <c r="F158" s="2290"/>
      <c r="G158" s="2290"/>
      <c r="H158" s="2290"/>
      <c r="I158" s="2290"/>
      <c r="J158" s="2290"/>
      <c r="K158" s="2291"/>
    </row>
    <row r="159" spans="2:11" ht="16" thickBot="1">
      <c r="B159" s="1651" t="s">
        <v>266</v>
      </c>
      <c r="C159" s="804" t="s">
        <v>730</v>
      </c>
      <c r="D159" s="804" t="s">
        <v>731</v>
      </c>
      <c r="E159" s="804" t="s">
        <v>732</v>
      </c>
      <c r="F159" s="804" t="s">
        <v>733</v>
      </c>
      <c r="G159" s="1652"/>
      <c r="H159" s="494"/>
      <c r="I159" s="494"/>
      <c r="J159" s="494"/>
      <c r="K159" s="495"/>
    </row>
    <row r="160" spans="2:11">
      <c r="B160" s="1648"/>
      <c r="C160" s="1595"/>
      <c r="D160" s="1595"/>
      <c r="E160" s="1649"/>
      <c r="F160" s="1650">
        <f>(C160-D160)*E160</f>
        <v>0</v>
      </c>
      <c r="G160" s="122"/>
      <c r="H160" s="1655" t="s">
        <v>144</v>
      </c>
      <c r="I160" s="1660">
        <f>C85</f>
        <v>0</v>
      </c>
      <c r="J160" s="122"/>
      <c r="K160" s="195"/>
    </row>
    <row r="161" spans="2:11">
      <c r="B161" s="1644"/>
      <c r="C161" s="1596"/>
      <c r="D161" s="1596"/>
      <c r="E161" s="450"/>
      <c r="F161" s="185">
        <f t="shared" ref="F161:F166" si="12">(C161-D161)*E161</f>
        <v>0</v>
      </c>
      <c r="G161" s="122"/>
      <c r="H161" s="1656" t="s">
        <v>734</v>
      </c>
      <c r="I161" s="1661">
        <f>F167-I160</f>
        <v>0</v>
      </c>
      <c r="J161" s="122"/>
      <c r="K161" s="195"/>
    </row>
    <row r="162" spans="2:11">
      <c r="B162" s="1644"/>
      <c r="C162" s="1596"/>
      <c r="D162" s="1596"/>
      <c r="E162" s="450"/>
      <c r="F162" s="185">
        <f t="shared" si="12"/>
        <v>0</v>
      </c>
      <c r="G162" s="122"/>
      <c r="H162" s="122"/>
      <c r="I162" s="122"/>
      <c r="J162" s="122"/>
      <c r="K162" s="195"/>
    </row>
    <row r="163" spans="2:11">
      <c r="B163" s="1644"/>
      <c r="C163" s="1596"/>
      <c r="D163" s="1596"/>
      <c r="E163" s="450"/>
      <c r="F163" s="185">
        <f t="shared" si="12"/>
        <v>0</v>
      </c>
      <c r="G163" s="122"/>
      <c r="H163" s="122"/>
      <c r="I163" s="122"/>
      <c r="J163" s="122"/>
      <c r="K163" s="195"/>
    </row>
    <row r="164" spans="2:11">
      <c r="B164" s="1644"/>
      <c r="C164" s="1596"/>
      <c r="D164" s="1596"/>
      <c r="E164" s="450"/>
      <c r="F164" s="185">
        <f t="shared" si="12"/>
        <v>0</v>
      </c>
      <c r="G164" s="122"/>
      <c r="H164" s="122"/>
      <c r="I164" s="122"/>
      <c r="J164" s="122"/>
      <c r="K164" s="195"/>
    </row>
    <row r="165" spans="2:11">
      <c r="B165" s="1644"/>
      <c r="C165" s="1596"/>
      <c r="D165" s="1596"/>
      <c r="E165" s="450"/>
      <c r="F165" s="185">
        <f t="shared" si="12"/>
        <v>0</v>
      </c>
      <c r="G165" s="122"/>
      <c r="H165" s="122"/>
      <c r="I165" s="122"/>
      <c r="J165" s="122"/>
      <c r="K165" s="195"/>
    </row>
    <row r="166" spans="2:11">
      <c r="B166" s="1644"/>
      <c r="C166" s="1596"/>
      <c r="D166" s="1596"/>
      <c r="E166" s="450"/>
      <c r="F166" s="185">
        <f t="shared" si="12"/>
        <v>0</v>
      </c>
      <c r="G166" s="122"/>
      <c r="H166" s="122"/>
      <c r="I166" s="122"/>
      <c r="J166" s="122"/>
      <c r="K166" s="195"/>
    </row>
    <row r="167" spans="2:11" ht="16" thickBot="1">
      <c r="B167" s="1646"/>
      <c r="C167" s="1645"/>
      <c r="D167" s="1645"/>
      <c r="E167" s="1653" t="s">
        <v>104</v>
      </c>
      <c r="F167" s="1659">
        <f>SUM(F160:F166)</f>
        <v>0</v>
      </c>
      <c r="G167" s="124"/>
      <c r="H167" s="124"/>
      <c r="I167" s="124"/>
      <c r="J167" s="124"/>
      <c r="K167" s="491"/>
    </row>
  </sheetData>
  <sheetProtection algorithmName="SHA-512" hashValue="BZDsEfREZg2/MDfv3tDJI3ONNfnHj0ffOj7xs9/ijUXcMiZ08BlO2leFcPvo/dnALWDGWhNlJQzPLT4v5i+ifw==" saltValue="Pk5OQID7UaY4jl1ZgtgLnQ==" spinCount="100000" sheet="1" scenarios="1" formatCells="0" formatColumns="0" formatRows="0"/>
  <dataConsolidate/>
  <customSheetViews>
    <customSheetView guid="{EDC0EC15-0264-48C8-A990-093960AE8EF3}" scale="85" showGridLines="0" printArea="1">
      <selection activeCell="B77" sqref="B77:J77"/>
      <rowBreaks count="1" manualBreakCount="1">
        <brk id="65" max="9" man="1"/>
      </rowBreaks>
      <pageMargins left="0" right="0" top="0" bottom="0" header="0" footer="0"/>
      <printOptions horizontalCentered="1"/>
      <pageSetup scale="54" orientation="portrait" r:id="rId1"/>
      <headerFooter differentFirst="1">
        <firstHeader>&amp;L&amp;G&amp;C&amp;8
&amp;18Credit Memo</firstHeader>
      </headerFooter>
    </customSheetView>
    <customSheetView guid="{6E1FDEE6-49D0-4876-8C7C-09893145D2CE}" scale="85" showGridLines="0" printArea="1">
      <selection activeCell="B77" sqref="B77:J77"/>
      <rowBreaks count="1" manualBreakCount="1">
        <brk id="65" max="9" man="1"/>
      </rowBreaks>
      <pageMargins left="0" right="0" top="0" bottom="0" header="0" footer="0"/>
      <printOptions horizontalCentered="1"/>
      <pageSetup scale="54" orientation="portrait" r:id="rId2"/>
      <headerFooter differentFirst="1">
        <firstHeader>&amp;L&amp;G&amp;C&amp;8
&amp;18Credit Memo</firstHeader>
      </headerFooter>
    </customSheetView>
    <customSheetView guid="{DB1F6E98-7FCC-445F-9DA6-47D8BF8BE969}" scale="85" showGridLines="0" printArea="1">
      <selection activeCell="B77" sqref="B77:J77"/>
      <rowBreaks count="1" manualBreakCount="1">
        <brk id="65" max="9" man="1"/>
      </rowBreaks>
      <pageMargins left="0" right="0" top="0" bottom="0" header="0" footer="0"/>
      <printOptions horizontalCentered="1"/>
      <pageSetup scale="54" orientation="portrait" r:id="rId3"/>
      <headerFooter differentFirst="1">
        <firstHeader>&amp;L&amp;G&amp;C&amp;8
&amp;18Credit Memo</firstHeader>
      </headerFooter>
    </customSheetView>
    <customSheetView guid="{C02CA8E5-5D4C-45E5-BC4A-4C9BE481059B}" scale="85" showGridLines="0" printArea="1">
      <selection activeCell="M1" sqref="M1:O1"/>
      <rowBreaks count="1" manualBreakCount="1">
        <brk id="65" max="9" man="1"/>
      </rowBreaks>
      <pageMargins left="0" right="0" top="0" bottom="0" header="0" footer="0"/>
      <printOptions horizontalCentered="1"/>
      <pageSetup scale="54" orientation="portrait" r:id="rId4"/>
      <headerFooter differentFirst="1">
        <firstHeader>&amp;L&amp;G&amp;C&amp;8
&amp;18Credit Memo</firstHeader>
      </headerFooter>
    </customSheetView>
  </customSheetViews>
  <mergeCells count="92">
    <mergeCell ref="C5:J5"/>
    <mergeCell ref="C15:J15"/>
    <mergeCell ref="C24:J24"/>
    <mergeCell ref="D92:I92"/>
    <mergeCell ref="D38:E38"/>
    <mergeCell ref="D90:E90"/>
    <mergeCell ref="E81:F81"/>
    <mergeCell ref="E82:F82"/>
    <mergeCell ref="B72:K72"/>
    <mergeCell ref="B32:K32"/>
    <mergeCell ref="C35:E35"/>
    <mergeCell ref="C45:E45"/>
    <mergeCell ref="C55:E55"/>
    <mergeCell ref="C65:E65"/>
    <mergeCell ref="E73:F73"/>
    <mergeCell ref="E74:F74"/>
    <mergeCell ref="B96:K96"/>
    <mergeCell ref="E75:F75"/>
    <mergeCell ref="E76:F76"/>
    <mergeCell ref="E77:F77"/>
    <mergeCell ref="E78:F78"/>
    <mergeCell ref="E79:F79"/>
    <mergeCell ref="E80:F80"/>
    <mergeCell ref="D68:E68"/>
    <mergeCell ref="G68:H68"/>
    <mergeCell ref="G69:H69"/>
    <mergeCell ref="G48:H48"/>
    <mergeCell ref="G49:H49"/>
    <mergeCell ref="G55:H55"/>
    <mergeCell ref="C56:H56"/>
    <mergeCell ref="G65:H65"/>
    <mergeCell ref="C66:H66"/>
    <mergeCell ref="G67:H67"/>
    <mergeCell ref="B61:K61"/>
    <mergeCell ref="C63:K63"/>
    <mergeCell ref="G50:I50"/>
    <mergeCell ref="B51:K51"/>
    <mergeCell ref="G60:I60"/>
    <mergeCell ref="C53:K53"/>
    <mergeCell ref="G59:H59"/>
    <mergeCell ref="G57:H57"/>
    <mergeCell ref="G58:H58"/>
    <mergeCell ref="G47:H47"/>
    <mergeCell ref="D48:E48"/>
    <mergeCell ref="D58:E58"/>
    <mergeCell ref="B13:K13"/>
    <mergeCell ref="G45:H45"/>
    <mergeCell ref="C46:H46"/>
    <mergeCell ref="G30:I30"/>
    <mergeCell ref="G35:H35"/>
    <mergeCell ref="C36:H36"/>
    <mergeCell ref="G21:I21"/>
    <mergeCell ref="B23:K23"/>
    <mergeCell ref="C33:K33"/>
    <mergeCell ref="C43:K43"/>
    <mergeCell ref="B120:K120"/>
    <mergeCell ref="N2:P2"/>
    <mergeCell ref="B22:K22"/>
    <mergeCell ref="B31:K31"/>
    <mergeCell ref="G40:I40"/>
    <mergeCell ref="B41:K41"/>
    <mergeCell ref="B2:K2"/>
    <mergeCell ref="B4:K4"/>
    <mergeCell ref="B14:K14"/>
    <mergeCell ref="B71:K71"/>
    <mergeCell ref="G70:I70"/>
    <mergeCell ref="G37:H37"/>
    <mergeCell ref="G38:H38"/>
    <mergeCell ref="G39:H39"/>
    <mergeCell ref="B12:K12"/>
    <mergeCell ref="G11:I11"/>
    <mergeCell ref="B98:K98"/>
    <mergeCell ref="E99:F99"/>
    <mergeCell ref="E100:F100"/>
    <mergeCell ref="E101:F101"/>
    <mergeCell ref="E102:F102"/>
    <mergeCell ref="E108:F108"/>
    <mergeCell ref="D116:E116"/>
    <mergeCell ref="B158:K158"/>
    <mergeCell ref="E103:F103"/>
    <mergeCell ref="E104:F104"/>
    <mergeCell ref="E105:F105"/>
    <mergeCell ref="E106:F106"/>
    <mergeCell ref="E107:F107"/>
    <mergeCell ref="I149:K149"/>
    <mergeCell ref="B137:K137"/>
    <mergeCell ref="I128:K128"/>
    <mergeCell ref="C133:H133"/>
    <mergeCell ref="C154:E154"/>
    <mergeCell ref="G154:I154"/>
    <mergeCell ref="B138:K138"/>
    <mergeCell ref="B139:K139"/>
  </mergeCells>
  <conditionalFormatting sqref="C133:H133">
    <cfRule type="expression" dxfId="40" priority="7">
      <formula>$H$132&lt;=$D$132</formula>
    </cfRule>
    <cfRule type="expression" dxfId="39" priority="8">
      <formula>$H$132&gt;$D$132</formula>
    </cfRule>
  </conditionalFormatting>
  <conditionalFormatting sqref="C154:E154">
    <cfRule type="expression" dxfId="38" priority="21">
      <formula>$D$149&lt;=$D$152</formula>
    </cfRule>
    <cfRule type="expression" dxfId="37" priority="22">
      <formula>$D$149&gt;$D$152</formula>
    </cfRule>
  </conditionalFormatting>
  <conditionalFormatting sqref="G154:I154">
    <cfRule type="expression" dxfId="36" priority="1">
      <formula>$H$149&lt;=$H$152</formula>
    </cfRule>
    <cfRule type="expression" dxfId="35" priority="2">
      <formula>$H$149&gt;$H$152</formula>
    </cfRule>
  </conditionalFormatting>
  <printOptions horizontalCentered="1"/>
  <pageMargins left="0.7" right="0.7" top="0.75" bottom="0.75" header="0.3" footer="0.3"/>
  <pageSetup scale="38" orientation="portrait" r:id="rId5"/>
  <headerFooter differentFirst="1">
    <firstHeader>&amp;L&amp;G&amp;C&amp;8
&amp;18Credit Memo</firstHeader>
  </headerFooter>
  <rowBreaks count="1" manualBreakCount="1">
    <brk id="96" min="1" max="10" man="1"/>
  </rowBreaks>
  <drawing r:id="rId6"/>
  <legacyDrawing r:id="rId7"/>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1300-000000000000}">
          <x14:formula1>
            <xm:f>Lists!$D$30:$D$45</xm:f>
          </x14:formula1>
          <xm:sqref>E6 E16 E25</xm:sqref>
        </x14:dataValidation>
        <x14:dataValidation type="list" allowBlank="1" showInputMessage="1" showErrorMessage="1" xr:uid="{00000000-0002-0000-1300-000001000000}">
          <x14:formula1>
            <xm:f>Lists!$F$37:$F$48</xm:f>
          </x14:formula1>
          <xm:sqref>E18 E27 E8</xm:sqref>
        </x14:dataValidation>
        <x14:dataValidation type="list" allowBlank="1" showInputMessage="1" showErrorMessage="1" xr:uid="{00000000-0002-0000-1300-000003000000}">
          <x14:formula1>
            <xm:f>Lists!$C$2:$C$4</xm:f>
          </x14:formula1>
          <xm:sqref>G8 F48 F58 F68 F38 K6:K7 G18 K16:K17 G27 K25:K26</xm:sqref>
        </x14:dataValidation>
        <x14:dataValidation type="list" allowBlank="1" showInputMessage="1" showErrorMessage="1" xr:uid="{00000000-0002-0000-1300-000004000000}">
          <x14:formula1>
            <xm:f>Lists!$B$30:$B$35</xm:f>
          </x14:formula1>
          <xm:sqref>C6 C44 C54 C34 C64 C16 C25</xm:sqref>
        </x14:dataValidation>
        <x14:dataValidation type="list" allowBlank="1" showInputMessage="1" showErrorMessage="1" xr:uid="{00000000-0002-0000-1300-000005000000}">
          <x14:formula1>
            <xm:f>Lists!$C$31:$C$34</xm:f>
          </x14:formula1>
          <xm:sqref>C45 C65 C55 C35</xm:sqref>
        </x14:dataValidation>
        <x14:dataValidation type="list" allowBlank="1" showInputMessage="1" showErrorMessage="1" xr:uid="{00000000-0002-0000-1300-000006000000}">
          <x14:formula1>
            <xm:f>Lists!$E$30:$E$38</xm:f>
          </x14:formula1>
          <xm:sqref>C48 G25 G6 C38 D77:D82 G16 C58 C68 D103:D108</xm:sqref>
        </x14:dataValidation>
        <x14:dataValidation type="list" allowBlank="1" showInputMessage="1" showErrorMessage="1" xr:uid="{00000000-0002-0000-1300-000007000000}">
          <x14:formula1>
            <xm:f>Lists!$D$11:$D$13</xm:f>
          </x14:formula1>
          <xm:sqref>C92:C93</xm:sqref>
        </x14:dataValidation>
        <x14:dataValidation type="list" allowBlank="1" showInputMessage="1" showErrorMessage="1" xr:uid="{00000000-0002-0000-1300-000008000000}">
          <x14:formula1>
            <xm:f>Lists!$F$53:$F$56</xm:f>
          </x14:formula1>
          <xm:sqref>I6 I25 I16</xm:sqref>
        </x14:dataValidation>
        <x14:dataValidation type="list" allowBlank="1" showInputMessage="1" showErrorMessage="1" xr:uid="{AAE609C1-121A-4404-AD74-C9BDC4C8E257}">
          <x14:formula1>
            <xm:f>Lists!$B$71:$B$74</xm:f>
          </x14:formula1>
          <xm:sqref>B74:B76 B100:B102</xm:sqref>
        </x14:dataValidation>
        <x14:dataValidation type="list" allowBlank="1" showInputMessage="1" showErrorMessage="1" xr:uid="{BAECABA6-EC79-4F61-BF84-FDD9C8DB511E}">
          <x14:formula1>
            <xm:f>Lists!$C$71:$C$75</xm:f>
          </x14:formula1>
          <xm:sqref>D151 H151 H129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00B050"/>
    <pageSetUpPr autoPageBreaks="0"/>
  </sheetPr>
  <dimension ref="B1:P167"/>
  <sheetViews>
    <sheetView showGridLines="0" topLeftCell="A26" zoomScale="85" zoomScaleNormal="85" workbookViewId="0">
      <selection activeCell="J74" sqref="J74"/>
    </sheetView>
  </sheetViews>
  <sheetFormatPr baseColWidth="10" defaultColWidth="8.83203125" defaultRowHeight="15" outlineLevelRow="1"/>
  <cols>
    <col min="1" max="1" width="2.83203125" customWidth="1"/>
    <col min="2" max="2" width="30.1640625" customWidth="1"/>
    <col min="3" max="3" width="14.6640625" customWidth="1"/>
    <col min="4" max="4" width="24.6640625" customWidth="1"/>
    <col min="5" max="5" width="14.6640625" customWidth="1"/>
    <col min="6" max="6" width="20.6640625" customWidth="1"/>
    <col min="7" max="7" width="14.6640625" customWidth="1"/>
    <col min="8" max="9" width="18.6640625" customWidth="1"/>
    <col min="10" max="10" width="17.6640625" customWidth="1"/>
    <col min="11" max="11" width="15.6640625" customWidth="1"/>
  </cols>
  <sheetData>
    <row r="1" spans="2:16" ht="16" thickBot="1"/>
    <row r="2" spans="2:16" ht="21">
      <c r="B2" s="2798" t="s">
        <v>307</v>
      </c>
      <c r="C2" s="2799"/>
      <c r="D2" s="2799"/>
      <c r="E2" s="2799"/>
      <c r="F2" s="2799"/>
      <c r="G2" s="2799"/>
      <c r="H2" s="2799"/>
      <c r="I2" s="2799"/>
      <c r="J2" s="2799"/>
      <c r="K2" s="2800"/>
      <c r="N2" s="2533"/>
      <c r="O2" s="2533"/>
      <c r="P2" s="2533"/>
    </row>
    <row r="3" spans="2:16" ht="20">
      <c r="B3" s="54"/>
      <c r="C3" s="766"/>
      <c r="D3" s="766"/>
      <c r="E3" s="766"/>
      <c r="F3" s="766" t="s">
        <v>466</v>
      </c>
      <c r="G3" s="766"/>
      <c r="H3" s="766"/>
      <c r="I3" s="766"/>
      <c r="J3" s="766"/>
      <c r="K3" s="55"/>
      <c r="N3" s="496"/>
      <c r="O3" s="496"/>
      <c r="P3" s="496"/>
    </row>
    <row r="4" spans="2:16" ht="17" thickBot="1">
      <c r="B4" s="2801" t="s">
        <v>661</v>
      </c>
      <c r="C4" s="2802"/>
      <c r="D4" s="2802"/>
      <c r="E4" s="2802"/>
      <c r="F4" s="2802"/>
      <c r="G4" s="2802"/>
      <c r="H4" s="2802"/>
      <c r="I4" s="2802"/>
      <c r="J4" s="2802"/>
      <c r="K4" s="2803"/>
    </row>
    <row r="5" spans="2:16" ht="15.75" customHeight="1">
      <c r="B5" s="401" t="s">
        <v>662</v>
      </c>
      <c r="C5" s="2825"/>
      <c r="D5" s="2826"/>
      <c r="E5" s="2826"/>
      <c r="F5" s="2826"/>
      <c r="G5" s="2826"/>
      <c r="H5" s="2826"/>
      <c r="I5" s="2826"/>
      <c r="J5" s="2827"/>
      <c r="K5" s="402"/>
    </row>
    <row r="6" spans="2:16" ht="17">
      <c r="B6" s="403" t="s">
        <v>663</v>
      </c>
      <c r="C6" s="1470"/>
      <c r="D6" s="390" t="s">
        <v>664</v>
      </c>
      <c r="E6" s="1472"/>
      <c r="F6" s="390" t="s">
        <v>310</v>
      </c>
      <c r="G6" s="1473"/>
      <c r="H6" s="397" t="s">
        <v>665</v>
      </c>
      <c r="I6" s="1472"/>
      <c r="J6" s="400" t="s">
        <v>666</v>
      </c>
      <c r="K6" s="404"/>
    </row>
    <row r="7" spans="2:16" ht="17">
      <c r="B7" s="405" t="s">
        <v>667</v>
      </c>
      <c r="C7" s="385"/>
      <c r="D7" s="391" t="s">
        <v>668</v>
      </c>
      <c r="E7" s="385"/>
      <c r="F7" s="395" t="s">
        <v>669</v>
      </c>
      <c r="G7" s="386"/>
      <c r="H7" s="392" t="s">
        <v>670</v>
      </c>
      <c r="I7" s="1280"/>
      <c r="J7" s="400" t="s">
        <v>671</v>
      </c>
      <c r="K7" s="404"/>
    </row>
    <row r="8" spans="2:16" ht="16">
      <c r="B8" s="406" t="s">
        <v>672</v>
      </c>
      <c r="C8" s="385"/>
      <c r="D8" s="392" t="s">
        <v>673</v>
      </c>
      <c r="E8" s="380"/>
      <c r="F8" s="392" t="s">
        <v>674</v>
      </c>
      <c r="G8" s="380"/>
      <c r="H8" s="395" t="s">
        <v>675</v>
      </c>
      <c r="I8" s="1474"/>
      <c r="J8" s="399"/>
      <c r="K8" s="407"/>
    </row>
    <row r="9" spans="2:16" ht="17">
      <c r="B9" s="408" t="s">
        <v>676</v>
      </c>
      <c r="C9" s="1471"/>
      <c r="D9" s="394" t="s">
        <v>405</v>
      </c>
      <c r="E9" s="389"/>
      <c r="F9" s="396" t="s">
        <v>406</v>
      </c>
      <c r="G9" s="389"/>
      <c r="H9" s="398" t="s">
        <v>677</v>
      </c>
      <c r="I9" s="387">
        <f>E9+G9</f>
        <v>0</v>
      </c>
      <c r="J9" s="392" t="s">
        <v>315</v>
      </c>
      <c r="K9" s="1475"/>
    </row>
    <row r="10" spans="2:16" ht="17">
      <c r="B10" s="409" t="s">
        <v>678</v>
      </c>
      <c r="C10" s="253">
        <f>I9-K9</f>
        <v>0</v>
      </c>
      <c r="D10" s="415" t="s">
        <v>679</v>
      </c>
      <c r="E10" s="416">
        <f>IF(E9=0,0,C10/E9)</f>
        <v>0</v>
      </c>
      <c r="F10" s="393" t="s">
        <v>680</v>
      </c>
      <c r="G10" s="388">
        <f>IFERROR(IF(E9&lt;C9,('UOP (2)'!$D$59/Coll!E9),('UOP (2)'!$D$59/Coll!C9)),0)</f>
        <v>0</v>
      </c>
      <c r="H10" s="392" t="s">
        <v>681</v>
      </c>
      <c r="I10" s="1280"/>
      <c r="J10" s="414"/>
      <c r="K10" s="417"/>
    </row>
    <row r="11" spans="2:16" ht="18" thickBot="1">
      <c r="B11" s="410" t="s">
        <v>447</v>
      </c>
      <c r="C11" s="411"/>
      <c r="D11" s="411"/>
      <c r="E11" s="411"/>
      <c r="F11" s="412"/>
      <c r="G11" s="2805"/>
      <c r="H11" s="2805"/>
      <c r="I11" s="2805"/>
      <c r="J11" s="413"/>
      <c r="K11" s="72"/>
    </row>
    <row r="12" spans="2:16" ht="16">
      <c r="B12" s="2791"/>
      <c r="C12" s="2792"/>
      <c r="D12" s="2792"/>
      <c r="E12" s="2792"/>
      <c r="F12" s="2792"/>
      <c r="G12" s="2792"/>
      <c r="H12" s="2792"/>
      <c r="I12" s="2792"/>
      <c r="J12" s="2792"/>
      <c r="K12" s="2793"/>
    </row>
    <row r="13" spans="2:16" ht="15.5" customHeight="1" thickBot="1">
      <c r="B13" s="2837"/>
      <c r="C13" s="2838"/>
      <c r="D13" s="2838"/>
      <c r="E13" s="2838"/>
      <c r="F13" s="2838"/>
      <c r="G13" s="2838"/>
      <c r="H13" s="2838"/>
      <c r="I13" s="2838"/>
      <c r="J13" s="2838"/>
      <c r="K13" s="2839"/>
    </row>
    <row r="14" spans="2:16" ht="15.5" customHeight="1" thickBot="1">
      <c r="B14" s="2801" t="s">
        <v>682</v>
      </c>
      <c r="C14" s="2802"/>
      <c r="D14" s="2802"/>
      <c r="E14" s="2802"/>
      <c r="F14" s="2802"/>
      <c r="G14" s="2802"/>
      <c r="H14" s="2802"/>
      <c r="I14" s="2802"/>
      <c r="J14" s="2802"/>
      <c r="K14" s="2803"/>
    </row>
    <row r="15" spans="2:16" ht="15.5" customHeight="1">
      <c r="B15" s="401" t="s">
        <v>662</v>
      </c>
      <c r="C15" s="2825"/>
      <c r="D15" s="2826"/>
      <c r="E15" s="2826"/>
      <c r="F15" s="2826"/>
      <c r="G15" s="2826"/>
      <c r="H15" s="2826"/>
      <c r="I15" s="2826"/>
      <c r="J15" s="2827"/>
      <c r="K15" s="402"/>
    </row>
    <row r="16" spans="2:16" ht="17">
      <c r="B16" s="403" t="s">
        <v>663</v>
      </c>
      <c r="C16" s="1470"/>
      <c r="D16" s="390" t="s">
        <v>664</v>
      </c>
      <c r="E16" s="1472"/>
      <c r="F16" s="390" t="s">
        <v>310</v>
      </c>
      <c r="G16" s="1473"/>
      <c r="H16" s="397" t="s">
        <v>665</v>
      </c>
      <c r="I16" s="1472"/>
      <c r="J16" s="400" t="s">
        <v>666</v>
      </c>
      <c r="K16" s="404"/>
    </row>
    <row r="17" spans="2:11" ht="17">
      <c r="B17" s="405" t="s">
        <v>667</v>
      </c>
      <c r="C17" s="385"/>
      <c r="D17" s="391" t="s">
        <v>668</v>
      </c>
      <c r="E17" s="385"/>
      <c r="F17" s="395" t="s">
        <v>669</v>
      </c>
      <c r="G17" s="386"/>
      <c r="H17" s="392" t="s">
        <v>670</v>
      </c>
      <c r="I17" s="1280"/>
      <c r="J17" s="400" t="s">
        <v>671</v>
      </c>
      <c r="K17" s="404"/>
    </row>
    <row r="18" spans="2:11" ht="15.5" customHeight="1">
      <c r="B18" s="406" t="s">
        <v>672</v>
      </c>
      <c r="C18" s="385"/>
      <c r="D18" s="392" t="s">
        <v>673</v>
      </c>
      <c r="E18" s="380"/>
      <c r="F18" s="392" t="s">
        <v>674</v>
      </c>
      <c r="G18" s="380"/>
      <c r="H18" s="395" t="s">
        <v>675</v>
      </c>
      <c r="I18" s="1474"/>
      <c r="J18" s="399"/>
      <c r="K18" s="407"/>
    </row>
    <row r="19" spans="2:11" ht="17">
      <c r="B19" s="408" t="s">
        <v>676</v>
      </c>
      <c r="C19" s="1471"/>
      <c r="D19" s="394" t="s">
        <v>405</v>
      </c>
      <c r="E19" s="389"/>
      <c r="F19" s="396" t="s">
        <v>406</v>
      </c>
      <c r="G19" s="389"/>
      <c r="H19" s="398" t="s">
        <v>677</v>
      </c>
      <c r="I19" s="387">
        <f>E19+G19</f>
        <v>0</v>
      </c>
      <c r="J19" s="392" t="s">
        <v>315</v>
      </c>
      <c r="K19" s="1475"/>
    </row>
    <row r="20" spans="2:11" ht="17">
      <c r="B20" s="409" t="s">
        <v>678</v>
      </c>
      <c r="C20" s="253">
        <f>I19-K19</f>
        <v>0</v>
      </c>
      <c r="D20" s="415" t="s">
        <v>679</v>
      </c>
      <c r="E20" s="416">
        <f>IF(E19=0,0,C20/E19)</f>
        <v>0</v>
      </c>
      <c r="F20" s="393" t="s">
        <v>680</v>
      </c>
      <c r="G20" s="388">
        <f>IFERROR(IF(E19&lt;C19,('UOP (2)'!$D$59/Coll!E19),('UOP (2)'!$D$59/Coll!C19)),0)</f>
        <v>0</v>
      </c>
      <c r="H20" s="392" t="s">
        <v>681</v>
      </c>
      <c r="I20" s="1280"/>
      <c r="J20" s="414"/>
      <c r="K20" s="417"/>
    </row>
    <row r="21" spans="2:11" ht="18" thickBot="1">
      <c r="B21" s="410" t="s">
        <v>447</v>
      </c>
      <c r="C21" s="411"/>
      <c r="D21" s="411"/>
      <c r="E21" s="411"/>
      <c r="F21" s="412"/>
      <c r="G21" s="2805"/>
      <c r="H21" s="2805"/>
      <c r="I21" s="2805"/>
      <c r="J21" s="413"/>
      <c r="K21" s="72"/>
    </row>
    <row r="22" spans="2:11" ht="16">
      <c r="B22" s="2791"/>
      <c r="C22" s="2792"/>
      <c r="D22" s="2792"/>
      <c r="E22" s="2792"/>
      <c r="F22" s="2792"/>
      <c r="G22" s="2792"/>
      <c r="H22" s="2792"/>
      <c r="I22" s="2792"/>
      <c r="J22" s="2792"/>
      <c r="K22" s="2793"/>
    </row>
    <row r="23" spans="2:11" ht="17" thickBot="1">
      <c r="B23" s="2801" t="s">
        <v>682</v>
      </c>
      <c r="C23" s="2802"/>
      <c r="D23" s="2802"/>
      <c r="E23" s="2802"/>
      <c r="F23" s="2802"/>
      <c r="G23" s="2802"/>
      <c r="H23" s="2802"/>
      <c r="I23" s="2802"/>
      <c r="J23" s="2802"/>
      <c r="K23" s="2803"/>
    </row>
    <row r="24" spans="2:11" ht="17">
      <c r="B24" s="401" t="s">
        <v>662</v>
      </c>
      <c r="C24" s="2825"/>
      <c r="D24" s="2826"/>
      <c r="E24" s="2826"/>
      <c r="F24" s="2826"/>
      <c r="G24" s="2826"/>
      <c r="H24" s="2826"/>
      <c r="I24" s="2826"/>
      <c r="J24" s="2827"/>
      <c r="K24" s="402"/>
    </row>
    <row r="25" spans="2:11" ht="17">
      <c r="B25" s="403" t="s">
        <v>663</v>
      </c>
      <c r="C25" s="1470"/>
      <c r="D25" s="390" t="s">
        <v>664</v>
      </c>
      <c r="E25" s="1472"/>
      <c r="F25" s="390" t="s">
        <v>310</v>
      </c>
      <c r="G25" s="1473"/>
      <c r="H25" s="397" t="s">
        <v>665</v>
      </c>
      <c r="I25" s="1472"/>
      <c r="J25" s="400" t="s">
        <v>666</v>
      </c>
      <c r="K25" s="404"/>
    </row>
    <row r="26" spans="2:11" ht="17">
      <c r="B26" s="405" t="s">
        <v>667</v>
      </c>
      <c r="C26" s="385"/>
      <c r="D26" s="391" t="s">
        <v>668</v>
      </c>
      <c r="E26" s="385"/>
      <c r="F26" s="395" t="s">
        <v>669</v>
      </c>
      <c r="G26" s="386"/>
      <c r="H26" s="392" t="s">
        <v>670</v>
      </c>
      <c r="I26" s="1280"/>
      <c r="J26" s="400" t="s">
        <v>671</v>
      </c>
      <c r="K26" s="404"/>
    </row>
    <row r="27" spans="2:11" ht="15.5" customHeight="1">
      <c r="B27" s="406" t="s">
        <v>672</v>
      </c>
      <c r="C27" s="385"/>
      <c r="D27" s="392" t="s">
        <v>673</v>
      </c>
      <c r="E27" s="380"/>
      <c r="F27" s="392" t="s">
        <v>674</v>
      </c>
      <c r="G27" s="380"/>
      <c r="H27" s="395" t="s">
        <v>675</v>
      </c>
      <c r="I27" s="1474"/>
      <c r="J27" s="399"/>
      <c r="K27" s="407"/>
    </row>
    <row r="28" spans="2:11" ht="17">
      <c r="B28" s="408" t="s">
        <v>676</v>
      </c>
      <c r="C28" s="1471"/>
      <c r="D28" s="394" t="s">
        <v>405</v>
      </c>
      <c r="E28" s="389"/>
      <c r="F28" s="396" t="s">
        <v>406</v>
      </c>
      <c r="G28" s="389"/>
      <c r="H28" s="398" t="s">
        <v>677</v>
      </c>
      <c r="I28" s="387">
        <f>E28+G28</f>
        <v>0</v>
      </c>
      <c r="J28" s="392" t="s">
        <v>315</v>
      </c>
      <c r="K28" s="1475"/>
    </row>
    <row r="29" spans="2:11" ht="17">
      <c r="B29" s="409" t="s">
        <v>678</v>
      </c>
      <c r="C29" s="253">
        <f>I28-K28</f>
        <v>0</v>
      </c>
      <c r="D29" s="415" t="s">
        <v>679</v>
      </c>
      <c r="E29" s="416">
        <f>IF(E28=0,0,C29/E28)</f>
        <v>0</v>
      </c>
      <c r="F29" s="393" t="s">
        <v>680</v>
      </c>
      <c r="G29" s="388">
        <f>IFERROR(IF(E28&lt;C28,('UOP (2)'!$D$59/Coll!E28),('UOP (2)'!$D$59/Coll!C28)),0)</f>
        <v>0</v>
      </c>
      <c r="H29" s="392" t="s">
        <v>681</v>
      </c>
      <c r="I29" s="1280"/>
      <c r="J29" s="414"/>
      <c r="K29" s="417"/>
    </row>
    <row r="30" spans="2:11" ht="18" thickBot="1">
      <c r="B30" s="410" t="s">
        <v>447</v>
      </c>
      <c r="C30" s="411"/>
      <c r="D30" s="411"/>
      <c r="E30" s="411"/>
      <c r="F30" s="412"/>
      <c r="G30" s="2805"/>
      <c r="H30" s="2805"/>
      <c r="I30" s="2805"/>
      <c r="J30" s="413"/>
      <c r="K30" s="72"/>
    </row>
    <row r="31" spans="2:11" ht="16">
      <c r="B31" s="2791"/>
      <c r="C31" s="2792"/>
      <c r="D31" s="2792"/>
      <c r="E31" s="2792"/>
      <c r="F31" s="2792"/>
      <c r="G31" s="2792"/>
      <c r="H31" s="2792"/>
      <c r="I31" s="2792"/>
      <c r="J31" s="2792"/>
      <c r="K31" s="2793"/>
    </row>
    <row r="32" spans="2:11" ht="16">
      <c r="B32" s="2829" t="s">
        <v>683</v>
      </c>
      <c r="C32" s="2830"/>
      <c r="D32" s="2830"/>
      <c r="E32" s="2830"/>
      <c r="F32" s="2830"/>
      <c r="G32" s="2830"/>
      <c r="H32" s="2830"/>
      <c r="I32" s="2830"/>
      <c r="J32" s="2830"/>
      <c r="K32" s="2831"/>
    </row>
    <row r="33" spans="2:11" ht="17">
      <c r="B33" s="425" t="s">
        <v>684</v>
      </c>
      <c r="C33" s="2817"/>
      <c r="D33" s="2818"/>
      <c r="E33" s="2818"/>
      <c r="F33" s="2818"/>
      <c r="G33" s="2818"/>
      <c r="H33" s="2818"/>
      <c r="I33" s="2818"/>
      <c r="J33" s="2818"/>
      <c r="K33" s="2819"/>
    </row>
    <row r="34" spans="2:11" ht="17">
      <c r="B34" s="426" t="s">
        <v>663</v>
      </c>
      <c r="C34" s="1476"/>
      <c r="D34" s="430"/>
      <c r="E34" s="430"/>
      <c r="F34" s="430"/>
      <c r="G34" s="430"/>
      <c r="H34" s="430"/>
      <c r="I34" s="357"/>
      <c r="J34" s="357"/>
      <c r="K34" s="194"/>
    </row>
    <row r="35" spans="2:11" ht="17">
      <c r="B35" s="427" t="s">
        <v>685</v>
      </c>
      <c r="C35" s="2832"/>
      <c r="D35" s="2833"/>
      <c r="E35" s="2834"/>
      <c r="F35" s="767" t="s">
        <v>686</v>
      </c>
      <c r="G35" s="2809"/>
      <c r="H35" s="2810"/>
      <c r="I35" s="122"/>
      <c r="J35" s="122"/>
      <c r="K35" s="195"/>
    </row>
    <row r="36" spans="2:11" ht="17">
      <c r="B36" s="428" t="s">
        <v>687</v>
      </c>
      <c r="C36" s="2811"/>
      <c r="D36" s="2812"/>
      <c r="E36" s="2812"/>
      <c r="F36" s="2812"/>
      <c r="G36" s="2812"/>
      <c r="H36" s="2813"/>
      <c r="I36" s="122"/>
      <c r="J36" s="122"/>
      <c r="K36" s="195"/>
    </row>
    <row r="37" spans="2:11" ht="17">
      <c r="B37" s="427" t="s">
        <v>730</v>
      </c>
      <c r="C37" s="8">
        <v>0</v>
      </c>
      <c r="D37" s="767"/>
      <c r="E37" s="767" t="s">
        <v>688</v>
      </c>
      <c r="F37" s="9">
        <v>0</v>
      </c>
      <c r="G37" s="2804" t="s">
        <v>689</v>
      </c>
      <c r="H37" s="2804"/>
      <c r="I37" s="8">
        <f>C37*F37</f>
        <v>0</v>
      </c>
      <c r="J37" s="122"/>
      <c r="K37" s="195"/>
    </row>
    <row r="38" spans="2:11" ht="17">
      <c r="B38" s="427" t="s">
        <v>310</v>
      </c>
      <c r="C38" s="10"/>
      <c r="D38" s="2820" t="s">
        <v>690</v>
      </c>
      <c r="E38" s="2821"/>
      <c r="F38" s="11"/>
      <c r="G38" s="2804" t="s">
        <v>315</v>
      </c>
      <c r="H38" s="2804"/>
      <c r="I38" s="8">
        <v>0</v>
      </c>
      <c r="J38" s="122"/>
      <c r="K38" s="195"/>
    </row>
    <row r="39" spans="2:11" ht="16">
      <c r="B39" s="429"/>
      <c r="C39" s="432"/>
      <c r="D39" s="431"/>
      <c r="E39" s="431"/>
      <c r="F39" s="768"/>
      <c r="G39" s="2804" t="s">
        <v>691</v>
      </c>
      <c r="H39" s="2804"/>
      <c r="I39" s="8">
        <f>I37-I38</f>
        <v>0</v>
      </c>
      <c r="J39" s="122"/>
      <c r="K39" s="195"/>
    </row>
    <row r="40" spans="2:11" ht="17">
      <c r="B40" s="433" t="s">
        <v>447</v>
      </c>
      <c r="C40" s="769"/>
      <c r="D40" s="769"/>
      <c r="E40" s="769"/>
      <c r="F40" s="770"/>
      <c r="G40" s="2794"/>
      <c r="H40" s="2794"/>
      <c r="I40" s="2794"/>
      <c r="J40" s="771"/>
      <c r="K40" s="195"/>
    </row>
    <row r="41" spans="2:11" ht="16">
      <c r="B41" s="2795"/>
      <c r="C41" s="2796"/>
      <c r="D41" s="2796"/>
      <c r="E41" s="2796"/>
      <c r="F41" s="2796"/>
      <c r="G41" s="2796"/>
      <c r="H41" s="2796"/>
      <c r="I41" s="2796"/>
      <c r="J41" s="2796"/>
      <c r="K41" s="2797"/>
    </row>
    <row r="42" spans="2:11" ht="16">
      <c r="B42" s="772"/>
      <c r="C42" s="29"/>
      <c r="D42" s="29"/>
      <c r="E42" s="29"/>
      <c r="F42" s="29"/>
      <c r="G42" s="29"/>
      <c r="H42" s="29"/>
      <c r="I42" s="29"/>
      <c r="J42" s="29"/>
      <c r="K42" s="30"/>
    </row>
    <row r="43" spans="2:11" ht="17">
      <c r="B43" s="425" t="s">
        <v>684</v>
      </c>
      <c r="C43" s="2817"/>
      <c r="D43" s="2818"/>
      <c r="E43" s="2818"/>
      <c r="F43" s="2818"/>
      <c r="G43" s="2818"/>
      <c r="H43" s="2818"/>
      <c r="I43" s="2818"/>
      <c r="J43" s="2818"/>
      <c r="K43" s="2819"/>
    </row>
    <row r="44" spans="2:11" ht="17">
      <c r="B44" s="426" t="s">
        <v>663</v>
      </c>
      <c r="C44" s="1476"/>
      <c r="D44" s="430"/>
      <c r="E44" s="430"/>
      <c r="F44" s="430"/>
      <c r="G44" s="430"/>
      <c r="H44" s="430"/>
      <c r="I44" s="357"/>
      <c r="J44" s="357"/>
      <c r="K44" s="194"/>
    </row>
    <row r="45" spans="2:11" ht="17">
      <c r="B45" s="427" t="s">
        <v>685</v>
      </c>
      <c r="C45" s="2832"/>
      <c r="D45" s="2833"/>
      <c r="E45" s="2834"/>
      <c r="F45" s="767" t="s">
        <v>686</v>
      </c>
      <c r="G45" s="2809"/>
      <c r="H45" s="2810"/>
      <c r="I45" s="122"/>
      <c r="J45" s="122"/>
      <c r="K45" s="195"/>
    </row>
    <row r="46" spans="2:11" ht="17">
      <c r="B46" s="428" t="s">
        <v>687</v>
      </c>
      <c r="C46" s="2811"/>
      <c r="D46" s="2812"/>
      <c r="E46" s="2812"/>
      <c r="F46" s="2812"/>
      <c r="G46" s="2812"/>
      <c r="H46" s="2813"/>
      <c r="I46" s="122"/>
      <c r="J46" s="122"/>
      <c r="K46" s="195"/>
    </row>
    <row r="47" spans="2:11" ht="15.75" customHeight="1">
      <c r="B47" s="427" t="s">
        <v>730</v>
      </c>
      <c r="C47" s="8">
        <v>0</v>
      </c>
      <c r="D47" s="767"/>
      <c r="E47" s="767" t="s">
        <v>688</v>
      </c>
      <c r="F47" s="9">
        <v>0</v>
      </c>
      <c r="G47" s="2804" t="s">
        <v>689</v>
      </c>
      <c r="H47" s="2804"/>
      <c r="I47" s="8">
        <f>C47*F47</f>
        <v>0</v>
      </c>
      <c r="J47" s="122"/>
      <c r="K47" s="195"/>
    </row>
    <row r="48" spans="2:11" ht="15.5" customHeight="1">
      <c r="B48" s="427" t="s">
        <v>310</v>
      </c>
      <c r="C48" s="10"/>
      <c r="D48" s="2820" t="s">
        <v>690</v>
      </c>
      <c r="E48" s="2821"/>
      <c r="F48" s="11"/>
      <c r="G48" s="2804" t="s">
        <v>315</v>
      </c>
      <c r="H48" s="2804"/>
      <c r="I48" s="8">
        <v>0</v>
      </c>
      <c r="J48" s="122"/>
      <c r="K48" s="195"/>
    </row>
    <row r="49" spans="2:11" ht="16">
      <c r="B49" s="429"/>
      <c r="C49" s="432"/>
      <c r="D49" s="431"/>
      <c r="E49" s="431"/>
      <c r="F49" s="768"/>
      <c r="G49" s="2804" t="s">
        <v>691</v>
      </c>
      <c r="H49" s="2804"/>
      <c r="I49" s="8">
        <f>I47-I48</f>
        <v>0</v>
      </c>
      <c r="J49" s="122"/>
      <c r="K49" s="195"/>
    </row>
    <row r="50" spans="2:11" ht="17">
      <c r="B50" s="433" t="s">
        <v>447</v>
      </c>
      <c r="C50" s="769"/>
      <c r="D50" s="769"/>
      <c r="E50" s="769"/>
      <c r="F50" s="770"/>
      <c r="G50" s="2794"/>
      <c r="H50" s="2794"/>
      <c r="I50" s="2794"/>
      <c r="J50" s="771"/>
      <c r="K50" s="195"/>
    </row>
    <row r="51" spans="2:11" ht="16">
      <c r="B51" s="2795"/>
      <c r="C51" s="2796"/>
      <c r="D51" s="2796"/>
      <c r="E51" s="2796"/>
      <c r="F51" s="2796"/>
      <c r="G51" s="2796"/>
      <c r="H51" s="2796"/>
      <c r="I51" s="2796"/>
      <c r="J51" s="2796"/>
      <c r="K51" s="2797"/>
    </row>
    <row r="52" spans="2:11" ht="16">
      <c r="B52" s="772"/>
      <c r="C52" s="29"/>
      <c r="D52" s="29"/>
      <c r="E52" s="29"/>
      <c r="F52" s="29"/>
      <c r="G52" s="29"/>
      <c r="H52" s="29"/>
      <c r="I52" s="29"/>
      <c r="J52" s="29"/>
      <c r="K52" s="30"/>
    </row>
    <row r="53" spans="2:11" ht="17">
      <c r="B53" s="425" t="s">
        <v>684</v>
      </c>
      <c r="C53" s="2817"/>
      <c r="D53" s="2818"/>
      <c r="E53" s="2818"/>
      <c r="F53" s="2818"/>
      <c r="G53" s="2818"/>
      <c r="H53" s="2818"/>
      <c r="I53" s="2818"/>
      <c r="J53" s="2818"/>
      <c r="K53" s="2819"/>
    </row>
    <row r="54" spans="2:11" ht="17">
      <c r="B54" s="426" t="s">
        <v>663</v>
      </c>
      <c r="C54" s="1476"/>
      <c r="D54" s="430"/>
      <c r="E54" s="430"/>
      <c r="F54" s="430"/>
      <c r="G54" s="430"/>
      <c r="H54" s="430"/>
      <c r="I54" s="357"/>
      <c r="J54" s="357"/>
      <c r="K54" s="194"/>
    </row>
    <row r="55" spans="2:11" ht="17">
      <c r="B55" s="427" t="s">
        <v>685</v>
      </c>
      <c r="C55" s="2832"/>
      <c r="D55" s="2833"/>
      <c r="E55" s="2834"/>
      <c r="F55" s="767" t="s">
        <v>686</v>
      </c>
      <c r="G55" s="2809"/>
      <c r="H55" s="2810"/>
      <c r="I55" s="122"/>
      <c r="J55" s="122"/>
      <c r="K55" s="195"/>
    </row>
    <row r="56" spans="2:11" ht="17">
      <c r="B56" s="428" t="s">
        <v>687</v>
      </c>
      <c r="C56" s="2811"/>
      <c r="D56" s="2812"/>
      <c r="E56" s="2812"/>
      <c r="F56" s="2812"/>
      <c r="G56" s="2812"/>
      <c r="H56" s="2813"/>
      <c r="I56" s="122"/>
      <c r="J56" s="122"/>
      <c r="K56" s="195"/>
    </row>
    <row r="57" spans="2:11" ht="15.75" customHeight="1">
      <c r="B57" s="427" t="s">
        <v>730</v>
      </c>
      <c r="C57" s="8">
        <v>0</v>
      </c>
      <c r="D57" s="767"/>
      <c r="E57" s="767" t="s">
        <v>688</v>
      </c>
      <c r="F57" s="9">
        <v>0</v>
      </c>
      <c r="G57" s="2804" t="s">
        <v>689</v>
      </c>
      <c r="H57" s="2804"/>
      <c r="I57" s="8">
        <f>C57*F57</f>
        <v>0</v>
      </c>
      <c r="J57" s="122"/>
      <c r="K57" s="195"/>
    </row>
    <row r="58" spans="2:11" ht="17">
      <c r="B58" s="427" t="s">
        <v>310</v>
      </c>
      <c r="C58" s="10"/>
      <c r="D58" s="2820" t="s">
        <v>690</v>
      </c>
      <c r="E58" s="2821"/>
      <c r="F58" s="11"/>
      <c r="G58" s="2804" t="s">
        <v>315</v>
      </c>
      <c r="H58" s="2804"/>
      <c r="I58" s="8">
        <v>0</v>
      </c>
      <c r="J58" s="122"/>
      <c r="K58" s="195"/>
    </row>
    <row r="59" spans="2:11" ht="16">
      <c r="B59" s="429"/>
      <c r="C59" s="432"/>
      <c r="D59" s="431"/>
      <c r="E59" s="431"/>
      <c r="F59" s="768"/>
      <c r="G59" s="2804" t="s">
        <v>691</v>
      </c>
      <c r="H59" s="2804"/>
      <c r="I59" s="8">
        <f>I57-I58</f>
        <v>0</v>
      </c>
      <c r="J59" s="122"/>
      <c r="K59" s="195"/>
    </row>
    <row r="60" spans="2:11" ht="17">
      <c r="B60" s="433" t="s">
        <v>447</v>
      </c>
      <c r="C60" s="769"/>
      <c r="D60" s="769"/>
      <c r="E60" s="769"/>
      <c r="F60" s="770"/>
      <c r="G60" s="2794"/>
      <c r="H60" s="2794"/>
      <c r="I60" s="2794"/>
      <c r="J60" s="771"/>
      <c r="K60" s="195"/>
    </row>
    <row r="61" spans="2:11" ht="16">
      <c r="B61" s="2795"/>
      <c r="C61" s="2796"/>
      <c r="D61" s="2796"/>
      <c r="E61" s="2796"/>
      <c r="F61" s="2796"/>
      <c r="G61" s="2796"/>
      <c r="H61" s="2796"/>
      <c r="I61" s="2796"/>
      <c r="J61" s="2796"/>
      <c r="K61" s="2797"/>
    </row>
    <row r="62" spans="2:11" ht="16">
      <c r="B62" s="772"/>
      <c r="C62" s="29"/>
      <c r="D62" s="29"/>
      <c r="E62" s="29"/>
      <c r="F62" s="29"/>
      <c r="G62" s="29"/>
      <c r="H62" s="29"/>
      <c r="I62" s="29"/>
      <c r="J62" s="29"/>
      <c r="K62" s="30"/>
    </row>
    <row r="63" spans="2:11" ht="17">
      <c r="B63" s="425" t="s">
        <v>684</v>
      </c>
      <c r="C63" s="2817"/>
      <c r="D63" s="2818"/>
      <c r="E63" s="2818"/>
      <c r="F63" s="2818"/>
      <c r="G63" s="2818"/>
      <c r="H63" s="2818"/>
      <c r="I63" s="2818"/>
      <c r="J63" s="2818"/>
      <c r="K63" s="2819"/>
    </row>
    <row r="64" spans="2:11" ht="17">
      <c r="B64" s="426" t="s">
        <v>663</v>
      </c>
      <c r="C64" s="1476"/>
      <c r="D64" s="430"/>
      <c r="E64" s="430"/>
      <c r="F64" s="430"/>
      <c r="G64" s="430"/>
      <c r="H64" s="430"/>
      <c r="I64" s="357"/>
      <c r="J64" s="357"/>
      <c r="K64" s="194"/>
    </row>
    <row r="65" spans="2:11" ht="17">
      <c r="B65" s="427" t="s">
        <v>685</v>
      </c>
      <c r="C65" s="2832"/>
      <c r="D65" s="2833"/>
      <c r="E65" s="2834"/>
      <c r="F65" s="767" t="s">
        <v>686</v>
      </c>
      <c r="G65" s="2809"/>
      <c r="H65" s="2810"/>
      <c r="I65" s="122"/>
      <c r="J65" s="122"/>
      <c r="K65" s="195"/>
    </row>
    <row r="66" spans="2:11" ht="17">
      <c r="B66" s="428" t="s">
        <v>687</v>
      </c>
      <c r="C66" s="2811"/>
      <c r="D66" s="2812"/>
      <c r="E66" s="2812"/>
      <c r="F66" s="2812"/>
      <c r="G66" s="2812"/>
      <c r="H66" s="2813"/>
      <c r="I66" s="122"/>
      <c r="J66" s="122"/>
      <c r="K66" s="195"/>
    </row>
    <row r="67" spans="2:11" ht="15.75" customHeight="1">
      <c r="B67" s="427" t="s">
        <v>730</v>
      </c>
      <c r="C67" s="8">
        <v>0</v>
      </c>
      <c r="D67" s="767"/>
      <c r="E67" s="767" t="s">
        <v>688</v>
      </c>
      <c r="F67" s="9">
        <v>0</v>
      </c>
      <c r="G67" s="2804" t="s">
        <v>689</v>
      </c>
      <c r="H67" s="2804"/>
      <c r="I67" s="8">
        <f>C67*F67</f>
        <v>0</v>
      </c>
      <c r="J67" s="122"/>
      <c r="K67" s="195"/>
    </row>
    <row r="68" spans="2:11" ht="17">
      <c r="B68" s="427" t="s">
        <v>310</v>
      </c>
      <c r="C68" s="10"/>
      <c r="D68" s="2820" t="s">
        <v>690</v>
      </c>
      <c r="E68" s="2821"/>
      <c r="F68" s="11"/>
      <c r="G68" s="2804" t="s">
        <v>315</v>
      </c>
      <c r="H68" s="2804"/>
      <c r="I68" s="8">
        <v>0</v>
      </c>
      <c r="J68" s="122"/>
      <c r="K68" s="195"/>
    </row>
    <row r="69" spans="2:11" ht="16">
      <c r="B69" s="429"/>
      <c r="C69" s="432"/>
      <c r="D69" s="431"/>
      <c r="E69" s="431"/>
      <c r="F69" s="768"/>
      <c r="G69" s="2804" t="s">
        <v>691</v>
      </c>
      <c r="H69" s="2804"/>
      <c r="I69" s="8">
        <f>I67-I68</f>
        <v>0</v>
      </c>
      <c r="J69" s="122"/>
      <c r="K69" s="195"/>
    </row>
    <row r="70" spans="2:11" ht="17">
      <c r="B70" s="433" t="s">
        <v>447</v>
      </c>
      <c r="C70" s="769"/>
      <c r="D70" s="769"/>
      <c r="E70" s="769"/>
      <c r="F70" s="770"/>
      <c r="G70" s="2794"/>
      <c r="H70" s="2794"/>
      <c r="I70" s="2794"/>
      <c r="J70" s="771"/>
      <c r="K70" s="195"/>
    </row>
    <row r="71" spans="2:11" ht="17" thickBot="1">
      <c r="B71" s="2795"/>
      <c r="C71" s="2796"/>
      <c r="D71" s="2796"/>
      <c r="E71" s="2796"/>
      <c r="F71" s="2796"/>
      <c r="G71" s="2796"/>
      <c r="H71" s="2796"/>
      <c r="I71" s="2796"/>
      <c r="J71" s="2796"/>
      <c r="K71" s="2797"/>
    </row>
    <row r="72" spans="2:11" ht="16">
      <c r="B72" s="2289" t="s">
        <v>308</v>
      </c>
      <c r="C72" s="2290"/>
      <c r="D72" s="2290"/>
      <c r="E72" s="2290"/>
      <c r="F72" s="2290"/>
      <c r="G72" s="2290"/>
      <c r="H72" s="2290"/>
      <c r="I72" s="2290"/>
      <c r="J72" s="2290"/>
      <c r="K72" s="2291"/>
    </row>
    <row r="73" spans="2:11" ht="15.75" customHeight="1">
      <c r="B73" s="418" t="s">
        <v>266</v>
      </c>
      <c r="C73" s="419" t="s">
        <v>309</v>
      </c>
      <c r="D73" s="420" t="s">
        <v>310</v>
      </c>
      <c r="E73" s="2393" t="s">
        <v>311</v>
      </c>
      <c r="F73" s="2394"/>
      <c r="G73" s="423" t="s">
        <v>312</v>
      </c>
      <c r="H73" s="423" t="s">
        <v>313</v>
      </c>
      <c r="I73" s="423" t="s">
        <v>314</v>
      </c>
      <c r="J73" s="423" t="s">
        <v>315</v>
      </c>
      <c r="K73" s="424" t="s">
        <v>316</v>
      </c>
    </row>
    <row r="74" spans="2:11" ht="16">
      <c r="B74" s="1477" t="s">
        <v>692</v>
      </c>
      <c r="C74" s="421">
        <f>$E$6</f>
        <v>0</v>
      </c>
      <c r="D74" s="422">
        <f>$G$6</f>
        <v>0</v>
      </c>
      <c r="E74" s="2789">
        <f>$C$5</f>
        <v>0</v>
      </c>
      <c r="F74" s="2790"/>
      <c r="G74" s="1683">
        <f>IF(I9=0,C9,IF(I9&lt;C9,I9,C9))</f>
        <v>0</v>
      </c>
      <c r="H74" s="519">
        <v>0.85</v>
      </c>
      <c r="I74" s="1687">
        <f>G74*H74</f>
        <v>0</v>
      </c>
      <c r="J74" s="1683">
        <f>$K$9</f>
        <v>0</v>
      </c>
      <c r="K74" s="1688">
        <f>IF(I74-J74&lt;0,0,I74-J74)</f>
        <v>0</v>
      </c>
    </row>
    <row r="75" spans="2:11" ht="16">
      <c r="B75" s="1477" t="s">
        <v>693</v>
      </c>
      <c r="C75" s="421">
        <f>$E$16</f>
        <v>0</v>
      </c>
      <c r="D75" s="422">
        <f>$G$16</f>
        <v>0</v>
      </c>
      <c r="E75" s="2789">
        <f>$C$15</f>
        <v>0</v>
      </c>
      <c r="F75" s="2790"/>
      <c r="G75" s="1683">
        <f>IF(I19=0,C19,IF(I19&lt;C19,I19,C19))</f>
        <v>0</v>
      </c>
      <c r="H75" s="519">
        <v>0.85</v>
      </c>
      <c r="I75" s="1687">
        <f t="shared" ref="I75:I82" si="0">G75*H75</f>
        <v>0</v>
      </c>
      <c r="J75" s="1683">
        <f>$K$19</f>
        <v>0</v>
      </c>
      <c r="K75" s="1688">
        <f t="shared" ref="K75:K82" si="1">IF(I75-J75&lt;0,0,I75-J75)</f>
        <v>0</v>
      </c>
    </row>
    <row r="76" spans="2:11" ht="16">
      <c r="B76" s="1477" t="s">
        <v>694</v>
      </c>
      <c r="C76" s="421">
        <f>$E$25</f>
        <v>0</v>
      </c>
      <c r="D76" s="422">
        <f>$G$25</f>
        <v>0</v>
      </c>
      <c r="E76" s="2789">
        <f>$C$24</f>
        <v>0</v>
      </c>
      <c r="F76" s="2790"/>
      <c r="G76" s="1683">
        <f>IF(I28=0,C28,IF(I28&lt;C28,I28,C28))</f>
        <v>0</v>
      </c>
      <c r="H76" s="519">
        <v>0.85</v>
      </c>
      <c r="I76" s="1687">
        <f t="shared" si="0"/>
        <v>0</v>
      </c>
      <c r="J76" s="1683">
        <f>$K$28</f>
        <v>0</v>
      </c>
      <c r="K76" s="1688">
        <f t="shared" si="1"/>
        <v>0</v>
      </c>
    </row>
    <row r="77" spans="2:11" ht="15.5" customHeight="1">
      <c r="B77" s="1478">
        <f>$G$35</f>
        <v>0</v>
      </c>
      <c r="C77" s="434"/>
      <c r="D77" s="518"/>
      <c r="E77" s="2391" t="str">
        <f t="shared" ref="E77:E82" si="2">IF(G77=0," ",$E$5)</f>
        <v xml:space="preserve"> </v>
      </c>
      <c r="F77" s="2392"/>
      <c r="G77" s="1684">
        <f>$C$37</f>
        <v>0</v>
      </c>
      <c r="H77" s="1572">
        <f>$F$37</f>
        <v>0</v>
      </c>
      <c r="I77" s="1687">
        <f t="shared" si="0"/>
        <v>0</v>
      </c>
      <c r="J77" s="1684">
        <f>$I$38</f>
        <v>0</v>
      </c>
      <c r="K77" s="1688">
        <f t="shared" si="1"/>
        <v>0</v>
      </c>
    </row>
    <row r="78" spans="2:11" ht="15.5" customHeight="1">
      <c r="B78" s="1478">
        <f>$G$45</f>
        <v>0</v>
      </c>
      <c r="C78" s="434"/>
      <c r="D78" s="518"/>
      <c r="E78" s="2391" t="str">
        <f t="shared" si="2"/>
        <v xml:space="preserve"> </v>
      </c>
      <c r="F78" s="2392"/>
      <c r="G78" s="1684">
        <f>$C$47</f>
        <v>0</v>
      </c>
      <c r="H78" s="1572">
        <f>$F$47</f>
        <v>0</v>
      </c>
      <c r="I78" s="1687">
        <f t="shared" si="0"/>
        <v>0</v>
      </c>
      <c r="J78" s="1684">
        <f>$I$48</f>
        <v>0</v>
      </c>
      <c r="K78" s="1688">
        <f t="shared" si="1"/>
        <v>0</v>
      </c>
    </row>
    <row r="79" spans="2:11" ht="15.5" customHeight="1">
      <c r="B79" s="1478">
        <f>$G$55</f>
        <v>0</v>
      </c>
      <c r="C79" s="434"/>
      <c r="D79" s="518"/>
      <c r="E79" s="2391" t="str">
        <f t="shared" si="2"/>
        <v xml:space="preserve"> </v>
      </c>
      <c r="F79" s="2392"/>
      <c r="G79" s="1684">
        <f>$C$57</f>
        <v>0</v>
      </c>
      <c r="H79" s="1572">
        <f>$F$57</f>
        <v>0</v>
      </c>
      <c r="I79" s="1687">
        <f t="shared" si="0"/>
        <v>0</v>
      </c>
      <c r="J79" s="1684">
        <f>$I$58</f>
        <v>0</v>
      </c>
      <c r="K79" s="1688">
        <f t="shared" si="1"/>
        <v>0</v>
      </c>
    </row>
    <row r="80" spans="2:11" ht="16">
      <c r="B80" s="1478">
        <f>$G$65</f>
        <v>0</v>
      </c>
      <c r="C80" s="434"/>
      <c r="D80" s="518"/>
      <c r="E80" s="2391" t="str">
        <f t="shared" si="2"/>
        <v xml:space="preserve"> </v>
      </c>
      <c r="F80" s="2392"/>
      <c r="G80" s="1684">
        <f>$C$67</f>
        <v>0</v>
      </c>
      <c r="H80" s="1572">
        <f>$F$67</f>
        <v>0</v>
      </c>
      <c r="I80" s="1687">
        <f t="shared" si="0"/>
        <v>0</v>
      </c>
      <c r="J80" s="1684">
        <f>$I$68</f>
        <v>0</v>
      </c>
      <c r="K80" s="1688">
        <f t="shared" si="1"/>
        <v>0</v>
      </c>
    </row>
    <row r="81" spans="2:11" ht="16">
      <c r="B81" s="1570" t="s">
        <v>218</v>
      </c>
      <c r="C81" s="434"/>
      <c r="D81" s="518"/>
      <c r="E81" s="2391" t="str">
        <f t="shared" si="2"/>
        <v xml:space="preserve"> </v>
      </c>
      <c r="F81" s="2392"/>
      <c r="G81" s="1685">
        <v>0</v>
      </c>
      <c r="H81" s="519">
        <v>0.05</v>
      </c>
      <c r="I81" s="1687">
        <f t="shared" si="0"/>
        <v>0</v>
      </c>
      <c r="J81" s="1685">
        <v>0</v>
      </c>
      <c r="K81" s="1688">
        <f t="shared" si="1"/>
        <v>0</v>
      </c>
    </row>
    <row r="82" spans="2:11" ht="16">
      <c r="B82" s="1571" t="s">
        <v>218</v>
      </c>
      <c r="C82" s="434"/>
      <c r="D82" s="518"/>
      <c r="E82" s="2391" t="str">
        <f t="shared" si="2"/>
        <v xml:space="preserve"> </v>
      </c>
      <c r="F82" s="2392"/>
      <c r="G82" s="1685">
        <v>0</v>
      </c>
      <c r="H82" s="519">
        <v>0</v>
      </c>
      <c r="I82" s="1687">
        <f t="shared" si="0"/>
        <v>0</v>
      </c>
      <c r="J82" s="1689">
        <v>0</v>
      </c>
      <c r="K82" s="1688">
        <f t="shared" si="1"/>
        <v>0</v>
      </c>
    </row>
    <row r="83" spans="2:11" ht="15.5" customHeight="1">
      <c r="B83" s="451"/>
      <c r="C83" s="452"/>
      <c r="D83" s="452"/>
      <c r="E83" s="453"/>
      <c r="F83" s="454" t="s">
        <v>317</v>
      </c>
      <c r="G83" s="1686">
        <f>SUM(G74:G82)</f>
        <v>0</v>
      </c>
      <c r="H83" s="455"/>
      <c r="I83" s="1690">
        <f t="shared" ref="I83:K83" si="3">SUM(I74:I82)</f>
        <v>0</v>
      </c>
      <c r="J83" s="1686">
        <f>SUM(J74:J82)</f>
        <v>0</v>
      </c>
      <c r="K83" s="1691">
        <f t="shared" si="3"/>
        <v>0</v>
      </c>
    </row>
    <row r="84" spans="2:11" ht="16">
      <c r="B84" s="444"/>
      <c r="C84" s="432"/>
      <c r="D84" s="432"/>
      <c r="E84" s="445"/>
      <c r="F84" s="445"/>
      <c r="G84" s="773"/>
      <c r="H84" s="431"/>
      <c r="I84" s="431"/>
      <c r="J84" s="431"/>
      <c r="K84" s="446"/>
    </row>
    <row r="85" spans="2:11" ht="17">
      <c r="B85" s="429" t="s">
        <v>144</v>
      </c>
      <c r="C85" s="1693">
        <f>'UOP (2)'!D59</f>
        <v>0</v>
      </c>
      <c r="D85" s="122"/>
      <c r="E85" s="122"/>
      <c r="F85" s="456" t="s">
        <v>318</v>
      </c>
      <c r="G85" s="449">
        <f>IFERROR((C85+J83)/G83,0)</f>
        <v>0</v>
      </c>
      <c r="H85" s="458"/>
      <c r="I85" s="122"/>
      <c r="J85" s="458" t="s">
        <v>319</v>
      </c>
      <c r="K85" s="459">
        <f>IFERROR((J83+C85)/I83,0)</f>
        <v>0</v>
      </c>
    </row>
    <row r="86" spans="2:11" ht="17">
      <c r="B86" s="429" t="s">
        <v>320</v>
      </c>
      <c r="C86" s="1694">
        <f>K83</f>
        <v>0</v>
      </c>
      <c r="D86" s="122"/>
      <c r="E86" s="122"/>
      <c r="F86" s="456" t="s">
        <v>321</v>
      </c>
      <c r="G86" s="449">
        <f>IFERROR(G83/(C85+J83),0)</f>
        <v>0</v>
      </c>
      <c r="H86" s="458"/>
      <c r="I86" s="122"/>
      <c r="J86" s="458" t="s">
        <v>322</v>
      </c>
      <c r="K86" s="459">
        <f>IFERROR(I83/(J83+C85),0)</f>
        <v>0</v>
      </c>
    </row>
    <row r="87" spans="2:11" ht="16">
      <c r="B87" s="259" t="s">
        <v>323</v>
      </c>
      <c r="C87" s="1693">
        <f>IF(C85-C86&lt;0,0,C85-C86)</f>
        <v>0</v>
      </c>
      <c r="D87" s="432"/>
      <c r="E87" s="445"/>
      <c r="F87" s="445"/>
      <c r="G87" s="773"/>
      <c r="H87" s="431"/>
      <c r="I87" s="431"/>
      <c r="J87" s="431"/>
      <c r="K87" s="446"/>
    </row>
    <row r="88" spans="2:11" ht="16">
      <c r="B88" s="168" t="s">
        <v>110</v>
      </c>
      <c r="C88" s="450">
        <f>'UOP (2)'!G116</f>
        <v>0.75</v>
      </c>
      <c r="D88" s="244"/>
      <c r="E88" s="244"/>
      <c r="F88" s="460" t="s">
        <v>695</v>
      </c>
      <c r="G88" s="1695">
        <f>IF(OR(B74="Primary CRE",B74="Secondary RE"),K74,0)+IF(OR(B75="Primary CRE",B75="Secondary RE"),K75,0)+IF(OR(B76="Primary CRE",B76="Secondary RE"),K76,0)</f>
        <v>0</v>
      </c>
      <c r="H88" s="431"/>
      <c r="I88" s="431"/>
      <c r="J88" s="431"/>
      <c r="K88" s="446"/>
    </row>
    <row r="89" spans="2:11" ht="16">
      <c r="B89" s="429" t="s">
        <v>325</v>
      </c>
      <c r="C89" s="1693">
        <f>IF(C87&gt;0,C88*C87,0)</f>
        <v>0</v>
      </c>
      <c r="D89" s="432"/>
      <c r="E89" s="432"/>
      <c r="F89" s="460" t="s">
        <v>324</v>
      </c>
      <c r="G89" s="1695">
        <f>IF((C85-G88)&gt;0,C85-G88,0)</f>
        <v>0</v>
      </c>
      <c r="H89" s="431"/>
      <c r="I89" s="431"/>
      <c r="J89" s="431"/>
      <c r="K89" s="446"/>
    </row>
    <row r="90" spans="2:11" ht="16">
      <c r="B90" s="429" t="s">
        <v>326</v>
      </c>
      <c r="C90" s="1692">
        <f>IF(C89&gt;0,C87-C89,0)</f>
        <v>0</v>
      </c>
      <c r="D90" s="2390"/>
      <c r="E90" s="2390"/>
      <c r="F90" s="457"/>
      <c r="G90" s="773"/>
      <c r="H90" s="431"/>
      <c r="I90" s="431"/>
      <c r="J90" s="431"/>
      <c r="K90" s="446"/>
    </row>
    <row r="91" spans="2:11" ht="17" thickBot="1">
      <c r="B91" s="436"/>
      <c r="C91" s="439"/>
      <c r="D91" s="439"/>
      <c r="E91" s="440"/>
      <c r="F91" s="440"/>
      <c r="G91" s="441"/>
      <c r="H91" s="442"/>
      <c r="I91" s="442"/>
      <c r="J91" s="442"/>
      <c r="K91" s="443"/>
    </row>
    <row r="92" spans="2:11" ht="16">
      <c r="B92" s="435"/>
      <c r="C92" s="1479"/>
      <c r="D92" s="2828" t="s">
        <v>696</v>
      </c>
      <c r="E92" s="2828"/>
      <c r="F92" s="2828"/>
      <c r="G92" s="2828"/>
      <c r="H92" s="2828"/>
      <c r="I92" s="2828"/>
      <c r="J92" s="437"/>
      <c r="K92" s="438"/>
    </row>
    <row r="93" spans="2:11" ht="15.5" customHeight="1" thickBot="1">
      <c r="B93" s="436"/>
      <c r="C93" s="1480"/>
      <c r="D93" s="439" t="s">
        <v>697</v>
      </c>
      <c r="E93" s="440"/>
      <c r="F93" s="440"/>
      <c r="G93" s="441"/>
      <c r="H93" s="442"/>
      <c r="I93" s="442"/>
      <c r="J93" s="442"/>
      <c r="K93" s="443"/>
    </row>
    <row r="94" spans="2:11" ht="16">
      <c r="B94" s="444"/>
      <c r="C94" s="432"/>
      <c r="D94" s="432"/>
      <c r="E94" s="445"/>
      <c r="F94" s="445"/>
      <c r="G94" s="773"/>
      <c r="H94" s="431"/>
      <c r="I94" s="431"/>
      <c r="J94" s="431"/>
      <c r="K94" s="446"/>
    </row>
    <row r="95" spans="2:11" ht="18" thickBot="1">
      <c r="B95" s="447" t="s">
        <v>447</v>
      </c>
      <c r="C95" s="774"/>
      <c r="D95" s="774"/>
      <c r="E95" s="445"/>
      <c r="F95" s="432"/>
      <c r="G95" s="773"/>
      <c r="H95" s="445"/>
      <c r="I95" s="432"/>
      <c r="J95" s="445"/>
      <c r="K95" s="448"/>
    </row>
    <row r="96" spans="2:11" ht="17" thickBot="1">
      <c r="B96" s="2822" t="s">
        <v>698</v>
      </c>
      <c r="C96" s="2823"/>
      <c r="D96" s="2823"/>
      <c r="E96" s="2823"/>
      <c r="F96" s="2823"/>
      <c r="G96" s="2823"/>
      <c r="H96" s="2823"/>
      <c r="I96" s="2823"/>
      <c r="J96" s="2823"/>
      <c r="K96" s="2824"/>
    </row>
    <row r="97" spans="2:11" ht="17" thickBot="1">
      <c r="B97" s="1631"/>
      <c r="C97" s="1632"/>
      <c r="D97" s="1632"/>
      <c r="E97" s="1632"/>
      <c r="F97" s="1632"/>
      <c r="G97" s="1632"/>
      <c r="H97" s="1632"/>
      <c r="I97" s="1632"/>
      <c r="J97" s="1632"/>
      <c r="K97" s="1632"/>
    </row>
    <row r="98" spans="2:11" ht="16">
      <c r="B98" s="2289" t="s">
        <v>699</v>
      </c>
      <c r="C98" s="2290"/>
      <c r="D98" s="2290"/>
      <c r="E98" s="2290"/>
      <c r="F98" s="2290"/>
      <c r="G98" s="2290"/>
      <c r="H98" s="2290"/>
      <c r="I98" s="2290"/>
      <c r="J98" s="2290"/>
      <c r="K98" s="2291"/>
    </row>
    <row r="99" spans="2:11" ht="34">
      <c r="B99" s="418" t="s">
        <v>266</v>
      </c>
      <c r="C99" s="419" t="s">
        <v>309</v>
      </c>
      <c r="D99" s="420" t="s">
        <v>310</v>
      </c>
      <c r="E99" s="2393" t="s">
        <v>311</v>
      </c>
      <c r="F99" s="2394"/>
      <c r="G99" s="423" t="s">
        <v>312</v>
      </c>
      <c r="H99" s="423" t="s">
        <v>313</v>
      </c>
      <c r="I99" s="423" t="s">
        <v>314</v>
      </c>
      <c r="J99" s="423" t="s">
        <v>315</v>
      </c>
      <c r="K99" s="424" t="s">
        <v>316</v>
      </c>
    </row>
    <row r="100" spans="2:11" ht="16">
      <c r="B100" s="1477" t="s">
        <v>692</v>
      </c>
      <c r="C100" s="421">
        <f>$E$6</f>
        <v>0</v>
      </c>
      <c r="D100" s="422">
        <f>$G$6</f>
        <v>0</v>
      </c>
      <c r="E100" s="2789">
        <f>$C$5</f>
        <v>0</v>
      </c>
      <c r="F100" s="2790"/>
      <c r="G100" s="1683">
        <f>IF(I35=0,C35,IF(I35&lt;C35,I35,C35))</f>
        <v>0</v>
      </c>
      <c r="H100" s="519">
        <v>0.85</v>
      </c>
      <c r="I100" s="1687">
        <f>G100*H100</f>
        <v>0</v>
      </c>
      <c r="J100" s="1683">
        <f>$K$9</f>
        <v>0</v>
      </c>
      <c r="K100" s="1688">
        <f>IF(I100-J100&lt;0,0,I100-J100)</f>
        <v>0</v>
      </c>
    </row>
    <row r="101" spans="2:11" ht="16">
      <c r="B101" s="1477" t="s">
        <v>693</v>
      </c>
      <c r="C101" s="421">
        <f>$E$16</f>
        <v>0</v>
      </c>
      <c r="D101" s="422">
        <f>$G$16</f>
        <v>0</v>
      </c>
      <c r="E101" s="2789">
        <f>$C$15</f>
        <v>0</v>
      </c>
      <c r="F101" s="2790"/>
      <c r="G101" s="1683">
        <f>IF(I45=0,C45,IF(I45&lt;C45,I45,C45))</f>
        <v>0</v>
      </c>
      <c r="H101" s="519">
        <v>0.85</v>
      </c>
      <c r="I101" s="1687">
        <f t="shared" ref="I101:I107" si="4">G101*H101</f>
        <v>0</v>
      </c>
      <c r="J101" s="1683">
        <f>$K$19</f>
        <v>0</v>
      </c>
      <c r="K101" s="1688">
        <f t="shared" ref="K101:K107" si="5">IF(I101-J101&lt;0,0,I101-J101)</f>
        <v>0</v>
      </c>
    </row>
    <row r="102" spans="2:11" ht="16">
      <c r="B102" s="1477" t="s">
        <v>694</v>
      </c>
      <c r="C102" s="421">
        <f>$E$25</f>
        <v>0</v>
      </c>
      <c r="D102" s="422">
        <f>$G$25</f>
        <v>0</v>
      </c>
      <c r="E102" s="2789">
        <f>$C$24</f>
        <v>0</v>
      </c>
      <c r="F102" s="2790"/>
      <c r="G102" s="1683">
        <f>IF(I54=0,C54,IF(I54&lt;C54,I54,C54))</f>
        <v>0</v>
      </c>
      <c r="H102" s="519">
        <v>0.85</v>
      </c>
      <c r="I102" s="1687">
        <f t="shared" si="4"/>
        <v>0</v>
      </c>
      <c r="J102" s="1683">
        <f>$K$28</f>
        <v>0</v>
      </c>
      <c r="K102" s="1688">
        <f t="shared" si="5"/>
        <v>0</v>
      </c>
    </row>
    <row r="103" spans="2:11" ht="16">
      <c r="B103" s="1478">
        <f>$G$35</f>
        <v>0</v>
      </c>
      <c r="C103" s="434"/>
      <c r="D103" s="518"/>
      <c r="E103" s="2391" t="str">
        <f t="shared" ref="E103:E107" si="6">IF(G103=0," ",$E$5)</f>
        <v xml:space="preserve"> </v>
      </c>
      <c r="F103" s="2392"/>
      <c r="G103" s="1684">
        <f>$C$37</f>
        <v>0</v>
      </c>
      <c r="H103" s="1572">
        <f>$F$37</f>
        <v>0</v>
      </c>
      <c r="I103" s="1687">
        <f t="shared" si="4"/>
        <v>0</v>
      </c>
      <c r="J103" s="1684">
        <f>$I$38</f>
        <v>0</v>
      </c>
      <c r="K103" s="1688">
        <f t="shared" si="5"/>
        <v>0</v>
      </c>
    </row>
    <row r="104" spans="2:11" ht="16">
      <c r="B104" s="1478">
        <f>$G$45</f>
        <v>0</v>
      </c>
      <c r="C104" s="434"/>
      <c r="D104" s="518"/>
      <c r="E104" s="2391" t="str">
        <f t="shared" si="6"/>
        <v xml:space="preserve"> </v>
      </c>
      <c r="F104" s="2392"/>
      <c r="G104" s="1684">
        <f>$C$47</f>
        <v>0</v>
      </c>
      <c r="H104" s="1572">
        <f>$F$47</f>
        <v>0</v>
      </c>
      <c r="I104" s="1687">
        <f t="shared" si="4"/>
        <v>0</v>
      </c>
      <c r="J104" s="1684">
        <f>$I$48</f>
        <v>0</v>
      </c>
      <c r="K104" s="1688">
        <f t="shared" si="5"/>
        <v>0</v>
      </c>
    </row>
    <row r="105" spans="2:11" ht="16">
      <c r="B105" s="1478">
        <f>$G$55</f>
        <v>0</v>
      </c>
      <c r="C105" s="434"/>
      <c r="D105" s="518"/>
      <c r="E105" s="2391" t="str">
        <f t="shared" si="6"/>
        <v xml:space="preserve"> </v>
      </c>
      <c r="F105" s="2392"/>
      <c r="G105" s="1684">
        <f>$C$57</f>
        <v>0</v>
      </c>
      <c r="H105" s="1572">
        <f>$F$57</f>
        <v>0</v>
      </c>
      <c r="I105" s="1687">
        <f t="shared" si="4"/>
        <v>0</v>
      </c>
      <c r="J105" s="1684">
        <f>$I$58</f>
        <v>0</v>
      </c>
      <c r="K105" s="1688">
        <f t="shared" si="5"/>
        <v>0</v>
      </c>
    </row>
    <row r="106" spans="2:11" ht="16">
      <c r="B106" s="1478">
        <f>$G$65</f>
        <v>0</v>
      </c>
      <c r="C106" s="434"/>
      <c r="D106" s="518"/>
      <c r="E106" s="2391" t="str">
        <f t="shared" si="6"/>
        <v xml:space="preserve"> </v>
      </c>
      <c r="F106" s="2392"/>
      <c r="G106" s="1684">
        <f>$C$67</f>
        <v>0</v>
      </c>
      <c r="H106" s="1572">
        <f>$F$67</f>
        <v>0</v>
      </c>
      <c r="I106" s="1687">
        <f t="shared" si="4"/>
        <v>0</v>
      </c>
      <c r="J106" s="1684">
        <f>$I$68</f>
        <v>0</v>
      </c>
      <c r="K106" s="1688">
        <f t="shared" si="5"/>
        <v>0</v>
      </c>
    </row>
    <row r="107" spans="2:11" ht="16">
      <c r="B107" s="1570" t="s">
        <v>218</v>
      </c>
      <c r="C107" s="434"/>
      <c r="D107" s="518"/>
      <c r="E107" s="2391" t="str">
        <f t="shared" si="6"/>
        <v xml:space="preserve"> </v>
      </c>
      <c r="F107" s="2392"/>
      <c r="G107" s="1685">
        <v>0</v>
      </c>
      <c r="H107" s="519">
        <v>0.05</v>
      </c>
      <c r="I107" s="1687">
        <f t="shared" si="4"/>
        <v>0</v>
      </c>
      <c r="J107" s="1689">
        <v>0</v>
      </c>
      <c r="K107" s="1688">
        <f t="shared" si="5"/>
        <v>0</v>
      </c>
    </row>
    <row r="108" spans="2:11" ht="16">
      <c r="B108" s="1571" t="s">
        <v>218</v>
      </c>
      <c r="C108" s="434"/>
      <c r="D108" s="518"/>
      <c r="E108" s="2391" t="str">
        <f t="shared" ref="E108" si="7">IF(G108=0," ",$E$5)</f>
        <v xml:space="preserve"> </v>
      </c>
      <c r="F108" s="2392"/>
      <c r="G108" s="1685">
        <v>0</v>
      </c>
      <c r="H108" s="519">
        <v>0</v>
      </c>
      <c r="I108" s="1687">
        <f t="shared" ref="I108" si="8">G108*H108</f>
        <v>0</v>
      </c>
      <c r="J108" s="1689">
        <v>0</v>
      </c>
      <c r="K108" s="1688">
        <f t="shared" ref="K108" si="9">IF(I108-J108&lt;0,0,I108-J108)</f>
        <v>0</v>
      </c>
    </row>
    <row r="109" spans="2:11" ht="16">
      <c r="B109" s="451"/>
      <c r="C109" s="452"/>
      <c r="D109" s="452"/>
      <c r="E109" s="453"/>
      <c r="F109" s="454" t="s">
        <v>317</v>
      </c>
      <c r="G109" s="1686">
        <f>SUM(G100:G108)</f>
        <v>0</v>
      </c>
      <c r="H109" s="455"/>
      <c r="I109" s="1690">
        <f t="shared" ref="I109" si="10">SUM(I100:I108)</f>
        <v>0</v>
      </c>
      <c r="J109" s="1686">
        <f>SUM(J100:J108)</f>
        <v>0</v>
      </c>
      <c r="K109" s="1691">
        <f t="shared" ref="K109" si="11">SUM(K100:K108)</f>
        <v>0</v>
      </c>
    </row>
    <row r="110" spans="2:11" ht="16">
      <c r="B110" s="444"/>
      <c r="C110" s="432"/>
      <c r="D110" s="432"/>
      <c r="E110" s="445"/>
      <c r="F110" s="445"/>
      <c r="G110" s="773"/>
      <c r="H110" s="431"/>
      <c r="I110" s="431"/>
      <c r="J110" s="431"/>
      <c r="K110" s="446"/>
    </row>
    <row r="111" spans="2:11" ht="17">
      <c r="B111" s="429" t="s">
        <v>144</v>
      </c>
      <c r="C111" s="1693">
        <f>'UOP (2)'!D66</f>
        <v>0</v>
      </c>
      <c r="D111" s="122"/>
      <c r="E111" s="122"/>
      <c r="F111" s="456" t="s">
        <v>318</v>
      </c>
      <c r="G111" s="1697">
        <f>IFERROR((C111+J109)/G109,0)</f>
        <v>0</v>
      </c>
      <c r="H111" s="458"/>
      <c r="I111" s="122"/>
      <c r="J111" s="458" t="s">
        <v>319</v>
      </c>
      <c r="K111" s="459">
        <f>IFERROR((J109+C111)/I109,0)</f>
        <v>0</v>
      </c>
    </row>
    <row r="112" spans="2:11" ht="17">
      <c r="B112" s="429" t="s">
        <v>320</v>
      </c>
      <c r="C112" s="1694">
        <f>K109</f>
        <v>0</v>
      </c>
      <c r="D112" s="122"/>
      <c r="E112" s="122"/>
      <c r="F112" s="456" t="s">
        <v>321</v>
      </c>
      <c r="G112" s="1697">
        <f>IFERROR(G109/(C111+J109),0)</f>
        <v>0</v>
      </c>
      <c r="H112" s="458"/>
      <c r="I112" s="122"/>
      <c r="J112" s="458" t="s">
        <v>322</v>
      </c>
      <c r="K112" s="459">
        <f>IFERROR(I109/(J109+C111),0)</f>
        <v>0</v>
      </c>
    </row>
    <row r="113" spans="2:11" ht="16">
      <c r="B113" s="259" t="s">
        <v>323</v>
      </c>
      <c r="C113" s="1693">
        <f>IF(C111-C112&lt;0,0,C111-C112)</f>
        <v>0</v>
      </c>
      <c r="D113" s="432"/>
      <c r="E113" s="445"/>
      <c r="F113" s="445"/>
      <c r="G113" s="773"/>
      <c r="H113" s="431"/>
      <c r="I113" s="431"/>
      <c r="J113" s="431"/>
      <c r="K113" s="446"/>
    </row>
    <row r="114" spans="2:11" ht="16">
      <c r="B114" s="168" t="s">
        <v>110</v>
      </c>
      <c r="C114" s="1696">
        <f>'UOP (2)'!G142</f>
        <v>0</v>
      </c>
      <c r="D114" s="244"/>
      <c r="E114" s="244"/>
      <c r="F114" s="460" t="s">
        <v>695</v>
      </c>
      <c r="G114" s="1695">
        <f>IF(OR(B100="Primary CRE",B100="Secondary RE"),K100,0)+IF(OR(B101="Primary CRE",B101="Secondary RE"),K101,0)+IF(OR(B102="Primary CRE",B102="Secondary RE"),K102,0)</f>
        <v>0</v>
      </c>
      <c r="H114" s="431"/>
      <c r="I114" s="431"/>
      <c r="J114" s="431"/>
      <c r="K114" s="446"/>
    </row>
    <row r="115" spans="2:11" ht="16">
      <c r="B115" s="429" t="s">
        <v>325</v>
      </c>
      <c r="C115" s="1693">
        <f>IF(C113&gt;0,C114*C113,0)</f>
        <v>0</v>
      </c>
      <c r="D115" s="432"/>
      <c r="E115" s="432"/>
      <c r="F115" s="460" t="s">
        <v>324</v>
      </c>
      <c r="G115" s="1695">
        <f>IF((C111-G114)&gt;0,C111-G114,0)</f>
        <v>0</v>
      </c>
      <c r="H115" s="431"/>
      <c r="I115" s="431"/>
      <c r="J115" s="431"/>
      <c r="K115" s="446"/>
    </row>
    <row r="116" spans="2:11" ht="16">
      <c r="B116" s="429" t="s">
        <v>326</v>
      </c>
      <c r="C116" s="1692">
        <f>IF(C115&gt;0,C113-C115,0)</f>
        <v>0</v>
      </c>
      <c r="D116" s="2390"/>
      <c r="E116" s="2390"/>
      <c r="F116" s="457"/>
      <c r="G116" s="773"/>
      <c r="H116" s="431"/>
      <c r="I116" s="431"/>
      <c r="J116" s="431"/>
      <c r="K116" s="446"/>
    </row>
    <row r="117" spans="2:11" ht="17" thickBot="1">
      <c r="B117" s="436"/>
      <c r="C117" s="439"/>
      <c r="D117" s="439"/>
      <c r="E117" s="440"/>
      <c r="F117" s="440"/>
      <c r="G117" s="441"/>
      <c r="H117" s="442"/>
      <c r="I117" s="442"/>
      <c r="J117" s="442"/>
      <c r="K117" s="443"/>
    </row>
    <row r="118" spans="2:11" ht="16">
      <c r="B118" s="1633"/>
      <c r="C118" s="1633"/>
      <c r="D118" s="1633"/>
      <c r="E118" s="1634"/>
      <c r="F118" s="1635"/>
      <c r="G118" s="1636"/>
      <c r="H118" s="1634"/>
      <c r="I118" s="1635"/>
      <c r="J118" s="1634"/>
      <c r="K118" s="1634"/>
    </row>
    <row r="119" spans="2:11" ht="16" thickBot="1"/>
    <row r="120" spans="2:11" ht="16" outlineLevel="1">
      <c r="B120" s="2289" t="s">
        <v>700</v>
      </c>
      <c r="C120" s="2290"/>
      <c r="D120" s="2290"/>
      <c r="E120" s="2290"/>
      <c r="F120" s="2290"/>
      <c r="G120" s="2290"/>
      <c r="H120" s="2290"/>
      <c r="I120" s="2290"/>
      <c r="J120" s="2290"/>
      <c r="K120" s="2291"/>
    </row>
    <row r="121" spans="2:11" outlineLevel="1">
      <c r="B121" s="121"/>
      <c r="C121" s="122"/>
      <c r="D121" s="122"/>
      <c r="E121" s="122"/>
      <c r="F121" s="122"/>
      <c r="G121" s="122"/>
      <c r="H121" s="122"/>
      <c r="I121" s="122"/>
      <c r="J121" s="122"/>
      <c r="K121" s="195"/>
    </row>
    <row r="122" spans="2:11" outlineLevel="1">
      <c r="B122" s="121"/>
      <c r="C122" s="122"/>
      <c r="D122" s="122"/>
      <c r="E122" s="122"/>
      <c r="F122" s="122"/>
      <c r="G122" s="122"/>
      <c r="H122" s="122"/>
      <c r="I122" s="122"/>
      <c r="J122" s="122"/>
      <c r="K122" s="195"/>
    </row>
    <row r="123" spans="2:11" ht="16" outlineLevel="1">
      <c r="B123" s="121"/>
      <c r="C123" s="466" t="s">
        <v>701</v>
      </c>
      <c r="D123" s="1664">
        <f>SUM('UOP (2)'!H4,'UOP (2)'!H37,'UOP (2)'!H56)</f>
        <v>0</v>
      </c>
      <c r="E123" s="122"/>
      <c r="F123" s="122"/>
      <c r="G123" s="466" t="s">
        <v>702</v>
      </c>
      <c r="H123" s="1669">
        <f>C9</f>
        <v>0</v>
      </c>
      <c r="I123" s="244"/>
      <c r="J123" s="244"/>
      <c r="K123" s="251"/>
    </row>
    <row r="124" spans="2:11" ht="16" outlineLevel="1">
      <c r="B124" s="121"/>
      <c r="C124" s="466" t="s">
        <v>703</v>
      </c>
      <c r="D124" s="1665">
        <f>SUM('UOP (2)'!H5:H13,'UOP (2)'!H34)</f>
        <v>0</v>
      </c>
      <c r="E124" s="244"/>
      <c r="F124" s="122"/>
      <c r="G124" s="244"/>
      <c r="H124" s="460"/>
      <c r="I124" s="244"/>
      <c r="J124" s="244"/>
      <c r="K124" s="251"/>
    </row>
    <row r="125" spans="2:11" ht="16" outlineLevel="1">
      <c r="B125" s="121"/>
      <c r="C125" s="466" t="s">
        <v>704</v>
      </c>
      <c r="D125" s="1666">
        <f>'UOP (2)'!H59</f>
        <v>0</v>
      </c>
      <c r="E125" s="1669">
        <f>+D123+D124</f>
        <v>0</v>
      </c>
      <c r="F125" s="122"/>
      <c r="G125" s="244"/>
      <c r="H125" s="460"/>
      <c r="I125" s="244"/>
      <c r="J125" s="244"/>
      <c r="K125" s="251"/>
    </row>
    <row r="126" spans="2:11" ht="15.5" customHeight="1" outlineLevel="1">
      <c r="B126" s="121"/>
      <c r="C126" s="466" t="s">
        <v>705</v>
      </c>
      <c r="D126" s="1666">
        <f>'UOP (2)'!E59</f>
        <v>0</v>
      </c>
      <c r="E126" s="468"/>
      <c r="F126" s="122"/>
      <c r="G126" s="469" t="s">
        <v>705</v>
      </c>
      <c r="H126" s="1670">
        <f>D126</f>
        <v>0</v>
      </c>
      <c r="I126" s="468"/>
      <c r="J126" s="244"/>
      <c r="K126" s="251"/>
    </row>
    <row r="127" spans="2:11" ht="16" outlineLevel="1">
      <c r="B127" s="121"/>
      <c r="C127" s="466" t="s">
        <v>706</v>
      </c>
      <c r="D127" s="1666">
        <f>'UOP (2)'!F59+'UOP (2)'!G59</f>
        <v>0</v>
      </c>
      <c r="E127" s="468"/>
      <c r="F127" s="122"/>
      <c r="G127" s="466" t="s">
        <v>707</v>
      </c>
      <c r="H127" s="1670">
        <f>H123-H126</f>
        <v>0</v>
      </c>
      <c r="I127" s="468"/>
      <c r="J127" s="244"/>
      <c r="K127" s="251"/>
    </row>
    <row r="128" spans="2:11" ht="16" outlineLevel="1">
      <c r="B128" s="121"/>
      <c r="C128" s="466" t="s">
        <v>144</v>
      </c>
      <c r="D128" s="1667">
        <f>'UOP (2)'!D59</f>
        <v>0</v>
      </c>
      <c r="E128" s="1670">
        <f>D125-D126-D127</f>
        <v>0</v>
      </c>
      <c r="F128" s="122"/>
      <c r="G128" s="460" t="s">
        <v>708</v>
      </c>
      <c r="H128" s="465">
        <f>IFERROR(H127/H123,0)</f>
        <v>0</v>
      </c>
      <c r="I128" s="2835"/>
      <c r="J128" s="2780"/>
      <c r="K128" s="2836"/>
    </row>
    <row r="129" spans="2:13" ht="16" outlineLevel="1">
      <c r="B129" s="121"/>
      <c r="C129" s="466"/>
      <c r="D129" s="775"/>
      <c r="E129" s="244"/>
      <c r="F129" s="122"/>
      <c r="G129" s="460" t="s">
        <v>709</v>
      </c>
      <c r="H129" s="1343"/>
      <c r="I129" s="244"/>
      <c r="J129" s="244"/>
      <c r="K129" s="251"/>
    </row>
    <row r="130" spans="2:13" ht="16" outlineLevel="1">
      <c r="B130" s="121"/>
      <c r="C130" s="122"/>
      <c r="D130" s="122"/>
      <c r="E130" s="244"/>
      <c r="F130" s="122"/>
      <c r="G130" s="460" t="s">
        <v>710</v>
      </c>
      <c r="H130" s="1671">
        <f>H129*H123</f>
        <v>0</v>
      </c>
      <c r="I130" s="469"/>
      <c r="J130" s="244"/>
      <c r="K130" s="470"/>
    </row>
    <row r="131" spans="2:13" ht="16" outlineLevel="1">
      <c r="B131" s="121"/>
      <c r="C131" s="466" t="s">
        <v>529</v>
      </c>
      <c r="D131" s="381">
        <f>'UOP (2)'!G116</f>
        <v>0.75</v>
      </c>
      <c r="E131" s="463"/>
      <c r="F131" s="122"/>
      <c r="G131" s="244" t="s">
        <v>144</v>
      </c>
      <c r="H131" s="1670">
        <f>E128</f>
        <v>0</v>
      </c>
      <c r="I131" s="469"/>
      <c r="J131" s="244"/>
      <c r="K131" s="470"/>
    </row>
    <row r="132" spans="2:13" ht="17" outlineLevel="1" thickBot="1">
      <c r="B132" s="121"/>
      <c r="C132" s="460" t="s">
        <v>711</v>
      </c>
      <c r="D132" s="1668">
        <f>E128*D131</f>
        <v>0</v>
      </c>
      <c r="E132" s="244"/>
      <c r="F132" s="122"/>
      <c r="G132" s="460" t="s">
        <v>712</v>
      </c>
      <c r="H132" s="1672">
        <f>H131-H130</f>
        <v>0</v>
      </c>
      <c r="I132" s="469"/>
      <c r="J132" s="244"/>
      <c r="K132" s="470"/>
    </row>
    <row r="133" spans="2:13" ht="17" outlineLevel="1" thickBot="1">
      <c r="B133" s="259"/>
      <c r="C133" s="2585" t="str">
        <f>IF(H132&lt;=D132,"THIS LOAN IS NOT HIGH LTV","THIS LOAN IS HIGH LTV")</f>
        <v>THIS LOAN IS NOT HIGH LTV</v>
      </c>
      <c r="D133" s="2586"/>
      <c r="E133" s="2586"/>
      <c r="F133" s="2586"/>
      <c r="G133" s="2586"/>
      <c r="H133" s="2587"/>
      <c r="I133" s="469"/>
      <c r="J133" s="244"/>
      <c r="K133" s="470"/>
    </row>
    <row r="134" spans="2:13" ht="17" outlineLevel="1" thickBot="1">
      <c r="B134" s="471"/>
      <c r="C134" s="249" t="s">
        <v>713</v>
      </c>
      <c r="D134" s="472"/>
      <c r="E134" s="249"/>
      <c r="F134" s="249"/>
      <c r="G134" s="249"/>
      <c r="H134" s="249"/>
      <c r="I134" s="249"/>
      <c r="J134" s="249"/>
      <c r="K134" s="378"/>
    </row>
    <row r="135" spans="2:13" ht="17" thickBot="1">
      <c r="B135" s="776"/>
      <c r="C135" s="777" t="s">
        <v>714</v>
      </c>
      <c r="D135" s="777"/>
      <c r="E135" s="777"/>
      <c r="F135" s="777"/>
      <c r="G135" s="777"/>
      <c r="H135" s="777"/>
      <c r="I135" s="777"/>
      <c r="J135" s="777"/>
      <c r="K135" s="778"/>
    </row>
    <row r="136" spans="2:13" ht="16" thickBot="1"/>
    <row r="137" spans="2:13" ht="16" outlineLevel="1">
      <c r="B137" s="2289" t="s">
        <v>715</v>
      </c>
      <c r="C137" s="2290"/>
      <c r="D137" s="2290"/>
      <c r="E137" s="2290"/>
      <c r="F137" s="2290"/>
      <c r="G137" s="2290"/>
      <c r="H137" s="2290"/>
      <c r="I137" s="2290"/>
      <c r="J137" s="2290"/>
      <c r="K137" s="2291"/>
    </row>
    <row r="138" spans="2:13" outlineLevel="1">
      <c r="B138" s="2387" t="s">
        <v>716</v>
      </c>
      <c r="C138" s="2388"/>
      <c r="D138" s="2388"/>
      <c r="E138" s="2388"/>
      <c r="F138" s="2388"/>
      <c r="G138" s="2388"/>
      <c r="H138" s="2388"/>
      <c r="I138" s="2388"/>
      <c r="J138" s="2388"/>
      <c r="K138" s="2785"/>
    </row>
    <row r="139" spans="2:13" ht="16" outlineLevel="1">
      <c r="B139" s="2786" t="s">
        <v>717</v>
      </c>
      <c r="C139" s="2787"/>
      <c r="D139" s="2787"/>
      <c r="E139" s="2787"/>
      <c r="F139" s="2787"/>
      <c r="G139" s="2787"/>
      <c r="H139" s="2787"/>
      <c r="I139" s="2787"/>
      <c r="J139" s="2787"/>
      <c r="K139" s="2788"/>
      <c r="M139" s="1451"/>
    </row>
    <row r="140" spans="2:13" ht="16" outlineLevel="1" thickBot="1">
      <c r="B140" s="121"/>
      <c r="C140" s="122"/>
      <c r="D140" s="122" t="s">
        <v>103</v>
      </c>
      <c r="E140" s="122"/>
      <c r="F140" s="122"/>
      <c r="G140" s="122"/>
      <c r="H140" s="122" t="s">
        <v>718</v>
      </c>
      <c r="I140" s="122"/>
      <c r="J140" s="122"/>
      <c r="K140" s="195"/>
    </row>
    <row r="141" spans="2:13" ht="17" outlineLevel="1" thickBot="1">
      <c r="B141" s="121"/>
      <c r="C141" s="466" t="s">
        <v>719</v>
      </c>
      <c r="D141" s="1673">
        <f>'UOP (2)'!$H$59-'UOP (2)'!$H$6-'UOP (2)'!$H$7-'UOP (2)'!$H$8</f>
        <v>0</v>
      </c>
      <c r="E141" s="122"/>
      <c r="F141" s="122"/>
      <c r="G141" s="466" t="s">
        <v>702</v>
      </c>
      <c r="H141" s="1678">
        <f>C9</f>
        <v>0</v>
      </c>
      <c r="I141" s="244"/>
      <c r="J141" s="244"/>
      <c r="K141" s="251"/>
    </row>
    <row r="142" spans="2:13" ht="17" outlineLevel="1" thickBot="1">
      <c r="B142" s="121"/>
      <c r="C142" s="466" t="s">
        <v>720</v>
      </c>
      <c r="D142" s="1674">
        <f>'UOP (2)'!$D$59-'UOP (2)'!$D$6-'UOP (2)'!$D$7-'UOP (2)'!$D$8</f>
        <v>0</v>
      </c>
      <c r="E142" s="244"/>
      <c r="F142" s="122"/>
      <c r="G142" s="122"/>
      <c r="H142" s="122"/>
      <c r="I142" s="244"/>
      <c r="J142" s="244"/>
      <c r="K142" s="251"/>
    </row>
    <row r="143" spans="2:13" ht="16" outlineLevel="1">
      <c r="B143" s="121"/>
      <c r="C143" s="466" t="s">
        <v>721</v>
      </c>
      <c r="D143" s="1673">
        <f>'UOP (2)'!D7</f>
        <v>0</v>
      </c>
      <c r="E143" s="244"/>
      <c r="F143" s="122"/>
      <c r="G143" s="466" t="s">
        <v>721</v>
      </c>
      <c r="H143" s="1673">
        <f>'UOP (2)'!D7</f>
        <v>0</v>
      </c>
      <c r="I143" s="244"/>
      <c r="J143" s="244"/>
      <c r="K143" s="251"/>
    </row>
    <row r="144" spans="2:13" ht="16" outlineLevel="1">
      <c r="B144" s="121"/>
      <c r="C144" s="460" t="s">
        <v>722</v>
      </c>
      <c r="D144" s="1675">
        <f>'UOP (2)'!H7</f>
        <v>0</v>
      </c>
      <c r="E144" s="122"/>
      <c r="F144" s="122"/>
      <c r="G144" s="460" t="s">
        <v>722</v>
      </c>
      <c r="H144" s="1675">
        <f>'UOP (2)'!H7</f>
        <v>0</v>
      </c>
      <c r="I144" s="244"/>
      <c r="J144" s="244"/>
      <c r="K144" s="251"/>
    </row>
    <row r="145" spans="2:11" ht="16" outlineLevel="1">
      <c r="B145" s="121"/>
      <c r="C145" s="460" t="s">
        <v>723</v>
      </c>
      <c r="D145" s="1453"/>
      <c r="E145" s="1452"/>
      <c r="F145" s="122"/>
      <c r="G145" s="460" t="s">
        <v>723</v>
      </c>
      <c r="H145" s="1454">
        <f>D145</f>
        <v>0</v>
      </c>
      <c r="I145" s="244"/>
      <c r="J145" s="244"/>
      <c r="K145" s="251"/>
    </row>
    <row r="146" spans="2:11" ht="17" outlineLevel="1" thickBot="1">
      <c r="B146" s="121"/>
      <c r="C146" s="466" t="s">
        <v>724</v>
      </c>
      <c r="D146" s="1676">
        <f>(D143+D144)*D145</f>
        <v>0</v>
      </c>
      <c r="E146" s="244"/>
      <c r="F146" s="122"/>
      <c r="G146" s="466" t="s">
        <v>724</v>
      </c>
      <c r="H146" s="1682">
        <f>(H141+H143)*H145</f>
        <v>0</v>
      </c>
      <c r="I146" s="244"/>
      <c r="J146" s="244"/>
      <c r="K146" s="251"/>
    </row>
    <row r="147" spans="2:11" ht="17" outlineLevel="1" thickBot="1">
      <c r="B147" s="121"/>
      <c r="C147" s="460" t="s">
        <v>725</v>
      </c>
      <c r="D147" s="1677">
        <f>+D141+D142+D146</f>
        <v>0</v>
      </c>
      <c r="E147" s="244"/>
      <c r="F147" s="122"/>
      <c r="G147" s="460" t="s">
        <v>725</v>
      </c>
      <c r="H147" s="1677">
        <f>+H141+H146</f>
        <v>0</v>
      </c>
      <c r="I147" s="468"/>
      <c r="J147" s="244"/>
      <c r="K147" s="251"/>
    </row>
    <row r="148" spans="2:11" ht="17" outlineLevel="1" thickBot="1">
      <c r="B148" s="121"/>
      <c r="C148" s="122"/>
      <c r="D148" s="122"/>
      <c r="E148" s="244"/>
      <c r="F148" s="122"/>
      <c r="G148" s="466"/>
      <c r="H148" s="244"/>
      <c r="I148" s="468"/>
      <c r="J148" s="244"/>
      <c r="K148" s="251"/>
    </row>
    <row r="149" spans="2:11" ht="16" outlineLevel="1">
      <c r="B149" s="121"/>
      <c r="C149" s="244" t="s">
        <v>144</v>
      </c>
      <c r="D149" s="1679">
        <f>'UOP (2)'!D59</f>
        <v>0</v>
      </c>
      <c r="E149" s="244"/>
      <c r="F149" s="122"/>
      <c r="G149" s="244" t="s">
        <v>144</v>
      </c>
      <c r="H149" s="1679">
        <f>'UOP (2)'!D59</f>
        <v>0</v>
      </c>
      <c r="I149" s="2780"/>
      <c r="J149" s="2781"/>
      <c r="K149" s="2782"/>
    </row>
    <row r="150" spans="2:11" ht="16" outlineLevel="1">
      <c r="B150" s="121"/>
      <c r="C150" s="466" t="s">
        <v>726</v>
      </c>
      <c r="D150" s="1454">
        <f>IFERROR(D149/D147,0)</f>
        <v>0</v>
      </c>
      <c r="E150" s="244"/>
      <c r="F150" s="122"/>
      <c r="G150" s="466" t="s">
        <v>726</v>
      </c>
      <c r="H150" s="1456">
        <f>IFERROR(H149/H147,0)</f>
        <v>0</v>
      </c>
      <c r="I150" s="244"/>
      <c r="J150" s="244"/>
      <c r="K150" s="251"/>
    </row>
    <row r="151" spans="2:11" ht="16" outlineLevel="1">
      <c r="B151" s="121"/>
      <c r="C151" s="460" t="s">
        <v>709</v>
      </c>
      <c r="D151" s="1455"/>
      <c r="E151" s="244"/>
      <c r="F151" s="122"/>
      <c r="G151" s="460" t="s">
        <v>709</v>
      </c>
      <c r="H151" s="1455"/>
      <c r="I151" s="469"/>
      <c r="J151" s="244"/>
      <c r="K151" s="470"/>
    </row>
    <row r="152" spans="2:11" ht="16" outlineLevel="1">
      <c r="B152" s="121"/>
      <c r="C152" s="460" t="s">
        <v>710</v>
      </c>
      <c r="D152" s="1680">
        <f>D147*D151</f>
        <v>0</v>
      </c>
      <c r="E152" s="463"/>
      <c r="F152" s="122"/>
      <c r="G152" s="460" t="s">
        <v>710</v>
      </c>
      <c r="H152" s="1680">
        <f>H147*H151</f>
        <v>0</v>
      </c>
      <c r="I152" s="469"/>
      <c r="J152" s="244"/>
      <c r="K152" s="470"/>
    </row>
    <row r="153" spans="2:11" ht="17" outlineLevel="1" thickBot="1">
      <c r="B153" s="121"/>
      <c r="C153" s="460" t="s">
        <v>712</v>
      </c>
      <c r="D153" s="1681">
        <f>D149-D152</f>
        <v>0</v>
      </c>
      <c r="E153" s="244"/>
      <c r="F153" s="122"/>
      <c r="G153" s="460" t="s">
        <v>712</v>
      </c>
      <c r="H153" s="1681">
        <f>H149-H152</f>
        <v>0</v>
      </c>
      <c r="I153" s="469"/>
      <c r="J153" s="244"/>
      <c r="K153" s="470"/>
    </row>
    <row r="154" spans="2:11" ht="17" outlineLevel="1" thickBot="1">
      <c r="B154" s="248"/>
      <c r="C154" s="2783" t="str">
        <f>IF($D$149&lt;=$D$152,"THIS LOAN IS NOT HIGH LTV","THIS LOAN IS HIGH LTV")</f>
        <v>THIS LOAN IS NOT HIGH LTV</v>
      </c>
      <c r="D154" s="2398"/>
      <c r="E154" s="2784"/>
      <c r="F154" s="358"/>
      <c r="G154" s="2783" t="str">
        <f>IF($H$149&lt;=$H$152,"THIS LOAN IS NOT HIGH LTV","THIS LOAN IS HIGH LTV")</f>
        <v>THIS LOAN IS NOT HIGH LTV</v>
      </c>
      <c r="H154" s="2398"/>
      <c r="I154" s="2784"/>
      <c r="J154" s="244"/>
      <c r="K154" s="470"/>
    </row>
    <row r="155" spans="2:11" ht="17" outlineLevel="1" thickBot="1">
      <c r="B155" s="471"/>
      <c r="C155" s="761" t="s">
        <v>727</v>
      </c>
      <c r="D155" s="472"/>
      <c r="E155" s="249"/>
      <c r="F155" s="249"/>
      <c r="G155" s="249"/>
      <c r="H155" s="249"/>
      <c r="I155" s="249"/>
      <c r="J155" s="249"/>
      <c r="K155" s="378"/>
    </row>
    <row r="156" spans="2:11" ht="17" thickBot="1">
      <c r="B156" s="776"/>
      <c r="C156" s="777" t="s">
        <v>728</v>
      </c>
      <c r="D156" s="777"/>
      <c r="E156" s="777"/>
      <c r="F156" s="777"/>
      <c r="G156" s="777"/>
      <c r="H156" s="777"/>
      <c r="I156" s="777"/>
      <c r="J156" s="777"/>
      <c r="K156" s="778"/>
    </row>
    <row r="157" spans="2:11" ht="16" thickBot="1"/>
    <row r="158" spans="2:11" ht="17" thickBot="1">
      <c r="B158" s="2289" t="s">
        <v>729</v>
      </c>
      <c r="C158" s="2290"/>
      <c r="D158" s="2290"/>
      <c r="E158" s="2290"/>
      <c r="F158" s="2290"/>
      <c r="G158" s="2290"/>
      <c r="H158" s="2290"/>
      <c r="I158" s="2290"/>
      <c r="J158" s="2290"/>
      <c r="K158" s="2291"/>
    </row>
    <row r="159" spans="2:11" ht="16" thickBot="1">
      <c r="B159" s="1651" t="s">
        <v>266</v>
      </c>
      <c r="C159" s="804" t="s">
        <v>730</v>
      </c>
      <c r="D159" s="804" t="s">
        <v>731</v>
      </c>
      <c r="E159" s="804" t="s">
        <v>732</v>
      </c>
      <c r="F159" s="804" t="s">
        <v>733</v>
      </c>
      <c r="G159" s="1652"/>
      <c r="H159" s="494"/>
      <c r="I159" s="494"/>
      <c r="J159" s="494"/>
      <c r="K159" s="495"/>
    </row>
    <row r="160" spans="2:11">
      <c r="B160" s="1648"/>
      <c r="C160" s="1595"/>
      <c r="D160" s="1595"/>
      <c r="E160" s="1649"/>
      <c r="F160" s="1650">
        <f>(C160-D160)*E160</f>
        <v>0</v>
      </c>
      <c r="G160" s="122"/>
      <c r="H160" s="1657" t="s">
        <v>144</v>
      </c>
      <c r="I160" s="1662">
        <f>C85</f>
        <v>0</v>
      </c>
      <c r="J160" s="122"/>
      <c r="K160" s="195"/>
    </row>
    <row r="161" spans="2:11">
      <c r="B161" s="1644"/>
      <c r="C161" s="1596"/>
      <c r="D161" s="1596"/>
      <c r="E161" s="450"/>
      <c r="F161" s="185">
        <f t="shared" ref="F161:F166" si="12">(C161-D161)*E161</f>
        <v>0</v>
      </c>
      <c r="G161" s="122"/>
      <c r="H161" s="1658" t="s">
        <v>734</v>
      </c>
      <c r="I161" s="1663">
        <f>F167-I160</f>
        <v>0</v>
      </c>
      <c r="J161" s="122"/>
      <c r="K161" s="195"/>
    </row>
    <row r="162" spans="2:11">
      <c r="B162" s="1644"/>
      <c r="C162" s="1596"/>
      <c r="D162" s="1596"/>
      <c r="E162" s="450"/>
      <c r="F162" s="185">
        <f t="shared" si="12"/>
        <v>0</v>
      </c>
      <c r="G162" s="122"/>
      <c r="H162" s="122"/>
      <c r="I162" s="122"/>
      <c r="J162" s="122"/>
      <c r="K162" s="195"/>
    </row>
    <row r="163" spans="2:11">
      <c r="B163" s="1644"/>
      <c r="C163" s="1596"/>
      <c r="D163" s="1596"/>
      <c r="E163" s="450"/>
      <c r="F163" s="185">
        <f t="shared" si="12"/>
        <v>0</v>
      </c>
      <c r="G163" s="122"/>
      <c r="H163" s="122"/>
      <c r="I163" s="122"/>
      <c r="J163" s="122"/>
      <c r="K163" s="195"/>
    </row>
    <row r="164" spans="2:11">
      <c r="B164" s="1644"/>
      <c r="C164" s="1596"/>
      <c r="D164" s="1596"/>
      <c r="E164" s="450"/>
      <c r="F164" s="185">
        <f t="shared" si="12"/>
        <v>0</v>
      </c>
      <c r="G164" s="122"/>
      <c r="H164" s="122"/>
      <c r="I164" s="122"/>
      <c r="J164" s="122"/>
      <c r="K164" s="195"/>
    </row>
    <row r="165" spans="2:11">
      <c r="B165" s="1644"/>
      <c r="C165" s="1596"/>
      <c r="D165" s="1596"/>
      <c r="E165" s="450"/>
      <c r="F165" s="185">
        <f t="shared" si="12"/>
        <v>0</v>
      </c>
      <c r="G165" s="122"/>
      <c r="H165" s="122"/>
      <c r="I165" s="122"/>
      <c r="J165" s="122"/>
      <c r="K165" s="195"/>
    </row>
    <row r="166" spans="2:11">
      <c r="B166" s="1644"/>
      <c r="C166" s="1596"/>
      <c r="D166" s="1596"/>
      <c r="E166" s="450"/>
      <c r="F166" s="185">
        <f t="shared" si="12"/>
        <v>0</v>
      </c>
      <c r="G166" s="122"/>
      <c r="H166" s="122"/>
      <c r="I166" s="122"/>
      <c r="J166" s="122"/>
      <c r="K166" s="195"/>
    </row>
    <row r="167" spans="2:11" ht="16" thickBot="1">
      <c r="B167" s="1647"/>
      <c r="C167" s="1645"/>
      <c r="D167" s="1645"/>
      <c r="E167" s="1654" t="s">
        <v>104</v>
      </c>
      <c r="F167" s="1659">
        <f>SUM(F160:F166)</f>
        <v>0</v>
      </c>
      <c r="G167" s="124"/>
      <c r="H167" s="124"/>
      <c r="I167" s="124"/>
      <c r="J167" s="124"/>
      <c r="K167" s="491"/>
    </row>
  </sheetData>
  <sheetProtection algorithmName="SHA-512" hashValue="3JHKzTuwgLYKUr4VETIug4lQlQ4SquC1cYVuObpR7/KPiR3qQJe1DF7pB6DjrkA0e8qxJpmiL1WTkQh4c/KqOg==" saltValue="YVEF9k3ldFniqDy+bYh+2w==" spinCount="100000" sheet="1" scenarios="1" formatCells="0" formatColumns="0" formatRows="0"/>
  <dataConsolidate/>
  <customSheetViews>
    <customSheetView guid="{6E1FDEE6-49D0-4876-8C7C-09893145D2CE}" scale="85" showGridLines="0" printArea="1" state="hidden">
      <selection activeCell="G58" sqref="G58:I58"/>
      <rowBreaks count="1" manualBreakCount="1">
        <brk id="66" max="9" man="1"/>
      </rowBreaks>
      <pageMargins left="0" right="0" top="0" bottom="0" header="0" footer="0"/>
      <printOptions horizontalCentered="1"/>
      <pageSetup scale="54" orientation="portrait" r:id="rId1"/>
      <headerFooter differentFirst="1">
        <firstHeader>&amp;L&amp;G&amp;C&amp;8
&amp;18Credit Memo</firstHeader>
      </headerFooter>
    </customSheetView>
    <customSheetView guid="{DB1F6E98-7FCC-445F-9DA6-47D8BF8BE969}" scale="85" showGridLines="0" printArea="1" state="hidden">
      <selection activeCell="G58" sqref="G58:I58"/>
      <rowBreaks count="1" manualBreakCount="1">
        <brk id="66" max="9" man="1"/>
      </rowBreaks>
      <pageMargins left="0" right="0" top="0" bottom="0" header="0" footer="0"/>
      <printOptions horizontalCentered="1"/>
      <pageSetup scale="54" orientation="portrait" r:id="rId2"/>
      <headerFooter differentFirst="1">
        <firstHeader>&amp;L&amp;G&amp;C&amp;8
&amp;18Credit Memo</firstHeader>
      </headerFooter>
    </customSheetView>
    <customSheetView guid="{C02CA8E5-5D4C-45E5-BC4A-4C9BE481059B}" scale="85" showGridLines="0" printArea="1" state="hidden">
      <selection activeCell="M1" sqref="M1:O1"/>
      <rowBreaks count="1" manualBreakCount="1">
        <brk id="66" max="9" man="1"/>
      </rowBreaks>
      <pageMargins left="0" right="0" top="0" bottom="0" header="0" footer="0"/>
      <printOptions horizontalCentered="1"/>
      <pageSetup scale="54" orientation="portrait" r:id="rId3"/>
      <headerFooter differentFirst="1">
        <firstHeader>&amp;L&amp;G&amp;C&amp;8
&amp;18Credit Memo</firstHeader>
      </headerFooter>
    </customSheetView>
  </customSheetViews>
  <mergeCells count="92">
    <mergeCell ref="B2:K2"/>
    <mergeCell ref="N2:P2"/>
    <mergeCell ref="B4:K4"/>
    <mergeCell ref="C5:J5"/>
    <mergeCell ref="G11:I11"/>
    <mergeCell ref="B12:K12"/>
    <mergeCell ref="B13:K13"/>
    <mergeCell ref="B14:K14"/>
    <mergeCell ref="C15:J15"/>
    <mergeCell ref="G40:I40"/>
    <mergeCell ref="G21:I21"/>
    <mergeCell ref="B22:K22"/>
    <mergeCell ref="B23:K23"/>
    <mergeCell ref="C24:J24"/>
    <mergeCell ref="C36:H36"/>
    <mergeCell ref="G37:H37"/>
    <mergeCell ref="D38:E38"/>
    <mergeCell ref="G38:H38"/>
    <mergeCell ref="G39:H39"/>
    <mergeCell ref="C35:E35"/>
    <mergeCell ref="G30:I30"/>
    <mergeCell ref="B31:K31"/>
    <mergeCell ref="B32:K32"/>
    <mergeCell ref="C33:K33"/>
    <mergeCell ref="G35:H35"/>
    <mergeCell ref="B61:K61"/>
    <mergeCell ref="G48:H48"/>
    <mergeCell ref="B41:K41"/>
    <mergeCell ref="C43:K43"/>
    <mergeCell ref="C45:E45"/>
    <mergeCell ref="G45:H45"/>
    <mergeCell ref="C46:H46"/>
    <mergeCell ref="G47:H47"/>
    <mergeCell ref="D48:E48"/>
    <mergeCell ref="G49:H49"/>
    <mergeCell ref="G50:I50"/>
    <mergeCell ref="G57:H57"/>
    <mergeCell ref="D58:E58"/>
    <mergeCell ref="G58:H58"/>
    <mergeCell ref="G59:H59"/>
    <mergeCell ref="G60:I60"/>
    <mergeCell ref="C55:E55"/>
    <mergeCell ref="B51:K51"/>
    <mergeCell ref="C53:K53"/>
    <mergeCell ref="G55:H55"/>
    <mergeCell ref="C56:H56"/>
    <mergeCell ref="E82:F82"/>
    <mergeCell ref="C65:E65"/>
    <mergeCell ref="C63:K63"/>
    <mergeCell ref="G65:H65"/>
    <mergeCell ref="C66:H66"/>
    <mergeCell ref="G67:H67"/>
    <mergeCell ref="D68:E68"/>
    <mergeCell ref="G68:H68"/>
    <mergeCell ref="G69:H69"/>
    <mergeCell ref="G70:I70"/>
    <mergeCell ref="B71:K71"/>
    <mergeCell ref="E77:F77"/>
    <mergeCell ref="E78:F78"/>
    <mergeCell ref="E79:F79"/>
    <mergeCell ref="E80:F80"/>
    <mergeCell ref="E81:F81"/>
    <mergeCell ref="B72:K72"/>
    <mergeCell ref="E73:F73"/>
    <mergeCell ref="E74:F74"/>
    <mergeCell ref="E75:F75"/>
    <mergeCell ref="E76:F76"/>
    <mergeCell ref="B96:K96"/>
    <mergeCell ref="I128:K128"/>
    <mergeCell ref="B120:K120"/>
    <mergeCell ref="D90:E90"/>
    <mergeCell ref="D92:I92"/>
    <mergeCell ref="B98:K98"/>
    <mergeCell ref="E99:F99"/>
    <mergeCell ref="E100:F100"/>
    <mergeCell ref="E101:F101"/>
    <mergeCell ref="E102:F102"/>
    <mergeCell ref="E103:F103"/>
    <mergeCell ref="E104:F104"/>
    <mergeCell ref="E105:F105"/>
    <mergeCell ref="E106:F106"/>
    <mergeCell ref="E107:F107"/>
    <mergeCell ref="E108:F108"/>
    <mergeCell ref="D116:E116"/>
    <mergeCell ref="B158:K158"/>
    <mergeCell ref="C154:E154"/>
    <mergeCell ref="G154:I154"/>
    <mergeCell ref="B137:K137"/>
    <mergeCell ref="C133:H133"/>
    <mergeCell ref="B138:K138"/>
    <mergeCell ref="B139:K139"/>
    <mergeCell ref="I149:K149"/>
  </mergeCells>
  <conditionalFormatting sqref="C133:H133">
    <cfRule type="expression" dxfId="34" priority="5">
      <formula>$H$132&lt;=$D$132</formula>
    </cfRule>
    <cfRule type="expression" dxfId="33" priority="6">
      <formula>$H$132&gt;$D$132</formula>
    </cfRule>
  </conditionalFormatting>
  <conditionalFormatting sqref="C154:E154">
    <cfRule type="expression" dxfId="32" priority="3">
      <formula>$D$149&lt;=$D$152</formula>
    </cfRule>
    <cfRule type="expression" dxfId="31" priority="4">
      <formula>$D$149&gt;$D$152</formula>
    </cfRule>
  </conditionalFormatting>
  <conditionalFormatting sqref="G154:I154">
    <cfRule type="expression" dxfId="30" priority="1">
      <formula>$H$149&lt;=$H$152</formula>
    </cfRule>
    <cfRule type="expression" dxfId="29" priority="2">
      <formula>$H$149&gt;$H$152</formula>
    </cfRule>
  </conditionalFormatting>
  <printOptions horizontalCentered="1"/>
  <pageMargins left="0.7" right="0.7" top="0.75" bottom="0.75" header="0.3" footer="0.3"/>
  <pageSetup scale="40" orientation="portrait" r:id="rId4"/>
  <headerFooter differentFirst="1">
    <firstHeader>&amp;L&amp;G&amp;C&amp;8
&amp;18Credit Memo</firstHeader>
  </headerFooter>
  <rowBreaks count="1" manualBreakCount="1">
    <brk id="96" min="1" max="10" man="1"/>
  </rowBreaks>
  <drawing r:id="rId5"/>
  <legacyDrawing r:id="rId6"/>
  <extLst>
    <ext xmlns:x14="http://schemas.microsoft.com/office/spreadsheetml/2009/9/main" uri="{CCE6A557-97BC-4b89-ADB6-D9C93CAAB3DF}">
      <x14:dataValidations xmlns:xm="http://schemas.microsoft.com/office/excel/2006/main" count="10">
        <x14:dataValidation type="list" allowBlank="1" showInputMessage="1" showErrorMessage="1" xr:uid="{4EF334AD-99A5-4F4C-934F-72688ACFF5F1}">
          <x14:formula1>
            <xm:f>Lists!$F$53:$F$56</xm:f>
          </x14:formula1>
          <xm:sqref>I6 I25 I16</xm:sqref>
        </x14:dataValidation>
        <x14:dataValidation type="list" allowBlank="1" showInputMessage="1" showErrorMessage="1" xr:uid="{00000000-0002-0000-1400-000001000000}">
          <x14:formula1>
            <xm:f>Lists!$D$11:$D$13</xm:f>
          </x14:formula1>
          <xm:sqref>C92:C93</xm:sqref>
        </x14:dataValidation>
        <x14:dataValidation type="list" allowBlank="1" showInputMessage="1" showErrorMessage="1" xr:uid="{00000000-0002-0000-1400-000002000000}">
          <x14:formula1>
            <xm:f>Lists!$E$30:$E$38</xm:f>
          </x14:formula1>
          <xm:sqref>C48 D77:D82 G6 C38 G25 G16 C58 C68 D103:D108</xm:sqref>
        </x14:dataValidation>
        <x14:dataValidation type="list" allowBlank="1" showInputMessage="1" showErrorMessage="1" xr:uid="{3C42032E-7A72-4F9E-817C-E4C7DB7A3FAA}">
          <x14:formula1>
            <xm:f>Lists!$C$31:$C$34</xm:f>
          </x14:formula1>
          <xm:sqref>C45 C65 C55 C35</xm:sqref>
        </x14:dataValidation>
        <x14:dataValidation type="list" allowBlank="1" showInputMessage="1" showErrorMessage="1" xr:uid="{8E7ED9DB-FA5B-4FBB-93E6-C3F93E32F6C7}">
          <x14:formula1>
            <xm:f>Lists!$B$30:$B$35</xm:f>
          </x14:formula1>
          <xm:sqref>C6 C44 C54 C34 C64 C16 C25</xm:sqref>
        </x14:dataValidation>
        <x14:dataValidation type="list" allowBlank="1" showInputMessage="1" showErrorMessage="1" xr:uid="{4E65DE40-916F-4E02-B9BC-2249D1BE60EF}">
          <x14:formula1>
            <xm:f>Lists!$C$2:$C$4</xm:f>
          </x14:formula1>
          <xm:sqref>G8 F48 F58 F68 F38 K6:K7 G18 K16:K17 G27 K25:K26</xm:sqref>
        </x14:dataValidation>
        <x14:dataValidation type="list" allowBlank="1" showInputMessage="1" showErrorMessage="1" xr:uid="{3830C9B5-1E61-4311-9D17-9D27084D6426}">
          <x14:formula1>
            <xm:f>Lists!$F$37:$F$48</xm:f>
          </x14:formula1>
          <xm:sqref>E18 E27 E8</xm:sqref>
        </x14:dataValidation>
        <x14:dataValidation type="list" allowBlank="1" showInputMessage="1" showErrorMessage="1" xr:uid="{D25078FA-42F7-4E69-9662-E480A7EA4EB4}">
          <x14:formula1>
            <xm:f>Lists!$D$30:$D$45</xm:f>
          </x14:formula1>
          <xm:sqref>E6 E16 E25</xm:sqref>
        </x14:dataValidation>
        <x14:dataValidation type="list" allowBlank="1" showInputMessage="1" showErrorMessage="1" xr:uid="{EC809180-8EDD-4B1D-AE90-77B880A6379D}">
          <x14:formula1>
            <xm:f>Lists!$B$71:$B$74</xm:f>
          </x14:formula1>
          <xm:sqref>B74:B76 B100:B102</xm:sqref>
        </x14:dataValidation>
        <x14:dataValidation type="list" allowBlank="1" showInputMessage="1" showErrorMessage="1" xr:uid="{06791212-2D08-4137-96C8-E2F53D4C96D5}">
          <x14:formula1>
            <xm:f>Lists!$C$71:$C$75</xm:f>
          </x14:formula1>
          <xm:sqref>H129 D151 H151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B050"/>
    <pageSetUpPr autoPageBreaks="0"/>
  </sheetPr>
  <dimension ref="B1:Z73"/>
  <sheetViews>
    <sheetView showGridLines="0" topLeftCell="A19" zoomScale="85" zoomScaleNormal="85" workbookViewId="0">
      <selection activeCell="N30" sqref="N30"/>
    </sheetView>
  </sheetViews>
  <sheetFormatPr baseColWidth="10" defaultColWidth="8.83203125" defaultRowHeight="15"/>
  <cols>
    <col min="1" max="1" width="2.6640625" style="902" customWidth="1"/>
    <col min="2" max="2" width="25.5" style="902" customWidth="1"/>
    <col min="3" max="3" width="0.83203125" style="902" customWidth="1"/>
    <col min="4" max="4" width="13.83203125" style="902" bestFit="1" customWidth="1"/>
    <col min="5" max="5" width="0.83203125" style="902" customWidth="1"/>
    <col min="6" max="6" width="16.5" style="902" bestFit="1" customWidth="1"/>
    <col min="7" max="7" width="1.5" style="902" customWidth="1"/>
    <col min="8" max="8" width="12.5" style="902" bestFit="1" customWidth="1"/>
    <col min="9" max="9" width="0.83203125" style="902" customWidth="1"/>
    <col min="10" max="10" width="11.33203125" style="902" bestFit="1" customWidth="1"/>
    <col min="11" max="11" width="0.83203125" style="902" customWidth="1"/>
    <col min="12" max="12" width="10.5" style="902" bestFit="1" customWidth="1"/>
    <col min="13" max="13" width="0.83203125" style="902" customWidth="1"/>
    <col min="14" max="14" width="10.6640625" style="902" customWidth="1"/>
    <col min="15" max="15" width="0.83203125" style="902" customWidth="1"/>
    <col min="16" max="16" width="10.6640625" style="902" customWidth="1"/>
    <col min="17" max="17" width="0.83203125" style="902" customWidth="1"/>
    <col min="18" max="18" width="10.1640625" style="902" customWidth="1"/>
    <col min="19" max="19" width="8.83203125" style="902"/>
    <col min="20" max="21" width="0.83203125" style="902" customWidth="1"/>
    <col min="22" max="16384" width="8.83203125" style="902"/>
  </cols>
  <sheetData>
    <row r="1" spans="2:26" ht="16" thickBot="1">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2:26" ht="16">
      <c r="B2" s="2860" t="s">
        <v>735</v>
      </c>
      <c r="C2" s="2861"/>
      <c r="D2" s="2861"/>
      <c r="E2" s="2861"/>
      <c r="F2" s="2861"/>
      <c r="G2" s="2861"/>
      <c r="H2" s="2861"/>
      <c r="I2" s="2861"/>
      <c r="J2" s="2861"/>
      <c r="K2" s="2861"/>
      <c r="L2" s="2861"/>
      <c r="M2" s="2861"/>
      <c r="N2" s="2861"/>
      <c r="O2" s="2861"/>
      <c r="P2" s="2861"/>
      <c r="Q2" s="2861"/>
      <c r="R2" s="2861"/>
      <c r="S2" s="2861"/>
      <c r="T2" s="2861"/>
      <c r="U2" s="2862"/>
      <c r="V2" s="128"/>
      <c r="W2" s="26"/>
      <c r="X2" s="2756"/>
      <c r="Y2" s="2756"/>
      <c r="Z2" s="2756"/>
    </row>
    <row r="3" spans="2:26" ht="16">
      <c r="B3" s="2863" t="s">
        <v>736</v>
      </c>
      <c r="C3" s="2864"/>
      <c r="D3" s="2864"/>
      <c r="E3" s="2864"/>
      <c r="F3" s="2864"/>
      <c r="G3" s="2864"/>
      <c r="H3" s="2864"/>
      <c r="I3" s="2864"/>
      <c r="J3" s="2864"/>
      <c r="K3" s="2864"/>
      <c r="L3" s="2864"/>
      <c r="M3" s="2864"/>
      <c r="N3" s="2864"/>
      <c r="O3" s="2864"/>
      <c r="P3" s="2864"/>
      <c r="Q3" s="2864"/>
      <c r="R3" s="2864"/>
      <c r="S3" s="2864"/>
      <c r="T3" s="2864"/>
      <c r="U3" s="2865"/>
      <c r="V3" s="128"/>
      <c r="W3" s="128"/>
      <c r="X3" s="128"/>
      <c r="Y3" s="128"/>
      <c r="Z3" s="128"/>
    </row>
    <row r="4" spans="2:26" ht="34">
      <c r="B4" s="2866"/>
      <c r="C4" s="903"/>
      <c r="D4" s="904">
        <f>'Hist IS and Proj'!D4</f>
        <v>44561</v>
      </c>
      <c r="E4" s="905"/>
      <c r="F4" s="904">
        <f>'Hist IS and Proj'!F4</f>
        <v>44926</v>
      </c>
      <c r="G4" s="905"/>
      <c r="H4" s="904">
        <f>'Hist IS and Proj'!H4</f>
        <v>45291</v>
      </c>
      <c r="I4" s="905"/>
      <c r="J4" s="904">
        <f>'Hist IS and Proj'!J4</f>
        <v>45657</v>
      </c>
      <c r="K4" s="905"/>
      <c r="L4" s="904" t="str">
        <f>'Cash Flow'!K3</f>
        <v>Borrower 
Year 1</v>
      </c>
      <c r="M4" s="245"/>
      <c r="N4" s="904" t="str">
        <f>'Cash Flow'!M3</f>
        <v>Borrower
Year 2</v>
      </c>
      <c r="O4" s="245"/>
      <c r="P4" s="904" t="str">
        <f>'Cash Flow'!O3</f>
        <v>Appraisal Proj</v>
      </c>
      <c r="Q4" s="245"/>
      <c r="R4" s="904" t="str">
        <f>'Cash Flow'!Q3</f>
        <v>Bank 
Adjusted</v>
      </c>
      <c r="S4" s="2871" t="s">
        <v>737</v>
      </c>
      <c r="T4" s="906"/>
      <c r="U4" s="907"/>
      <c r="V4" s="128"/>
      <c r="W4" s="128"/>
      <c r="X4" s="128"/>
      <c r="Y4" s="128"/>
      <c r="Z4" s="128"/>
    </row>
    <row r="5" spans="2:26" ht="16">
      <c r="B5" s="2867"/>
      <c r="C5" s="909"/>
      <c r="D5" s="910">
        <f>'Hist IS and Proj'!D5</f>
        <v>12</v>
      </c>
      <c r="E5" s="911"/>
      <c r="F5" s="910">
        <f>'Hist IS and Proj'!F5</f>
        <v>12</v>
      </c>
      <c r="G5" s="911"/>
      <c r="H5" s="910">
        <f>'Hist IS and Proj'!H5</f>
        <v>12</v>
      </c>
      <c r="I5" s="911"/>
      <c r="J5" s="910" t="e">
        <f>'Hist IS and Proj'!J5</f>
        <v>#REF!</v>
      </c>
      <c r="K5" s="911"/>
      <c r="L5" s="910">
        <f>'Cash Flow'!K5</f>
        <v>12</v>
      </c>
      <c r="M5" s="911"/>
      <c r="N5" s="910">
        <f>'Cash Flow'!M5</f>
        <v>12</v>
      </c>
      <c r="O5" s="911"/>
      <c r="P5" s="910">
        <f>'Cash Flow'!Q5</f>
        <v>12</v>
      </c>
      <c r="Q5" s="911"/>
      <c r="R5" s="910">
        <f>'Cash Flow'!Q5</f>
        <v>12</v>
      </c>
      <c r="S5" s="2872"/>
      <c r="T5" s="906"/>
      <c r="U5" s="2870"/>
      <c r="V5" s="128"/>
      <c r="W5" s="128"/>
      <c r="X5" s="128"/>
      <c r="Y5" s="128"/>
      <c r="Z5" s="128"/>
    </row>
    <row r="6" spans="2:26" ht="17">
      <c r="B6" s="908" t="s">
        <v>190</v>
      </c>
      <c r="C6" s="909"/>
      <c r="D6" s="912">
        <f>'Hist IS and Proj'!D18</f>
        <v>0</v>
      </c>
      <c r="E6" s="913"/>
      <c r="F6" s="912">
        <f>'Hist IS and Proj'!F18</f>
        <v>0</v>
      </c>
      <c r="G6" s="913"/>
      <c r="H6" s="912">
        <f>'Hist IS and Proj'!H18</f>
        <v>0</v>
      </c>
      <c r="I6" s="913"/>
      <c r="J6" s="912">
        <f>'Hist IS and Proj'!J18</f>
        <v>0</v>
      </c>
      <c r="K6" s="913"/>
      <c r="L6" s="912">
        <f>'Hist IS and Proj'!T18</f>
        <v>0</v>
      </c>
      <c r="M6" s="913"/>
      <c r="N6" s="912">
        <f>'Hist IS and Proj'!V18</f>
        <v>0</v>
      </c>
      <c r="O6" s="913"/>
      <c r="P6" s="912">
        <f>'Hist IS and Proj'!X18</f>
        <v>0</v>
      </c>
      <c r="Q6" s="913"/>
      <c r="R6" s="912">
        <f>'Hist IS and Proj'!Z18</f>
        <v>0</v>
      </c>
      <c r="S6" s="2873"/>
      <c r="T6" s="906"/>
      <c r="U6" s="2870"/>
      <c r="V6" s="128"/>
      <c r="W6" s="128"/>
      <c r="X6" s="128"/>
      <c r="Y6" s="128"/>
      <c r="Z6" s="128"/>
    </row>
    <row r="7" spans="2:26" ht="17">
      <c r="B7" s="908" t="s">
        <v>738</v>
      </c>
      <c r="C7" s="909"/>
      <c r="D7" s="914">
        <f>D6/D5*12</f>
        <v>0</v>
      </c>
      <c r="E7" s="915"/>
      <c r="F7" s="914">
        <f t="shared" ref="F7:H7" si="0">F6/F5*12</f>
        <v>0</v>
      </c>
      <c r="G7" s="915"/>
      <c r="H7" s="914">
        <f t="shared" si="0"/>
        <v>0</v>
      </c>
      <c r="I7" s="915"/>
      <c r="J7" s="914" t="e">
        <f>J6/J5*12</f>
        <v>#REF!</v>
      </c>
      <c r="K7" s="915"/>
      <c r="L7" s="914">
        <f>L6/L5*12</f>
        <v>0</v>
      </c>
      <c r="M7" s="915"/>
      <c r="N7" s="914">
        <f>N6/N5*12</f>
        <v>0</v>
      </c>
      <c r="O7" s="915"/>
      <c r="P7" s="914">
        <f>P6/P5*12</f>
        <v>0</v>
      </c>
      <c r="Q7" s="915"/>
      <c r="R7" s="914">
        <f>R6/R5*12</f>
        <v>0</v>
      </c>
      <c r="S7" s="2874"/>
      <c r="T7" s="906"/>
      <c r="U7" s="916"/>
      <c r="V7" s="128"/>
      <c r="W7" s="128"/>
      <c r="X7" s="128"/>
      <c r="Y7" s="128"/>
      <c r="Z7" s="128"/>
    </row>
    <row r="8" spans="2:26" ht="17">
      <c r="B8" s="908" t="s">
        <v>739</v>
      </c>
      <c r="C8" s="909"/>
      <c r="D8" s="917" t="s">
        <v>327</v>
      </c>
      <c r="E8" s="918"/>
      <c r="F8" s="919">
        <f>IF(D7=0,0,(F7-D7)/D7)</f>
        <v>0</v>
      </c>
      <c r="G8" s="918"/>
      <c r="H8" s="919">
        <f>IF(F7=0,0,(H7-F7)/F7)</f>
        <v>0</v>
      </c>
      <c r="I8" s="918"/>
      <c r="J8" s="919">
        <f>IF(H7=0,0,(J7-H7)/H7)</f>
        <v>0</v>
      </c>
      <c r="K8" s="918"/>
      <c r="L8" s="919" t="e">
        <f>IF(J7=0,0,(L7-J7)/J7)</f>
        <v>#REF!</v>
      </c>
      <c r="M8" s="918"/>
      <c r="N8" s="919">
        <f>IF(L7=0,0,(N7-L7)/L7)</f>
        <v>0</v>
      </c>
      <c r="O8" s="918"/>
      <c r="P8" s="919">
        <f>IF(N7=0,0,(P7-N7)/N7)</f>
        <v>0</v>
      </c>
      <c r="Q8" s="918"/>
      <c r="R8" s="919" t="e">
        <f>IF(J7=0,0,(R7-J7)/J7)</f>
        <v>#REF!</v>
      </c>
      <c r="S8" s="2875"/>
      <c r="T8" s="906"/>
      <c r="U8" s="916"/>
      <c r="V8" s="128"/>
      <c r="W8" s="128"/>
      <c r="X8" s="128"/>
      <c r="Y8" s="128"/>
      <c r="Z8" s="128"/>
    </row>
    <row r="9" spans="2:26" ht="17">
      <c r="B9" s="908" t="s">
        <v>191</v>
      </c>
      <c r="C9" s="909"/>
      <c r="D9" s="920">
        <f>'Hist IS and Proj'!E19</f>
        <v>0</v>
      </c>
      <c r="E9" s="921"/>
      <c r="F9" s="920">
        <f>'Hist IS and Proj'!G19</f>
        <v>0</v>
      </c>
      <c r="G9" s="921"/>
      <c r="H9" s="920">
        <f>'Hist IS and Proj'!I19</f>
        <v>0</v>
      </c>
      <c r="I9" s="921"/>
      <c r="J9" s="920">
        <f>'Hist IS and Proj'!K19</f>
        <v>0</v>
      </c>
      <c r="K9" s="921"/>
      <c r="L9" s="922">
        <f>'Hist IS and Proj'!U19</f>
        <v>0</v>
      </c>
      <c r="M9" s="921"/>
      <c r="N9" s="922">
        <f>'Hist IS and Proj'!W19</f>
        <v>0</v>
      </c>
      <c r="O9" s="921"/>
      <c r="P9" s="922">
        <f>'Hist IS and Proj'!Y19</f>
        <v>0</v>
      </c>
      <c r="Q9" s="921"/>
      <c r="R9" s="922">
        <f>'Hist IS and Proj'!AA19</f>
        <v>0</v>
      </c>
      <c r="S9" s="923">
        <f>'Hist IS and Proj'!M19</f>
        <v>0</v>
      </c>
      <c r="T9" s="906"/>
      <c r="U9" s="924"/>
      <c r="V9" s="128"/>
      <c r="W9" s="128"/>
      <c r="X9" s="128"/>
      <c r="Y9" s="128"/>
      <c r="Z9" s="128"/>
    </row>
    <row r="10" spans="2:26" ht="17">
      <c r="B10" s="908" t="s">
        <v>740</v>
      </c>
      <c r="C10" s="909"/>
      <c r="D10" s="920">
        <f>'Hist IS and Proj'!E20</f>
        <v>0</v>
      </c>
      <c r="E10" s="921"/>
      <c r="F10" s="920">
        <f>'Hist IS and Proj'!G20</f>
        <v>0</v>
      </c>
      <c r="G10" s="921"/>
      <c r="H10" s="920">
        <f>'Hist IS and Proj'!I20</f>
        <v>0</v>
      </c>
      <c r="I10" s="921"/>
      <c r="J10" s="920">
        <f>'Hist IS and Proj'!K20</f>
        <v>0</v>
      </c>
      <c r="K10" s="921"/>
      <c r="L10" s="922">
        <f>'Hist IS and Proj'!U20</f>
        <v>0</v>
      </c>
      <c r="M10" s="921"/>
      <c r="N10" s="922">
        <f>'Hist IS and Proj'!W20</f>
        <v>0</v>
      </c>
      <c r="O10" s="921"/>
      <c r="P10" s="922">
        <f>'Hist IS and Proj'!Y20</f>
        <v>0</v>
      </c>
      <c r="Q10" s="921"/>
      <c r="R10" s="922">
        <f>'Hist IS and Proj'!AA20</f>
        <v>0</v>
      </c>
      <c r="S10" s="923">
        <f>'Hist IS and Proj'!M20</f>
        <v>0</v>
      </c>
      <c r="T10" s="906"/>
      <c r="U10" s="924"/>
      <c r="V10" s="128"/>
      <c r="W10" s="128"/>
      <c r="X10" s="128"/>
      <c r="Y10" s="128"/>
      <c r="Z10" s="128"/>
    </row>
    <row r="11" spans="2:26" ht="17">
      <c r="B11" s="908" t="s">
        <v>741</v>
      </c>
      <c r="C11" s="909"/>
      <c r="D11" s="920">
        <f>'Hist IS and Proj'!E50</f>
        <v>0</v>
      </c>
      <c r="E11" s="921"/>
      <c r="F11" s="920">
        <f>'Hist IS and Proj'!G50</f>
        <v>0</v>
      </c>
      <c r="G11" s="921"/>
      <c r="H11" s="920">
        <f>'Hist IS and Proj'!I50</f>
        <v>0</v>
      </c>
      <c r="I11" s="921"/>
      <c r="J11" s="920">
        <f>'Hist IS and Proj'!K50</f>
        <v>0</v>
      </c>
      <c r="K11" s="921"/>
      <c r="L11" s="922">
        <f>'Hist IS and Proj'!U50</f>
        <v>0</v>
      </c>
      <c r="M11" s="921"/>
      <c r="N11" s="922">
        <f>'Hist IS and Proj'!W50</f>
        <v>0</v>
      </c>
      <c r="O11" s="921"/>
      <c r="P11" s="922">
        <f>'Hist IS and Proj'!Y50</f>
        <v>0</v>
      </c>
      <c r="Q11" s="921"/>
      <c r="R11" s="922">
        <f>'Hist IS and Proj'!AA50</f>
        <v>0</v>
      </c>
      <c r="S11" s="923">
        <f>'Hist IS and Proj'!M50</f>
        <v>0</v>
      </c>
      <c r="T11" s="906"/>
      <c r="U11" s="925"/>
      <c r="V11" s="128"/>
      <c r="W11" s="128"/>
      <c r="X11" s="128"/>
      <c r="Y11" s="128"/>
      <c r="Z11" s="128"/>
    </row>
    <row r="12" spans="2:26" ht="17">
      <c r="B12" s="908" t="s">
        <v>742</v>
      </c>
      <c r="C12" s="909"/>
      <c r="D12" s="920">
        <f>'Hist IS and Proj'!E60</f>
        <v>0</v>
      </c>
      <c r="E12" s="921"/>
      <c r="F12" s="920">
        <f>'Hist IS and Proj'!G60</f>
        <v>0</v>
      </c>
      <c r="G12" s="921"/>
      <c r="H12" s="920">
        <f>'Hist IS and Proj'!I60</f>
        <v>0</v>
      </c>
      <c r="I12" s="921"/>
      <c r="J12" s="920">
        <f>'Hist IS and Proj'!K60</f>
        <v>0</v>
      </c>
      <c r="K12" s="921"/>
      <c r="L12" s="922">
        <f>'Hist IS and Proj'!U60</f>
        <v>0</v>
      </c>
      <c r="M12" s="921"/>
      <c r="N12" s="922">
        <f>'Hist IS and Proj'!W60</f>
        <v>0</v>
      </c>
      <c r="O12" s="921"/>
      <c r="P12" s="922">
        <f>'Hist IS and Proj'!Y60</f>
        <v>0</v>
      </c>
      <c r="Q12" s="921"/>
      <c r="R12" s="922">
        <f>'Hist IS and Proj'!AA60</f>
        <v>0</v>
      </c>
      <c r="S12" s="923">
        <f>'Hist IS and Proj'!M60</f>
        <v>0</v>
      </c>
      <c r="T12" s="906"/>
      <c r="U12" s="925"/>
      <c r="V12" s="128"/>
      <c r="W12" s="128"/>
      <c r="X12" s="128"/>
      <c r="Y12" s="128"/>
      <c r="Z12" s="128"/>
    </row>
    <row r="13" spans="2:26" ht="17">
      <c r="B13" s="908" t="s">
        <v>743</v>
      </c>
      <c r="C13" s="909"/>
      <c r="D13" s="920" t="s">
        <v>327</v>
      </c>
      <c r="E13" s="921"/>
      <c r="F13" s="920">
        <f>IF('Hist IS and Proj'!D60=0,0,('Hist IS and Proj'!F60-'Hist IS and Proj'!D60)/'Hist IS and Proj'!D60)</f>
        <v>0</v>
      </c>
      <c r="G13" s="921"/>
      <c r="H13" s="920">
        <f>IF('Hist IS and Proj'!F60=0,0,('Hist IS and Proj'!H60-'Hist IS and Proj'!F60)/'Hist IS and Proj'!F60)</f>
        <v>0</v>
      </c>
      <c r="I13" s="921"/>
      <c r="J13" s="920">
        <f>IF('Hist IS and Proj'!H60=0,0,(('Hist IS and Proj'!J60/'Hist IS and Proj'!J5*12)-'Hist IS and Proj'!H60)/'Hist IS and Proj'!H60)</f>
        <v>0</v>
      </c>
      <c r="K13" s="921"/>
      <c r="L13" s="922">
        <f>IF('Hist IS and Proj'!J60=0,0,('Hist IS and Proj'!T60-('Hist IS and Proj'!J60/'Hist IS and Proj'!J5*12))/('Hist IS and Proj'!J60/'Hist IS and Proj'!J5*12))</f>
        <v>0</v>
      </c>
      <c r="M13" s="921"/>
      <c r="N13" s="922">
        <f>IF('Hist IS and Proj'!T60=0,0,(('Hist IS and Proj'!V60-'Hist IS and Proj'!T60)/'Hist IS and Proj'!T60))</f>
        <v>0</v>
      </c>
      <c r="O13" s="921"/>
      <c r="P13" s="922">
        <f>IF('Hist IS and Proj'!V60=0,0,(('Hist IS and Proj'!X60-'Hist IS and Proj'!V60)/'Hist IS and Proj'!V60))</f>
        <v>0</v>
      </c>
      <c r="Q13" s="921"/>
      <c r="R13" s="922">
        <f>IF('Hist IS and Proj'!J60=0,0,('Hist IS and Proj'!Z60-('Hist IS and Proj'!J60/'Hist IS and Proj'!J5*12))/('Hist IS and Proj'!J60/'Hist IS and Proj'!J5*12))</f>
        <v>0</v>
      </c>
      <c r="S13" s="2876"/>
      <c r="T13" s="906"/>
      <c r="U13" s="925"/>
      <c r="V13" s="128"/>
      <c r="W13" s="128"/>
      <c r="X13" s="128"/>
      <c r="Y13" s="128"/>
      <c r="Z13" s="128"/>
    </row>
    <row r="14" spans="2:26" ht="17">
      <c r="B14" s="908" t="s">
        <v>744</v>
      </c>
      <c r="C14" s="909"/>
      <c r="D14" s="926">
        <f>'Cash Flow'!C17</f>
        <v>0</v>
      </c>
      <c r="E14" s="921"/>
      <c r="F14" s="926">
        <f>'Cash Flow'!E17</f>
        <v>0</v>
      </c>
      <c r="G14" s="921"/>
      <c r="H14" s="926">
        <f>'Cash Flow'!G17</f>
        <v>0</v>
      </c>
      <c r="I14" s="921"/>
      <c r="J14" s="926">
        <f>'Cash Flow'!I17</f>
        <v>0</v>
      </c>
      <c r="K14" s="921"/>
      <c r="L14" s="926">
        <f>'Cash Flow'!K17</f>
        <v>0</v>
      </c>
      <c r="M14" s="921"/>
      <c r="N14" s="926">
        <f>'Cash Flow'!M17</f>
        <v>0</v>
      </c>
      <c r="O14" s="921"/>
      <c r="P14" s="926">
        <f>'Cash Flow'!O17</f>
        <v>0</v>
      </c>
      <c r="Q14" s="921"/>
      <c r="R14" s="926">
        <f>'Cash Flow'!Q17</f>
        <v>0</v>
      </c>
      <c r="S14" s="2877"/>
      <c r="T14" s="906"/>
      <c r="U14" s="925"/>
      <c r="V14" s="128"/>
      <c r="W14" s="128"/>
      <c r="X14" s="128"/>
      <c r="Y14" s="128"/>
      <c r="Z14" s="128"/>
    </row>
    <row r="15" spans="2:26" ht="17">
      <c r="B15" s="908" t="s">
        <v>238</v>
      </c>
      <c r="C15" s="909"/>
      <c r="D15" s="927">
        <f>'Cash Flow'!C36</f>
        <v>0</v>
      </c>
      <c r="E15" s="928"/>
      <c r="F15" s="927">
        <f>'Cash Flow'!E36</f>
        <v>0</v>
      </c>
      <c r="G15" s="928"/>
      <c r="H15" s="927">
        <f>'Cash Flow'!G36</f>
        <v>0</v>
      </c>
      <c r="I15" s="928"/>
      <c r="J15" s="927" t="e">
        <f>'Cash Flow'!I36</f>
        <v>#REF!</v>
      </c>
      <c r="K15" s="928"/>
      <c r="L15" s="927">
        <f>'Cash Flow'!K36</f>
        <v>0</v>
      </c>
      <c r="M15" s="928"/>
      <c r="N15" s="927">
        <f>'Cash Flow'!M36</f>
        <v>0</v>
      </c>
      <c r="O15" s="928"/>
      <c r="P15" s="927">
        <f>'Cash Flow'!O36</f>
        <v>0</v>
      </c>
      <c r="Q15" s="928"/>
      <c r="R15" s="927">
        <f>'Cash Flow'!Q36</f>
        <v>0</v>
      </c>
      <c r="S15" s="2877"/>
      <c r="T15" s="906"/>
      <c r="U15" s="929"/>
      <c r="V15" s="128"/>
      <c r="W15" s="128"/>
      <c r="X15" s="128"/>
      <c r="Y15" s="128"/>
      <c r="Z15" s="128"/>
    </row>
    <row r="16" spans="2:26" ht="17">
      <c r="B16" s="908" t="s">
        <v>745</v>
      </c>
      <c r="C16" s="909"/>
      <c r="D16" s="927">
        <f>'Cash Flow'!C51</f>
        <v>0</v>
      </c>
      <c r="E16" s="928"/>
      <c r="F16" s="927">
        <f>'Cash Flow'!E51</f>
        <v>0</v>
      </c>
      <c r="G16" s="928"/>
      <c r="H16" s="927">
        <f>'Cash Flow'!G51</f>
        <v>0</v>
      </c>
      <c r="I16" s="928"/>
      <c r="J16" s="927" t="e">
        <f>'Cash Flow'!I51</f>
        <v>#REF!</v>
      </c>
      <c r="K16" s="928"/>
      <c r="L16" s="927">
        <f>'Cash Flow'!K51</f>
        <v>0</v>
      </c>
      <c r="M16" s="928"/>
      <c r="N16" s="927">
        <f>'Cash Flow'!M51</f>
        <v>0</v>
      </c>
      <c r="O16" s="928"/>
      <c r="P16" s="927">
        <f>'Cash Flow'!O51</f>
        <v>0</v>
      </c>
      <c r="Q16" s="928"/>
      <c r="R16" s="927">
        <f>'Cash Flow'!Q51</f>
        <v>0</v>
      </c>
      <c r="S16" s="2878"/>
      <c r="T16" s="906"/>
      <c r="U16" s="930"/>
      <c r="V16" s="128"/>
      <c r="W16" s="128"/>
      <c r="X16" s="128"/>
      <c r="Y16" s="128"/>
      <c r="Z16" s="128"/>
    </row>
    <row r="17" spans="2:26" ht="16">
      <c r="B17" s="931"/>
      <c r="C17" s="932"/>
      <c r="D17" s="932"/>
      <c r="E17" s="932"/>
      <c r="F17" s="906"/>
      <c r="G17" s="906"/>
      <c r="H17" s="906"/>
      <c r="I17" s="906"/>
      <c r="J17" s="906"/>
      <c r="K17" s="906"/>
      <c r="L17" s="906"/>
      <c r="M17" s="906"/>
      <c r="N17" s="906"/>
      <c r="O17" s="906"/>
      <c r="P17" s="906"/>
      <c r="Q17" s="906"/>
      <c r="R17" s="906"/>
      <c r="S17" s="906"/>
      <c r="T17" s="906"/>
      <c r="U17" s="930"/>
      <c r="V17" s="128"/>
      <c r="W17" s="128"/>
      <c r="X17" s="128"/>
      <c r="Y17" s="128"/>
      <c r="Z17" s="128"/>
    </row>
    <row r="18" spans="2:26" ht="16">
      <c r="B18" s="933"/>
      <c r="C18" s="934"/>
      <c r="D18" s="935" t="s">
        <v>746</v>
      </c>
      <c r="E18" s="934"/>
      <c r="F18" s="935" t="s">
        <v>747</v>
      </c>
      <c r="G18" s="906"/>
      <c r="H18" s="906"/>
      <c r="I18" s="906"/>
      <c r="J18" s="906"/>
      <c r="K18" s="906"/>
      <c r="L18" s="906"/>
      <c r="M18" s="906"/>
      <c r="N18" s="906"/>
      <c r="O18" s="906"/>
      <c r="P18" s="906"/>
      <c r="Q18" s="906"/>
      <c r="R18" s="906"/>
      <c r="S18" s="906"/>
      <c r="T18" s="906"/>
      <c r="U18" s="907"/>
      <c r="V18" s="128"/>
      <c r="W18" s="128"/>
      <c r="X18" s="128"/>
      <c r="Y18" s="128"/>
      <c r="Z18" s="128"/>
    </row>
    <row r="19" spans="2:26" ht="16">
      <c r="B19" s="936" t="s">
        <v>748</v>
      </c>
      <c r="C19" s="906"/>
      <c r="D19" s="977"/>
      <c r="E19" s="906"/>
      <c r="F19" s="977"/>
      <c r="G19" s="906"/>
      <c r="H19" s="906"/>
      <c r="I19" s="906"/>
      <c r="J19" s="906"/>
      <c r="K19" s="906"/>
      <c r="L19" s="906"/>
      <c r="M19" s="906"/>
      <c r="N19" s="906"/>
      <c r="O19" s="906"/>
      <c r="P19" s="906"/>
      <c r="Q19" s="906"/>
      <c r="R19" s="906"/>
      <c r="S19" s="906"/>
      <c r="T19" s="906"/>
      <c r="U19" s="907"/>
      <c r="V19" s="128"/>
      <c r="W19" s="128"/>
      <c r="X19" s="128"/>
      <c r="Y19" s="128"/>
      <c r="Z19" s="128"/>
    </row>
    <row r="20" spans="2:26" ht="16">
      <c r="B20" s="936" t="s">
        <v>749</v>
      </c>
      <c r="C20" s="906"/>
      <c r="D20" s="977"/>
      <c r="E20" s="906"/>
      <c r="F20" s="977"/>
      <c r="G20" s="906"/>
      <c r="H20" s="906"/>
      <c r="I20" s="906"/>
      <c r="J20" s="906"/>
      <c r="K20" s="906"/>
      <c r="L20" s="906"/>
      <c r="M20" s="906"/>
      <c r="N20" s="906"/>
      <c r="O20" s="906"/>
      <c r="P20" s="906"/>
      <c r="Q20" s="906"/>
      <c r="R20" s="906"/>
      <c r="S20" s="906"/>
      <c r="T20" s="906"/>
      <c r="U20" s="907"/>
      <c r="V20" s="128"/>
      <c r="W20" s="128"/>
      <c r="X20" s="128"/>
      <c r="Y20" s="128"/>
      <c r="Z20" s="128"/>
    </row>
    <row r="21" spans="2:26" ht="16">
      <c r="B21" s="936" t="s">
        <v>750</v>
      </c>
      <c r="C21" s="906"/>
      <c r="D21" s="977"/>
      <c r="E21" s="906"/>
      <c r="F21" s="977"/>
      <c r="G21" s="906"/>
      <c r="H21" s="906"/>
      <c r="I21" s="906"/>
      <c r="J21" s="906"/>
      <c r="K21" s="906"/>
      <c r="L21" s="906"/>
      <c r="M21" s="906"/>
      <c r="N21" s="906"/>
      <c r="O21" s="906"/>
      <c r="P21" s="906"/>
      <c r="Q21" s="906"/>
      <c r="R21" s="906"/>
      <c r="S21" s="906"/>
      <c r="T21" s="906"/>
      <c r="U21" s="907"/>
      <c r="V21" s="128"/>
      <c r="W21" s="128"/>
      <c r="X21" s="128"/>
      <c r="Y21" s="128"/>
      <c r="Z21" s="128"/>
    </row>
    <row r="22" spans="2:26" ht="16">
      <c r="B22" s="936" t="s">
        <v>751</v>
      </c>
      <c r="C22" s="906"/>
      <c r="D22" s="977"/>
      <c r="E22" s="906"/>
      <c r="F22" s="977"/>
      <c r="G22" s="906"/>
      <c r="H22" s="906"/>
      <c r="I22" s="906"/>
      <c r="J22" s="906"/>
      <c r="K22" s="906"/>
      <c r="L22" s="906"/>
      <c r="M22" s="906"/>
      <c r="N22" s="906"/>
      <c r="O22" s="906"/>
      <c r="P22" s="906"/>
      <c r="Q22" s="906"/>
      <c r="R22" s="906"/>
      <c r="S22" s="906"/>
      <c r="T22" s="906"/>
      <c r="U22" s="907"/>
      <c r="V22" s="128"/>
      <c r="W22" s="128"/>
      <c r="X22" s="128"/>
      <c r="Y22" s="128"/>
      <c r="Z22" s="128"/>
    </row>
    <row r="23" spans="2:26" ht="16">
      <c r="B23" s="936" t="s">
        <v>238</v>
      </c>
      <c r="C23" s="906"/>
      <c r="D23" s="977"/>
      <c r="E23" s="906"/>
      <c r="F23" s="977"/>
      <c r="G23" s="906"/>
      <c r="H23" s="906"/>
      <c r="I23" s="906"/>
      <c r="J23" s="906"/>
      <c r="K23" s="906"/>
      <c r="L23" s="906"/>
      <c r="M23" s="906"/>
      <c r="N23" s="906"/>
      <c r="O23" s="906"/>
      <c r="P23" s="906"/>
      <c r="Q23" s="906"/>
      <c r="R23" s="906"/>
      <c r="S23" s="906"/>
      <c r="T23" s="906"/>
      <c r="U23" s="907"/>
      <c r="V23" s="128"/>
      <c r="W23" s="128"/>
      <c r="X23" s="128"/>
      <c r="Y23" s="128"/>
      <c r="Z23" s="128"/>
    </row>
    <row r="24" spans="2:26" ht="16">
      <c r="B24" s="936"/>
      <c r="C24" s="906"/>
      <c r="D24" s="906"/>
      <c r="E24" s="906"/>
      <c r="F24" s="906"/>
      <c r="G24" s="906"/>
      <c r="H24" s="906"/>
      <c r="I24" s="906"/>
      <c r="J24" s="906"/>
      <c r="K24" s="906"/>
      <c r="L24" s="906"/>
      <c r="M24" s="906"/>
      <c r="N24" s="906"/>
      <c r="O24" s="906"/>
      <c r="P24" s="906"/>
      <c r="Q24" s="906"/>
      <c r="R24" s="906"/>
      <c r="S24" s="906"/>
      <c r="T24" s="906"/>
      <c r="U24" s="907"/>
      <c r="V24" s="128"/>
      <c r="W24" s="128"/>
      <c r="X24" s="128"/>
      <c r="Y24" s="128"/>
      <c r="Z24" s="128"/>
    </row>
    <row r="25" spans="2:26" ht="16">
      <c r="B25" s="2868" t="s">
        <v>752</v>
      </c>
      <c r="C25" s="2869"/>
      <c r="D25" s="2869"/>
      <c r="E25" s="2869"/>
      <c r="F25" s="2869"/>
      <c r="G25" s="2869"/>
      <c r="H25" s="2869"/>
      <c r="I25" s="330"/>
      <c r="J25" s="906"/>
      <c r="K25" s="906"/>
      <c r="L25" s="906"/>
      <c r="M25" s="906"/>
      <c r="N25" s="906"/>
      <c r="O25" s="906"/>
      <c r="P25" s="906"/>
      <c r="Q25" s="906"/>
      <c r="R25" s="906"/>
      <c r="S25" s="906"/>
      <c r="T25" s="906"/>
      <c r="U25" s="907"/>
      <c r="V25" s="128"/>
      <c r="W25" s="128"/>
      <c r="X25" s="128"/>
      <c r="Y25" s="128"/>
      <c r="Z25" s="128"/>
    </row>
    <row r="26" spans="2:26" ht="16">
      <c r="B26" s="2846" t="s">
        <v>753</v>
      </c>
      <c r="C26" s="2847"/>
      <c r="D26" s="2847"/>
      <c r="E26" s="2847"/>
      <c r="F26" s="2847"/>
      <c r="G26" s="2847"/>
      <c r="H26" s="2847"/>
      <c r="I26" s="2847"/>
      <c r="J26" s="2847"/>
      <c r="K26" s="2847"/>
      <c r="L26" s="2847"/>
      <c r="M26" s="2847"/>
      <c r="N26" s="2847"/>
      <c r="O26" s="2847"/>
      <c r="P26" s="2847"/>
      <c r="Q26" s="2847"/>
      <c r="R26" s="2847"/>
      <c r="S26" s="2847"/>
      <c r="T26" s="2847"/>
      <c r="U26" s="2848"/>
      <c r="V26" s="128"/>
      <c r="W26" s="128"/>
      <c r="X26" s="128"/>
      <c r="Y26" s="128"/>
      <c r="Z26" s="128"/>
    </row>
    <row r="27" spans="2:26" ht="16">
      <c r="B27" s="2849" t="s">
        <v>754</v>
      </c>
      <c r="C27" s="2850"/>
      <c r="D27" s="2850"/>
      <c r="E27" s="2850"/>
      <c r="F27" s="2850"/>
      <c r="G27" s="2850"/>
      <c r="H27" s="2850"/>
      <c r="I27" s="2850"/>
      <c r="J27" s="2850"/>
      <c r="K27" s="2850"/>
      <c r="L27" s="2850"/>
      <c r="M27" s="2850"/>
      <c r="N27" s="2850"/>
      <c r="O27" s="2850"/>
      <c r="P27" s="2850"/>
      <c r="Q27" s="2850"/>
      <c r="R27" s="2850"/>
      <c r="S27" s="2850"/>
      <c r="T27" s="2850"/>
      <c r="U27" s="2851"/>
      <c r="V27" s="128"/>
      <c r="W27" s="128"/>
      <c r="X27" s="128"/>
      <c r="Y27" s="128"/>
      <c r="Z27" s="128"/>
    </row>
    <row r="28" spans="2:26" ht="16">
      <c r="B28" s="938" t="s">
        <v>182</v>
      </c>
      <c r="C28" s="939"/>
      <c r="D28" s="940">
        <f>D4</f>
        <v>44561</v>
      </c>
      <c r="E28" s="941"/>
      <c r="F28" s="940">
        <f>F4</f>
        <v>44926</v>
      </c>
      <c r="G28" s="941"/>
      <c r="H28" s="940">
        <f>H4</f>
        <v>45291</v>
      </c>
      <c r="I28" s="941"/>
      <c r="J28" s="940">
        <f>J4</f>
        <v>45657</v>
      </c>
      <c r="K28" s="941"/>
      <c r="L28" s="942" t="s">
        <v>755</v>
      </c>
      <c r="M28" s="943"/>
      <c r="N28" s="943"/>
      <c r="O28" s="943"/>
      <c r="P28" s="943"/>
      <c r="Q28" s="943"/>
      <c r="R28" s="906"/>
      <c r="S28" s="2852"/>
      <c r="T28" s="2852"/>
      <c r="U28" s="2853"/>
      <c r="V28" s="128"/>
      <c r="W28" s="128"/>
      <c r="X28" s="128"/>
      <c r="Y28" s="128"/>
      <c r="Z28" s="128"/>
    </row>
    <row r="29" spans="2:26" ht="17">
      <c r="B29" s="944" t="s">
        <v>183</v>
      </c>
      <c r="C29" s="939"/>
      <c r="D29" s="945">
        <f>D5</f>
        <v>12</v>
      </c>
      <c r="E29" s="946"/>
      <c r="F29" s="945">
        <f t="shared" ref="F29:J29" si="1">F5</f>
        <v>12</v>
      </c>
      <c r="G29" s="946"/>
      <c r="H29" s="945">
        <f t="shared" si="1"/>
        <v>12</v>
      </c>
      <c r="I29" s="946"/>
      <c r="J29" s="945" t="e">
        <f t="shared" si="1"/>
        <v>#REF!</v>
      </c>
      <c r="K29" s="946"/>
      <c r="L29" s="947">
        <v>12</v>
      </c>
      <c r="M29" s="906"/>
      <c r="N29" s="906"/>
      <c r="O29" s="906"/>
      <c r="P29" s="948" t="s">
        <v>737</v>
      </c>
      <c r="Q29" s="948"/>
      <c r="R29" s="948"/>
      <c r="S29" s="948"/>
      <c r="T29" s="948"/>
      <c r="U29" s="949"/>
      <c r="V29" s="128"/>
      <c r="W29" s="128"/>
      <c r="X29" s="128"/>
      <c r="Y29" s="128"/>
      <c r="Z29" s="128"/>
    </row>
    <row r="30" spans="2:26" ht="16">
      <c r="B30" s="936"/>
      <c r="C30" s="906"/>
      <c r="D30" s="950"/>
      <c r="E30" s="950"/>
      <c r="F30" s="950"/>
      <c r="G30" s="950"/>
      <c r="H30" s="950"/>
      <c r="I30" s="950"/>
      <c r="J30" s="950"/>
      <c r="K30" s="950"/>
      <c r="L30" s="932"/>
      <c r="M30" s="932"/>
      <c r="N30" s="932"/>
      <c r="O30" s="932"/>
      <c r="P30" s="932" t="s">
        <v>756</v>
      </c>
      <c r="Q30" s="932"/>
      <c r="R30" s="932"/>
      <c r="S30" s="932"/>
      <c r="T30" s="932"/>
      <c r="U30" s="951"/>
      <c r="V30" s="128"/>
      <c r="W30" s="128"/>
      <c r="X30" s="128"/>
      <c r="Y30" s="128"/>
      <c r="Z30" s="128"/>
    </row>
    <row r="31" spans="2:26" ht="16">
      <c r="B31" s="936" t="s">
        <v>757</v>
      </c>
      <c r="C31" s="906"/>
      <c r="D31" s="906"/>
      <c r="E31" s="906"/>
      <c r="F31" s="906"/>
      <c r="G31" s="906"/>
      <c r="H31" s="906"/>
      <c r="I31" s="906"/>
      <c r="J31" s="906"/>
      <c r="K31" s="906"/>
      <c r="L31" s="906"/>
      <c r="M31" s="906"/>
      <c r="N31" s="906" t="s">
        <v>758</v>
      </c>
      <c r="O31" s="906"/>
      <c r="P31" s="906" t="s">
        <v>759</v>
      </c>
      <c r="Q31" s="906"/>
      <c r="R31" s="906" t="s">
        <v>760</v>
      </c>
      <c r="S31" s="906"/>
      <c r="T31" s="906"/>
      <c r="U31" s="951"/>
      <c r="V31" s="128"/>
      <c r="W31" s="128"/>
      <c r="X31" s="128"/>
      <c r="Y31" s="128"/>
      <c r="Z31" s="128"/>
    </row>
    <row r="32" spans="2:26" ht="16">
      <c r="B32" s="944" t="s">
        <v>761</v>
      </c>
      <c r="C32" s="939"/>
      <c r="D32" s="952">
        <f>IF('Hist BS'!C40=0,0,'Hist BS'!C14/'Hist BS'!C40)</f>
        <v>0</v>
      </c>
      <c r="E32" s="953"/>
      <c r="F32" s="952">
        <f>IF('Hist BS'!E40=0,0,'Hist BS'!E14/'Hist BS'!E40)</f>
        <v>0</v>
      </c>
      <c r="G32" s="953"/>
      <c r="H32" s="952">
        <f>IF('Hist BS'!G40=0,0,'Hist BS'!G14/'Hist BS'!G40)</f>
        <v>0</v>
      </c>
      <c r="I32" s="953"/>
      <c r="J32" s="952">
        <f>IF('Hist BS'!I40=0,0,'Hist BS'!I14/'Hist BS'!I40)</f>
        <v>0</v>
      </c>
      <c r="K32" s="953"/>
      <c r="L32" s="952">
        <f>IF('Pro-forma'!I39=0,0,'Pro-forma'!I13/'Pro-forma'!I39)</f>
        <v>0</v>
      </c>
      <c r="M32" s="953"/>
      <c r="N32" s="978"/>
      <c r="O32" s="953"/>
      <c r="P32" s="978"/>
      <c r="Q32" s="953"/>
      <c r="R32" s="980"/>
      <c r="S32" s="954"/>
      <c r="T32" s="955"/>
      <c r="U32" s="951"/>
      <c r="V32" s="128"/>
      <c r="W32" s="128"/>
      <c r="X32" s="128"/>
      <c r="Y32" s="128"/>
      <c r="Z32" s="128"/>
    </row>
    <row r="33" spans="2:21" ht="16">
      <c r="B33" s="944" t="s">
        <v>762</v>
      </c>
      <c r="C33" s="939"/>
      <c r="D33" s="952">
        <f>IF('Hist BS'!C40=0,0,('Hist BS'!C8+'Hist BS'!C9)/'Hist BS'!C40)</f>
        <v>0</v>
      </c>
      <c r="E33" s="953"/>
      <c r="F33" s="952">
        <f>IF('Hist BS'!E40=0,0,('Hist BS'!E8+'Hist BS'!E9)/'Hist BS'!E40)</f>
        <v>0</v>
      </c>
      <c r="G33" s="953"/>
      <c r="H33" s="952">
        <f>IF('Hist BS'!G40=0,0,('Hist BS'!G8+'Hist BS'!G9)/'Hist BS'!G40)</f>
        <v>0</v>
      </c>
      <c r="I33" s="953"/>
      <c r="J33" s="952">
        <f>IF('Hist BS'!I40=0,0,('Hist BS'!I8+'Hist BS'!I9)/'Hist BS'!I40)</f>
        <v>0</v>
      </c>
      <c r="K33" s="953"/>
      <c r="L33" s="952">
        <f>IF('Pro-forma'!I39=0,0,('Pro-forma'!I7+'Pro-forma'!I8)/'Pro-forma'!I39)</f>
        <v>0</v>
      </c>
      <c r="M33" s="953"/>
      <c r="N33" s="978"/>
      <c r="O33" s="953"/>
      <c r="P33" s="978"/>
      <c r="Q33" s="953"/>
      <c r="R33" s="980"/>
      <c r="S33" s="954"/>
      <c r="T33" s="955"/>
      <c r="U33" s="951"/>
    </row>
    <row r="34" spans="2:21" ht="16">
      <c r="B34" s="944" t="s">
        <v>763</v>
      </c>
      <c r="C34" s="939"/>
      <c r="D34" s="956">
        <f>IF('Hist IS and Proj'!D18=0,0,'Hist BS'!C9/('Hist IS and Proj'!D18/365))</f>
        <v>0</v>
      </c>
      <c r="E34" s="957"/>
      <c r="F34" s="956">
        <f>IF('Hist IS and Proj'!F18=0,0,'Hist BS'!E9/('Hist IS and Proj'!F18/365))</f>
        <v>0</v>
      </c>
      <c r="G34" s="957"/>
      <c r="H34" s="956">
        <f>IF('Hist IS and Proj'!H18=0,0,'Hist BS'!G9/('Hist IS and Proj'!H18/365))</f>
        <v>0</v>
      </c>
      <c r="I34" s="957"/>
      <c r="J34" s="956">
        <f>IF('Hist IS and Proj'!J18=0,0,'Hist BS'!I9/('Hist IS and Proj'!J18/(30*J29)))</f>
        <v>0</v>
      </c>
      <c r="K34" s="957"/>
      <c r="L34" s="956">
        <f>IF('Hist IS and Proj'!T18=0,0,('Pro-forma'!I8/('Hist IS and Proj'!T18/(365))))</f>
        <v>0</v>
      </c>
      <c r="M34" s="957"/>
      <c r="N34" s="979"/>
      <c r="O34" s="957"/>
      <c r="P34" s="979"/>
      <c r="Q34" s="957"/>
      <c r="R34" s="980"/>
      <c r="S34" s="958"/>
      <c r="T34" s="959"/>
      <c r="U34" s="951"/>
    </row>
    <row r="35" spans="2:21" ht="16">
      <c r="B35" s="944" t="s">
        <v>764</v>
      </c>
      <c r="C35" s="939"/>
      <c r="D35" s="956">
        <f>IF('Hist IS and Proj'!D19=0,0,('Hist BS'!C34/('Hist IS and Proj'!D19/365)))</f>
        <v>0</v>
      </c>
      <c r="E35" s="957"/>
      <c r="F35" s="956">
        <f>IF('Hist IS and Proj'!F19=0,0,('Hist BS'!E34/('Hist IS and Proj'!F19/365)))</f>
        <v>0</v>
      </c>
      <c r="G35" s="957"/>
      <c r="H35" s="956">
        <f>IF('Hist IS and Proj'!H19=0,0,('Hist BS'!G34/('Hist IS and Proj'!H19/365)))</f>
        <v>0</v>
      </c>
      <c r="I35" s="957"/>
      <c r="J35" s="956">
        <f>IF('Hist IS and Proj'!J19=0,0,('Hist BS'!I34/('Hist IS and Proj'!J19/(30*J29))))</f>
        <v>0</v>
      </c>
      <c r="K35" s="957"/>
      <c r="L35" s="956">
        <f>IF('Hist IS and Proj'!T19=0,0,('Pro-forma'!I33/('Hist IS and Proj'!T19/365)))</f>
        <v>0</v>
      </c>
      <c r="M35" s="957"/>
      <c r="N35" s="979"/>
      <c r="O35" s="957"/>
      <c r="P35" s="979"/>
      <c r="Q35" s="957"/>
      <c r="R35" s="980"/>
      <c r="S35" s="958"/>
      <c r="T35" s="959"/>
      <c r="U35" s="951"/>
    </row>
    <row r="36" spans="2:21" ht="16">
      <c r="B36" s="944" t="s">
        <v>765</v>
      </c>
      <c r="C36" s="939"/>
      <c r="D36" s="956">
        <f>IF('Hist IS and Proj'!D19=0,0,('Hist BS'!C10/'Hist IS and Proj'!D19)*365)</f>
        <v>0</v>
      </c>
      <c r="E36" s="957"/>
      <c r="F36" s="956">
        <f>IF('Hist IS and Proj'!F19=0,0,('Hist BS'!E10/'Hist IS and Proj'!F19)*365)</f>
        <v>0</v>
      </c>
      <c r="G36" s="957"/>
      <c r="H36" s="956">
        <f>IF('Hist IS and Proj'!H19=0,0,('Hist BS'!G10/'Hist IS and Proj'!H19)*365)</f>
        <v>0</v>
      </c>
      <c r="I36" s="957"/>
      <c r="J36" s="956">
        <f>IF('Hist IS and Proj'!J19=0,0,('Hist BS'!I10/'Hist IS and Proj'!J19)*(30*J29))</f>
        <v>0</v>
      </c>
      <c r="K36" s="957"/>
      <c r="L36" s="956">
        <f>IF('Hist IS and Proj'!T19=0,0,('Pro-forma'!I9/'Hist IS and Proj'!T19)*365)</f>
        <v>0</v>
      </c>
      <c r="M36" s="957"/>
      <c r="N36" s="979"/>
      <c r="O36" s="957"/>
      <c r="P36" s="979"/>
      <c r="Q36" s="957"/>
      <c r="R36" s="980"/>
      <c r="S36" s="958"/>
      <c r="T36" s="959"/>
      <c r="U36" s="951"/>
    </row>
    <row r="37" spans="2:21" ht="16">
      <c r="B37" s="944" t="s">
        <v>766</v>
      </c>
      <c r="C37" s="906"/>
      <c r="D37" s="960">
        <f>+D34+D36-D35</f>
        <v>0</v>
      </c>
      <c r="E37" s="959"/>
      <c r="F37" s="960">
        <f>+F34+F36-F35</f>
        <v>0</v>
      </c>
      <c r="G37" s="959"/>
      <c r="H37" s="960">
        <f>+H34+H36-H35</f>
        <v>0</v>
      </c>
      <c r="I37" s="959"/>
      <c r="J37" s="960">
        <f>+J34+J36-J35</f>
        <v>0</v>
      </c>
      <c r="K37" s="959"/>
      <c r="L37" s="960">
        <f>+L34+L36-L35</f>
        <v>0</v>
      </c>
      <c r="M37" s="959"/>
      <c r="N37" s="979"/>
      <c r="O37" s="959"/>
      <c r="P37" s="979"/>
      <c r="Q37" s="959"/>
      <c r="R37" s="980"/>
      <c r="S37" s="959"/>
      <c r="T37" s="959"/>
      <c r="U37" s="951"/>
    </row>
    <row r="38" spans="2:21" ht="16">
      <c r="B38" s="944" t="s">
        <v>149</v>
      </c>
      <c r="C38" s="906"/>
      <c r="D38" s="960">
        <f>'Hist BS'!C14-'Hist BS'!C40</f>
        <v>0</v>
      </c>
      <c r="E38" s="959"/>
      <c r="F38" s="960">
        <f>'Hist BS'!E14-'Hist BS'!E40</f>
        <v>0</v>
      </c>
      <c r="G38" s="959"/>
      <c r="H38" s="960">
        <f>'Hist BS'!G14-'Hist BS'!G40</f>
        <v>0</v>
      </c>
      <c r="I38" s="959"/>
      <c r="J38" s="960">
        <f>'Hist BS'!I14-'Hist BS'!I40</f>
        <v>0</v>
      </c>
      <c r="K38" s="959"/>
      <c r="L38" s="960">
        <f>'Pro-forma'!I13-'Pro-forma'!I39</f>
        <v>0</v>
      </c>
      <c r="M38" s="959"/>
      <c r="N38" s="979"/>
      <c r="O38" s="959"/>
      <c r="P38" s="979"/>
      <c r="Q38" s="959"/>
      <c r="R38" s="980"/>
      <c r="S38" s="959"/>
      <c r="T38" s="959"/>
      <c r="U38" s="961"/>
    </row>
    <row r="39" spans="2:21" ht="16">
      <c r="B39" s="936"/>
      <c r="C39" s="906"/>
      <c r="D39" s="906"/>
      <c r="E39" s="906"/>
      <c r="F39" s="906"/>
      <c r="G39" s="906"/>
      <c r="H39" s="906"/>
      <c r="I39" s="906"/>
      <c r="J39" s="906"/>
      <c r="K39" s="906"/>
      <c r="L39" s="906"/>
      <c r="M39" s="906"/>
      <c r="N39" s="906"/>
      <c r="O39" s="906"/>
      <c r="P39" s="906"/>
      <c r="Q39" s="906"/>
      <c r="R39" s="906"/>
      <c r="S39" s="906"/>
      <c r="T39" s="906"/>
      <c r="U39" s="961"/>
    </row>
    <row r="40" spans="2:21" ht="16">
      <c r="B40" s="936" t="s">
        <v>767</v>
      </c>
      <c r="C40" s="906"/>
      <c r="D40" s="906"/>
      <c r="E40" s="906"/>
      <c r="F40" s="906"/>
      <c r="G40" s="906"/>
      <c r="H40" s="906"/>
      <c r="I40" s="906"/>
      <c r="J40" s="906"/>
      <c r="K40" s="906"/>
      <c r="L40" s="906"/>
      <c r="M40" s="906"/>
      <c r="N40" s="906"/>
      <c r="O40" s="906"/>
      <c r="P40" s="906"/>
      <c r="Q40" s="906"/>
      <c r="R40" s="906"/>
      <c r="S40" s="906"/>
      <c r="T40" s="906"/>
      <c r="U40" s="961"/>
    </row>
    <row r="41" spans="2:21" ht="16">
      <c r="B41" s="944" t="s">
        <v>768</v>
      </c>
      <c r="C41" s="939"/>
      <c r="D41" s="962">
        <f>IF('Hist BS'!C57=0,0,('Hist BS'!C$51/'Hist BS'!C57))</f>
        <v>0</v>
      </c>
      <c r="E41" s="953"/>
      <c r="F41" s="962">
        <f>IF('Hist BS'!E57=0,0,('Hist BS'!E$51/'Hist BS'!E57))</f>
        <v>0</v>
      </c>
      <c r="G41" s="953"/>
      <c r="H41" s="962">
        <f>IF('Hist BS'!G57=0,0,('Hist BS'!G$51/'Hist BS'!G57))</f>
        <v>0</v>
      </c>
      <c r="I41" s="953"/>
      <c r="J41" s="962">
        <f>IF('Hist BS'!I57=0,0,('Hist BS'!I$51/'Hist BS'!I57))</f>
        <v>0</v>
      </c>
      <c r="K41" s="953"/>
      <c r="L41" s="962">
        <f>IF('Pro-forma'!I56=0,0,('Pro-forma'!I$50/'Pro-forma'!I56))</f>
        <v>0</v>
      </c>
      <c r="M41" s="954"/>
      <c r="N41" s="978"/>
      <c r="O41" s="953"/>
      <c r="P41" s="978"/>
      <c r="Q41" s="953"/>
      <c r="R41" s="980"/>
      <c r="S41" s="955"/>
      <c r="T41" s="955"/>
      <c r="U41" s="961"/>
    </row>
    <row r="42" spans="2:21" ht="16">
      <c r="B42" s="944" t="s">
        <v>769</v>
      </c>
      <c r="C42" s="934"/>
      <c r="D42" s="962">
        <f>IF('Hist BS'!C58=0,0,('Hist BS'!C$51/'Hist BS'!C58))</f>
        <v>0</v>
      </c>
      <c r="E42" s="953"/>
      <c r="F42" s="962">
        <f>IF('Hist BS'!E58=0,0,('Hist BS'!E$51/'Hist BS'!E58))</f>
        <v>0</v>
      </c>
      <c r="G42" s="953"/>
      <c r="H42" s="962">
        <f>IF('Hist BS'!G58=0,0,('Hist BS'!G$51/'Hist BS'!G58))</f>
        <v>0</v>
      </c>
      <c r="I42" s="953"/>
      <c r="J42" s="962">
        <f>IF('Hist BS'!I58=0,0,('Hist BS'!I$51/'Hist BS'!I58))</f>
        <v>0</v>
      </c>
      <c r="K42" s="953"/>
      <c r="L42" s="962">
        <f>IF('Pro-forma'!I57=0,0,('Pro-forma'!I$50/'Pro-forma'!I57))</f>
        <v>0</v>
      </c>
      <c r="M42" s="954"/>
      <c r="N42" s="955"/>
      <c r="O42" s="955"/>
      <c r="P42" s="955"/>
      <c r="Q42" s="955"/>
      <c r="R42" s="906"/>
      <c r="S42" s="955"/>
      <c r="T42" s="955"/>
      <c r="U42" s="961"/>
    </row>
    <row r="43" spans="2:21" ht="16">
      <c r="B43" s="936"/>
      <c r="C43" s="906"/>
      <c r="D43" s="955"/>
      <c r="E43" s="955"/>
      <c r="F43" s="955"/>
      <c r="G43" s="955"/>
      <c r="H43" s="955"/>
      <c r="I43" s="955"/>
      <c r="J43" s="955"/>
      <c r="K43" s="955"/>
      <c r="L43" s="955"/>
      <c r="M43" s="955"/>
      <c r="N43" s="955"/>
      <c r="O43" s="955"/>
      <c r="P43" s="955"/>
      <c r="Q43" s="955"/>
      <c r="R43" s="906"/>
      <c r="S43" s="955"/>
      <c r="T43" s="955"/>
      <c r="U43" s="907"/>
    </row>
    <row r="44" spans="2:21" ht="16">
      <c r="B44" s="936" t="s">
        <v>770</v>
      </c>
      <c r="C44" s="906"/>
      <c r="D44" s="963"/>
      <c r="E44" s="963"/>
      <c r="F44" s="981"/>
      <c r="G44" s="963"/>
      <c r="H44" s="963"/>
      <c r="I44" s="963"/>
      <c r="J44" s="906"/>
      <c r="K44" s="906"/>
      <c r="L44" s="963"/>
      <c r="M44" s="963"/>
      <c r="N44" s="963"/>
      <c r="O44" s="963"/>
      <c r="P44" s="963"/>
      <c r="Q44" s="963"/>
      <c r="R44" s="906"/>
      <c r="S44" s="906"/>
      <c r="T44" s="906"/>
      <c r="U44" s="907"/>
    </row>
    <row r="45" spans="2:21" ht="16">
      <c r="B45" s="964" t="s">
        <v>771</v>
      </c>
      <c r="C45" s="965"/>
      <c r="D45" s="963"/>
      <c r="E45" s="963"/>
      <c r="F45" s="963"/>
      <c r="G45" s="963"/>
      <c r="H45" s="963"/>
      <c r="I45" s="963"/>
      <c r="J45" s="963"/>
      <c r="K45" s="963"/>
      <c r="L45" s="963"/>
      <c r="M45" s="963"/>
      <c r="N45" s="963"/>
      <c r="O45" s="963"/>
      <c r="P45" s="963"/>
      <c r="Q45" s="963"/>
      <c r="R45" s="906"/>
      <c r="S45" s="906"/>
      <c r="T45" s="906"/>
      <c r="U45" s="907"/>
    </row>
    <row r="46" spans="2:21" ht="27" customHeight="1">
      <c r="B46" s="2846" t="s">
        <v>327</v>
      </c>
      <c r="C46" s="2847"/>
      <c r="D46" s="2847"/>
      <c r="E46" s="2847"/>
      <c r="F46" s="2847"/>
      <c r="G46" s="2847"/>
      <c r="H46" s="2847"/>
      <c r="I46" s="2847"/>
      <c r="J46" s="2847"/>
      <c r="K46" s="2847"/>
      <c r="L46" s="2847"/>
      <c r="M46" s="2847"/>
      <c r="N46" s="2847"/>
      <c r="O46" s="2847"/>
      <c r="P46" s="2847"/>
      <c r="Q46" s="2847"/>
      <c r="R46" s="2847"/>
      <c r="S46" s="2847"/>
      <c r="T46" s="2847"/>
      <c r="U46" s="2848"/>
    </row>
    <row r="47" spans="2:21" ht="16">
      <c r="B47" s="2849" t="s">
        <v>772</v>
      </c>
      <c r="C47" s="2850"/>
      <c r="D47" s="2850"/>
      <c r="E47" s="2850"/>
      <c r="F47" s="2850"/>
      <c r="G47" s="2850"/>
      <c r="H47" s="2850"/>
      <c r="I47" s="2850"/>
      <c r="J47" s="2850"/>
      <c r="K47" s="2850"/>
      <c r="L47" s="2850"/>
      <c r="M47" s="2850"/>
      <c r="N47" s="2850"/>
      <c r="O47" s="2850"/>
      <c r="P47" s="2850"/>
      <c r="Q47" s="2850"/>
      <c r="R47" s="2850"/>
      <c r="S47" s="2850"/>
      <c r="T47" s="2850"/>
      <c r="U47" s="2851"/>
    </row>
    <row r="48" spans="2:21" ht="16">
      <c r="B48" s="2840" t="s">
        <v>773</v>
      </c>
      <c r="C48" s="2841"/>
      <c r="D48" s="2841"/>
      <c r="E48" s="2841"/>
      <c r="F48" s="2841"/>
      <c r="G48" s="2841"/>
      <c r="H48" s="2841"/>
      <c r="I48" s="2841"/>
      <c r="J48" s="2841"/>
      <c r="K48" s="2841"/>
      <c r="L48" s="2841"/>
      <c r="M48" s="2841"/>
      <c r="N48" s="2841"/>
      <c r="O48" s="2841"/>
      <c r="P48" s="2841"/>
      <c r="Q48" s="2841"/>
      <c r="R48" s="2841"/>
      <c r="S48" s="2841"/>
      <c r="T48" s="2841"/>
      <c r="U48" s="2842"/>
    </row>
    <row r="49" spans="2:21" ht="59.5" customHeight="1">
      <c r="B49" s="2846" t="s">
        <v>774</v>
      </c>
      <c r="C49" s="2847"/>
      <c r="D49" s="2847"/>
      <c r="E49" s="2847"/>
      <c r="F49" s="2847"/>
      <c r="G49" s="2847"/>
      <c r="H49" s="2847"/>
      <c r="I49" s="2847"/>
      <c r="J49" s="2847"/>
      <c r="K49" s="2847"/>
      <c r="L49" s="2847"/>
      <c r="M49" s="2847"/>
      <c r="N49" s="2847"/>
      <c r="O49" s="2847"/>
      <c r="P49" s="2847"/>
      <c r="Q49" s="2847"/>
      <c r="R49" s="2847"/>
      <c r="S49" s="2847"/>
      <c r="T49" s="2847"/>
      <c r="U49" s="2848"/>
    </row>
    <row r="50" spans="2:21" ht="16">
      <c r="B50" s="2840" t="s">
        <v>775</v>
      </c>
      <c r="C50" s="2841"/>
      <c r="D50" s="2841"/>
      <c r="E50" s="2841"/>
      <c r="F50" s="2841"/>
      <c r="G50" s="2841"/>
      <c r="H50" s="2841"/>
      <c r="I50" s="2841"/>
      <c r="J50" s="2841"/>
      <c r="K50" s="2841"/>
      <c r="L50" s="2841"/>
      <c r="M50" s="2841"/>
      <c r="N50" s="2841"/>
      <c r="O50" s="2841"/>
      <c r="P50" s="2841"/>
      <c r="Q50" s="2841"/>
      <c r="R50" s="2841"/>
      <c r="S50" s="2841"/>
      <c r="T50" s="2841"/>
      <c r="U50" s="2842"/>
    </row>
    <row r="51" spans="2:21" ht="57" customHeight="1">
      <c r="B51" s="2846"/>
      <c r="C51" s="2847"/>
      <c r="D51" s="2847"/>
      <c r="E51" s="2847"/>
      <c r="F51" s="2847"/>
      <c r="G51" s="2847"/>
      <c r="H51" s="2847"/>
      <c r="I51" s="2847"/>
      <c r="J51" s="2847"/>
      <c r="K51" s="2847"/>
      <c r="L51" s="2847"/>
      <c r="M51" s="2847"/>
      <c r="N51" s="2847"/>
      <c r="O51" s="2847"/>
      <c r="P51" s="2847"/>
      <c r="Q51" s="2847"/>
      <c r="R51" s="2847"/>
      <c r="S51" s="2847"/>
      <c r="T51" s="2847"/>
      <c r="U51" s="2848"/>
    </row>
    <row r="52" spans="2:21" ht="16">
      <c r="B52" s="2840" t="s">
        <v>776</v>
      </c>
      <c r="C52" s="2841"/>
      <c r="D52" s="2841"/>
      <c r="E52" s="2841"/>
      <c r="F52" s="2841"/>
      <c r="G52" s="2841"/>
      <c r="H52" s="2841"/>
      <c r="I52" s="2841"/>
      <c r="J52" s="2841"/>
      <c r="K52" s="2841"/>
      <c r="L52" s="2841"/>
      <c r="M52" s="2841"/>
      <c r="N52" s="2841"/>
      <c r="O52" s="2841"/>
      <c r="P52" s="2841"/>
      <c r="Q52" s="2841"/>
      <c r="R52" s="2841"/>
      <c r="S52" s="2841"/>
      <c r="T52" s="2841"/>
      <c r="U52" s="2842"/>
    </row>
    <row r="53" spans="2:21" ht="49.25" customHeight="1">
      <c r="B53" s="2846" t="s">
        <v>777</v>
      </c>
      <c r="C53" s="2847"/>
      <c r="D53" s="2847"/>
      <c r="E53" s="2847"/>
      <c r="F53" s="2847"/>
      <c r="G53" s="2847"/>
      <c r="H53" s="2847"/>
      <c r="I53" s="2847"/>
      <c r="J53" s="2847"/>
      <c r="K53" s="2847"/>
      <c r="L53" s="2847"/>
      <c r="M53" s="2847"/>
      <c r="N53" s="2847"/>
      <c r="O53" s="2847"/>
      <c r="P53" s="2847"/>
      <c r="Q53" s="2847"/>
      <c r="R53" s="2847"/>
      <c r="S53" s="2847"/>
      <c r="T53" s="2847"/>
      <c r="U53" s="2848"/>
    </row>
    <row r="54" spans="2:21" ht="16">
      <c r="B54" s="2840" t="s">
        <v>778</v>
      </c>
      <c r="C54" s="2841"/>
      <c r="D54" s="2841"/>
      <c r="E54" s="2841"/>
      <c r="F54" s="2841"/>
      <c r="G54" s="2841"/>
      <c r="H54" s="2841"/>
      <c r="I54" s="2841"/>
      <c r="J54" s="2841"/>
      <c r="K54" s="2841"/>
      <c r="L54" s="2841"/>
      <c r="M54" s="2841"/>
      <c r="N54" s="2841"/>
      <c r="O54" s="2841"/>
      <c r="P54" s="2841"/>
      <c r="Q54" s="2841"/>
      <c r="R54" s="2841"/>
      <c r="S54" s="2841"/>
      <c r="T54" s="2841"/>
      <c r="U54" s="2842"/>
    </row>
    <row r="55" spans="2:21" ht="60" customHeight="1">
      <c r="B55" s="2846" t="s">
        <v>779</v>
      </c>
      <c r="C55" s="2847"/>
      <c r="D55" s="2847"/>
      <c r="E55" s="2847"/>
      <c r="F55" s="2847"/>
      <c r="G55" s="2847"/>
      <c r="H55" s="2847"/>
      <c r="I55" s="2847"/>
      <c r="J55" s="2847"/>
      <c r="K55" s="2847"/>
      <c r="L55" s="2847"/>
      <c r="M55" s="2847"/>
      <c r="N55" s="2847"/>
      <c r="O55" s="2847"/>
      <c r="P55" s="2847"/>
      <c r="Q55" s="2847"/>
      <c r="R55" s="2847"/>
      <c r="S55" s="2847"/>
      <c r="T55" s="2847"/>
      <c r="U55" s="2848"/>
    </row>
    <row r="56" spans="2:21" ht="16">
      <c r="B56" s="2849" t="s">
        <v>780</v>
      </c>
      <c r="C56" s="2850"/>
      <c r="D56" s="2850"/>
      <c r="E56" s="2850"/>
      <c r="F56" s="2850"/>
      <c r="G56" s="2850"/>
      <c r="H56" s="2850"/>
      <c r="I56" s="2850"/>
      <c r="J56" s="2850"/>
      <c r="K56" s="2850"/>
      <c r="L56" s="2850"/>
      <c r="M56" s="2850"/>
      <c r="N56" s="2850"/>
      <c r="O56" s="2850"/>
      <c r="P56" s="2850"/>
      <c r="Q56" s="2850"/>
      <c r="R56" s="2850"/>
      <c r="S56" s="2850"/>
      <c r="T56" s="2850"/>
      <c r="U56" s="2851"/>
    </row>
    <row r="57" spans="2:21" ht="16">
      <c r="B57" s="966" t="s">
        <v>781</v>
      </c>
      <c r="C57" s="906"/>
      <c r="D57" s="2857" t="s">
        <v>327</v>
      </c>
      <c r="E57" s="2858"/>
      <c r="F57" s="2859"/>
      <c r="G57" s="967"/>
      <c r="H57" s="968"/>
      <c r="I57" s="906"/>
      <c r="J57" s="906"/>
      <c r="K57" s="906"/>
      <c r="L57" s="906"/>
      <c r="M57" s="906"/>
      <c r="N57" s="906"/>
      <c r="O57" s="906"/>
      <c r="P57" s="906"/>
      <c r="Q57" s="906"/>
      <c r="R57" s="906"/>
      <c r="S57" s="906"/>
      <c r="T57" s="906"/>
      <c r="U57" s="907"/>
    </row>
    <row r="58" spans="2:21" ht="17">
      <c r="B58" s="908" t="s">
        <v>782</v>
      </c>
      <c r="C58" s="969"/>
      <c r="D58" s="903" t="s">
        <v>783</v>
      </c>
      <c r="E58" s="969"/>
      <c r="F58" s="903" t="s">
        <v>784</v>
      </c>
      <c r="G58" s="969"/>
      <c r="H58" s="903" t="s">
        <v>785</v>
      </c>
      <c r="I58" s="969"/>
      <c r="J58" s="909" t="s">
        <v>786</v>
      </c>
      <c r="K58" s="969"/>
      <c r="L58" s="909" t="s">
        <v>104</v>
      </c>
      <c r="M58" s="330"/>
      <c r="N58" s="330"/>
      <c r="O58" s="330"/>
      <c r="P58" s="330"/>
      <c r="Q58" s="330"/>
      <c r="R58" s="906"/>
      <c r="S58" s="906"/>
      <c r="T58" s="906"/>
      <c r="U58" s="907"/>
    </row>
    <row r="59" spans="2:21" ht="16">
      <c r="B59" s="331"/>
      <c r="C59" s="915"/>
      <c r="D59" s="332"/>
      <c r="E59" s="915"/>
      <c r="F59" s="332"/>
      <c r="G59" s="915"/>
      <c r="H59" s="332"/>
      <c r="I59" s="915"/>
      <c r="J59" s="332"/>
      <c r="K59" s="915"/>
      <c r="L59" s="914">
        <f>+B59+D59+F59+H59+J59</f>
        <v>0</v>
      </c>
      <c r="M59" s="970"/>
      <c r="N59" s="970"/>
      <c r="O59" s="970"/>
      <c r="P59" s="970"/>
      <c r="Q59" s="970"/>
      <c r="R59" s="906"/>
      <c r="S59" s="906"/>
      <c r="T59" s="906"/>
      <c r="U59" s="907"/>
    </row>
    <row r="60" spans="2:21" ht="16">
      <c r="B60" s="971">
        <f>IF($L$59=0,0,B59/$L$59)</f>
        <v>0</v>
      </c>
      <c r="C60" s="918"/>
      <c r="D60" s="971">
        <f>IF($L$59=0,0,D59/$L$59)</f>
        <v>0</v>
      </c>
      <c r="E60" s="918"/>
      <c r="F60" s="971">
        <f>IF($L$59=0,0,F59/$L$59)</f>
        <v>0</v>
      </c>
      <c r="G60" s="918"/>
      <c r="H60" s="971">
        <f>IF($L$59=0,0,H59/$L$59)</f>
        <v>0</v>
      </c>
      <c r="I60" s="918"/>
      <c r="J60" s="971">
        <f>IF($L$59=0,0,J59/$L$59)</f>
        <v>0</v>
      </c>
      <c r="K60" s="918"/>
      <c r="L60" s="917"/>
      <c r="M60" s="972"/>
      <c r="N60" s="972"/>
      <c r="O60" s="972"/>
      <c r="P60" s="972"/>
      <c r="Q60" s="972"/>
      <c r="R60" s="906"/>
      <c r="S60" s="906"/>
      <c r="T60" s="906"/>
      <c r="U60" s="907"/>
    </row>
    <row r="61" spans="2:21" ht="16">
      <c r="B61" s="931"/>
      <c r="C61" s="932"/>
      <c r="D61" s="906"/>
      <c r="E61" s="906"/>
      <c r="F61" s="906"/>
      <c r="G61" s="906"/>
      <c r="H61" s="906"/>
      <c r="I61" s="906"/>
      <c r="J61" s="906"/>
      <c r="K61" s="906"/>
      <c r="L61" s="906"/>
      <c r="M61" s="906"/>
      <c r="N61" s="906"/>
      <c r="O61" s="906"/>
      <c r="P61" s="906"/>
      <c r="Q61" s="906"/>
      <c r="R61" s="906"/>
      <c r="S61" s="906"/>
      <c r="T61" s="906"/>
      <c r="U61" s="907"/>
    </row>
    <row r="62" spans="2:21" ht="16">
      <c r="B62" s="2843" t="s">
        <v>787</v>
      </c>
      <c r="C62" s="2844"/>
      <c r="D62" s="2844"/>
      <c r="E62" s="2844"/>
      <c r="F62" s="2844"/>
      <c r="G62" s="2844"/>
      <c r="H62" s="2844"/>
      <c r="I62" s="2844"/>
      <c r="J62" s="2844"/>
      <c r="K62" s="2844"/>
      <c r="L62" s="2844"/>
      <c r="M62" s="2844"/>
      <c r="N62" s="2844"/>
      <c r="O62" s="2844"/>
      <c r="P62" s="2844"/>
      <c r="Q62" s="2844"/>
      <c r="R62" s="2844"/>
      <c r="S62" s="2844"/>
      <c r="T62" s="2844"/>
      <c r="U62" s="2845"/>
    </row>
    <row r="63" spans="2:21" ht="34.25" customHeight="1">
      <c r="B63" s="2846"/>
      <c r="C63" s="2847"/>
      <c r="D63" s="2847"/>
      <c r="E63" s="2847"/>
      <c r="F63" s="2847"/>
      <c r="G63" s="2847"/>
      <c r="H63" s="2847"/>
      <c r="I63" s="2847"/>
      <c r="J63" s="2847"/>
      <c r="K63" s="2847"/>
      <c r="L63" s="2847"/>
      <c r="M63" s="2847"/>
      <c r="N63" s="2847"/>
      <c r="O63" s="2847"/>
      <c r="P63" s="2847"/>
      <c r="Q63" s="2847"/>
      <c r="R63" s="2847"/>
      <c r="S63" s="2847"/>
      <c r="T63" s="2847"/>
      <c r="U63" s="2848"/>
    </row>
    <row r="64" spans="2:21" ht="16">
      <c r="B64" s="2840" t="s">
        <v>788</v>
      </c>
      <c r="C64" s="2841"/>
      <c r="D64" s="2841"/>
      <c r="E64" s="2841"/>
      <c r="F64" s="2841"/>
      <c r="G64" s="2841"/>
      <c r="H64" s="2841"/>
      <c r="I64" s="2841"/>
      <c r="J64" s="2841"/>
      <c r="K64" s="2841"/>
      <c r="L64" s="2841"/>
      <c r="M64" s="2841"/>
      <c r="N64" s="2841"/>
      <c r="O64" s="2841"/>
      <c r="P64" s="2841"/>
      <c r="Q64" s="2841"/>
      <c r="R64" s="2841"/>
      <c r="S64" s="2841"/>
      <c r="T64" s="2841"/>
      <c r="U64" s="907"/>
    </row>
    <row r="65" spans="2:21" ht="48.5" customHeight="1">
      <c r="B65" s="2846"/>
      <c r="C65" s="2847"/>
      <c r="D65" s="2847"/>
      <c r="E65" s="2847"/>
      <c r="F65" s="2847"/>
      <c r="G65" s="2847"/>
      <c r="H65" s="2847"/>
      <c r="I65" s="2847"/>
      <c r="J65" s="2847"/>
      <c r="K65" s="2847"/>
      <c r="L65" s="2847"/>
      <c r="M65" s="2847"/>
      <c r="N65" s="2847"/>
      <c r="O65" s="2847"/>
      <c r="P65" s="2847"/>
      <c r="Q65" s="2847"/>
      <c r="R65" s="2847"/>
      <c r="S65" s="2847"/>
      <c r="T65" s="2847"/>
      <c r="U65" s="2848"/>
    </row>
    <row r="66" spans="2:21" ht="16">
      <c r="B66" s="937"/>
      <c r="C66" s="330"/>
      <c r="D66" s="330"/>
      <c r="E66" s="330"/>
      <c r="F66" s="330"/>
      <c r="G66" s="973"/>
      <c r="H66" s="973"/>
      <c r="I66" s="330"/>
      <c r="J66" s="330"/>
      <c r="K66" s="330"/>
      <c r="L66" s="330"/>
      <c r="M66" s="330"/>
      <c r="N66" s="330"/>
      <c r="O66" s="330"/>
      <c r="P66" s="330"/>
      <c r="Q66" s="330"/>
      <c r="R66" s="330"/>
      <c r="S66" s="330"/>
      <c r="T66" s="330"/>
      <c r="U66" s="907"/>
    </row>
    <row r="67" spans="2:21" ht="16">
      <c r="B67" s="966" t="s">
        <v>789</v>
      </c>
      <c r="C67" s="906"/>
      <c r="D67" s="2857" t="s">
        <v>327</v>
      </c>
      <c r="E67" s="2858"/>
      <c r="F67" s="2859"/>
      <c r="G67" s="974"/>
      <c r="H67" s="975"/>
      <c r="I67" s="906"/>
      <c r="J67" s="906"/>
      <c r="K67" s="906"/>
      <c r="L67" s="906"/>
      <c r="M67" s="906"/>
      <c r="N67" s="906"/>
      <c r="O67" s="906"/>
      <c r="P67" s="906"/>
      <c r="Q67" s="906"/>
      <c r="R67" s="906"/>
      <c r="S67" s="906"/>
      <c r="T67" s="906"/>
      <c r="U67" s="907"/>
    </row>
    <row r="68" spans="2:21" ht="17">
      <c r="B68" s="908" t="s">
        <v>782</v>
      </c>
      <c r="C68" s="969"/>
      <c r="D68" s="903" t="s">
        <v>783</v>
      </c>
      <c r="E68" s="969"/>
      <c r="F68" s="903" t="s">
        <v>784</v>
      </c>
      <c r="G68" s="969"/>
      <c r="H68" s="909" t="s">
        <v>785</v>
      </c>
      <c r="I68" s="969"/>
      <c r="J68" s="909" t="s">
        <v>786</v>
      </c>
      <c r="K68" s="969"/>
      <c r="L68" s="909" t="s">
        <v>104</v>
      </c>
      <c r="M68" s="330"/>
      <c r="N68" s="330"/>
      <c r="O68" s="330"/>
      <c r="P68" s="330"/>
      <c r="Q68" s="330"/>
      <c r="R68" s="906"/>
      <c r="S68" s="906"/>
      <c r="T68" s="906"/>
      <c r="U68" s="907"/>
    </row>
    <row r="69" spans="2:21" ht="16">
      <c r="B69" s="331"/>
      <c r="C69" s="915"/>
      <c r="D69" s="332"/>
      <c r="E69" s="915"/>
      <c r="F69" s="332"/>
      <c r="G69" s="915"/>
      <c r="H69" s="332"/>
      <c r="I69" s="915"/>
      <c r="J69" s="332"/>
      <c r="K69" s="915"/>
      <c r="L69" s="914">
        <f>+B69+D69+F69+H69+J69</f>
        <v>0</v>
      </c>
      <c r="M69" s="970"/>
      <c r="N69" s="970"/>
      <c r="O69" s="970"/>
      <c r="P69" s="970"/>
      <c r="Q69" s="970"/>
      <c r="R69" s="906"/>
      <c r="S69" s="906"/>
      <c r="T69" s="906"/>
      <c r="U69" s="907"/>
    </row>
    <row r="70" spans="2:21" ht="16">
      <c r="B70" s="971">
        <f>IF($L$69=0,0,B69/$L$69)</f>
        <v>0</v>
      </c>
      <c r="C70" s="976"/>
      <c r="D70" s="917">
        <f>IF($L$69=0,0,D69/$L$69)</f>
        <v>0</v>
      </c>
      <c r="E70" s="976"/>
      <c r="F70" s="917">
        <f>IF($L$69=0,0,F69/$L$69)</f>
        <v>0</v>
      </c>
      <c r="G70" s="976"/>
      <c r="H70" s="917">
        <f>IF($L$69=0,0,H69/$L$69)</f>
        <v>0</v>
      </c>
      <c r="I70" s="976"/>
      <c r="J70" s="917">
        <f>IF($L$69=0,0,J69/$L$69)</f>
        <v>0</v>
      </c>
      <c r="K70" s="918"/>
      <c r="L70" s="917"/>
      <c r="M70" s="972"/>
      <c r="N70" s="972"/>
      <c r="O70" s="972"/>
      <c r="P70" s="972"/>
      <c r="Q70" s="972"/>
      <c r="R70" s="906"/>
      <c r="S70" s="906"/>
      <c r="T70" s="906"/>
      <c r="U70" s="907"/>
    </row>
    <row r="71" spans="2:21" ht="16">
      <c r="B71" s="936"/>
      <c r="C71" s="906"/>
      <c r="D71" s="906"/>
      <c r="E71" s="906"/>
      <c r="F71" s="906"/>
      <c r="G71" s="906"/>
      <c r="H71" s="906"/>
      <c r="I71" s="906"/>
      <c r="J71" s="906"/>
      <c r="K71" s="906"/>
      <c r="L71" s="906"/>
      <c r="M71" s="906"/>
      <c r="N71" s="906"/>
      <c r="O71" s="906"/>
      <c r="P71" s="906"/>
      <c r="Q71" s="906"/>
      <c r="R71" s="906"/>
      <c r="S71" s="906"/>
      <c r="T71" s="906"/>
      <c r="U71" s="907"/>
    </row>
    <row r="72" spans="2:21" ht="16">
      <c r="B72" s="936" t="s">
        <v>788</v>
      </c>
      <c r="C72" s="906"/>
      <c r="D72" s="906"/>
      <c r="E72" s="906"/>
      <c r="F72" s="906"/>
      <c r="G72" s="906"/>
      <c r="H72" s="906"/>
      <c r="I72" s="906"/>
      <c r="J72" s="906"/>
      <c r="K72" s="906"/>
      <c r="L72" s="906"/>
      <c r="M72" s="906"/>
      <c r="N72" s="906"/>
      <c r="O72" s="906"/>
      <c r="P72" s="906"/>
      <c r="Q72" s="906"/>
      <c r="R72" s="906"/>
      <c r="S72" s="906"/>
      <c r="T72" s="906"/>
      <c r="U72" s="907"/>
    </row>
    <row r="73" spans="2:21" ht="39.5" customHeight="1" thickBot="1">
      <c r="B73" s="2854"/>
      <c r="C73" s="2855"/>
      <c r="D73" s="2855"/>
      <c r="E73" s="2855"/>
      <c r="F73" s="2855"/>
      <c r="G73" s="2855"/>
      <c r="H73" s="2855"/>
      <c r="I73" s="2855"/>
      <c r="J73" s="2855"/>
      <c r="K73" s="2855"/>
      <c r="L73" s="2855"/>
      <c r="M73" s="2855"/>
      <c r="N73" s="2855"/>
      <c r="O73" s="2855"/>
      <c r="P73" s="2855"/>
      <c r="Q73" s="2855"/>
      <c r="R73" s="2855"/>
      <c r="S73" s="2855"/>
      <c r="T73" s="2855"/>
      <c r="U73" s="2856"/>
    </row>
  </sheetData>
  <sheetProtection algorithmName="SHA-512" hashValue="FYnh9vlxfEjXHwLNCptFwbKE5yj8Ff4lUzciBYq7Jr5oddB75zoMMrsHZNzEfhq4LbveW/qCNvzYpSkEPrS5jA==" saltValue="p4xqOOBrJ5foiz/BgqelaQ==" spinCount="100000" sheet="1" scenarios="1" formatCells="0" formatColumns="0" formatRows="0"/>
  <customSheetViews>
    <customSheetView guid="{EDC0EC15-0264-48C8-A990-093960AE8EF3}" scale="85" showGridLines="0" printArea="1" topLeftCell="A59">
      <selection activeCell="A85" sqref="A85:T85"/>
      <rowBreaks count="1" manualBreakCount="1">
        <brk id="53" max="17" man="1"/>
      </rowBreaks>
      <colBreaks count="1" manualBreakCount="1">
        <brk id="20" max="1048575" man="1"/>
      </colBreaks>
      <pageMargins left="0" right="0" top="0" bottom="0" header="0" footer="0"/>
      <printOptions horizontalCentered="1"/>
      <pageSetup scale="60" orientation="portrait" r:id="rId1"/>
      <headerFooter differentFirst="1">
        <firstHeader>&amp;L&amp;G&amp;C&amp;8
&amp;18Credit Memo</firstHeader>
      </headerFooter>
    </customSheetView>
    <customSheetView guid="{6E1FDEE6-49D0-4876-8C7C-09893145D2CE}" scale="85" showGridLines="0" printArea="1" topLeftCell="A59">
      <selection activeCell="A85" sqref="A85:T85"/>
      <rowBreaks count="1" manualBreakCount="1">
        <brk id="53" max="17" man="1"/>
      </rowBreaks>
      <colBreaks count="1" manualBreakCount="1">
        <brk id="20" max="1048575" man="1"/>
      </colBreaks>
      <pageMargins left="0" right="0" top="0" bottom="0" header="0" footer="0"/>
      <printOptions horizontalCentered="1"/>
      <pageSetup scale="60" orientation="portrait" r:id="rId2"/>
      <headerFooter differentFirst="1">
        <firstHeader>&amp;L&amp;G&amp;C&amp;8
&amp;18Credit Memo</firstHeader>
      </headerFooter>
    </customSheetView>
    <customSheetView guid="{DB1F6E98-7FCC-445F-9DA6-47D8BF8BE969}" scale="85" showGridLines="0" printArea="1" topLeftCell="A59">
      <selection activeCell="A85" sqref="A85:T85"/>
      <rowBreaks count="1" manualBreakCount="1">
        <brk id="53" max="17" man="1"/>
      </rowBreaks>
      <colBreaks count="1" manualBreakCount="1">
        <brk id="20" max="1048575" man="1"/>
      </colBreaks>
      <pageMargins left="0" right="0" top="0" bottom="0" header="0" footer="0"/>
      <printOptions horizontalCentered="1"/>
      <pageSetup scale="60" orientation="portrait" r:id="rId3"/>
      <headerFooter differentFirst="1">
        <firstHeader>&amp;L&amp;G&amp;C&amp;8
&amp;18Credit Memo</firstHeader>
      </headerFooter>
    </customSheetView>
    <customSheetView guid="{C02CA8E5-5D4C-45E5-BC4A-4C9BE481059B}" scale="85" showGridLines="0" printArea="1">
      <selection activeCell="A85" sqref="A85:T85"/>
      <rowBreaks count="1" manualBreakCount="1">
        <brk id="53" max="17" man="1"/>
      </rowBreaks>
      <colBreaks count="1" manualBreakCount="1">
        <brk id="20" max="1048575" man="1"/>
      </colBreaks>
      <pageMargins left="0" right="0" top="0" bottom="0" header="0" footer="0"/>
      <printOptions horizontalCentered="1"/>
      <pageSetup scale="60" orientation="portrait" r:id="rId4"/>
      <headerFooter differentFirst="1">
        <firstHeader>&amp;L&amp;G&amp;C&amp;8
&amp;18Credit Memo</firstHeader>
      </headerFooter>
    </customSheetView>
  </customSheetViews>
  <mergeCells count="30">
    <mergeCell ref="B73:U73"/>
    <mergeCell ref="D57:F57"/>
    <mergeCell ref="D67:F67"/>
    <mergeCell ref="B65:U65"/>
    <mergeCell ref="X2:Z2"/>
    <mergeCell ref="B2:U2"/>
    <mergeCell ref="B3:U3"/>
    <mergeCell ref="B4:B5"/>
    <mergeCell ref="B25:H25"/>
    <mergeCell ref="B26:U26"/>
    <mergeCell ref="U5:U6"/>
    <mergeCell ref="S4:S5"/>
    <mergeCell ref="S6:S8"/>
    <mergeCell ref="S13:S16"/>
    <mergeCell ref="B46:U46"/>
    <mergeCell ref="B27:U27"/>
    <mergeCell ref="S28:U28"/>
    <mergeCell ref="B47:U47"/>
    <mergeCell ref="B49:U49"/>
    <mergeCell ref="B48:U48"/>
    <mergeCell ref="B50:U50"/>
    <mergeCell ref="B52:U52"/>
    <mergeCell ref="B54:U54"/>
    <mergeCell ref="B64:T64"/>
    <mergeCell ref="B62:U62"/>
    <mergeCell ref="B51:U51"/>
    <mergeCell ref="B53:U53"/>
    <mergeCell ref="B55:U55"/>
    <mergeCell ref="B56:U56"/>
    <mergeCell ref="B63:U63"/>
  </mergeCells>
  <printOptions horizontalCentered="1"/>
  <pageMargins left="0.7" right="0.7" top="0.75" bottom="0.75" header="0.3" footer="0.3"/>
  <pageSetup scale="60" orientation="portrait" r:id="rId5"/>
  <headerFooter differentFirst="1">
    <firstHeader>&amp;L&amp;G&amp;C&amp;8
&amp;18Credit Memo</firstHeader>
  </headerFooter>
  <rowBreaks count="1" manualBreakCount="1">
    <brk id="55" min="1" max="18" man="1"/>
  </rowBreaks>
  <colBreaks count="1" manualBreakCount="1">
    <brk id="21" max="1048575" man="1"/>
  </colBreaks>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E00-000000000000}">
          <x14:formula1>
            <xm:f>Lists!$C$2:$C$5</xm:f>
          </x14:formula1>
          <xm:sqref>F44</xm:sqref>
        </x14:dataValidation>
        <x14:dataValidation type="list" allowBlank="1" showInputMessage="1" showErrorMessage="1" xr:uid="{00000000-0002-0000-0E00-000001000000}">
          <x14:formula1>
            <xm:f>Lists!$B$48:$B$54</xm:f>
          </x14:formula1>
          <xm:sqref>F19:F23 D19:D23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00B050"/>
    <pageSetUpPr autoPageBreaks="0"/>
  </sheetPr>
  <dimension ref="B1:AD75"/>
  <sheetViews>
    <sheetView showGridLines="0" topLeftCell="A52" zoomScale="85" zoomScaleNormal="85" zoomScaleSheetLayoutView="85" workbookViewId="0">
      <selection activeCell="AG9" sqref="AG9"/>
    </sheetView>
  </sheetViews>
  <sheetFormatPr baseColWidth="10" defaultColWidth="8.83203125" defaultRowHeight="15"/>
  <cols>
    <col min="1" max="1" width="5.6640625" style="1180" customWidth="1"/>
    <col min="2" max="2" width="36" style="1180" bestFit="1" customWidth="1"/>
    <col min="3" max="3" width="4.6640625" style="1180" bestFit="1" customWidth="1"/>
    <col min="4" max="4" width="12.33203125" style="1180" bestFit="1" customWidth="1"/>
    <col min="5" max="5" width="4" style="1180" bestFit="1" customWidth="1"/>
    <col min="6" max="6" width="12.33203125" style="1180" bestFit="1" customWidth="1"/>
    <col min="7" max="7" width="4" style="1180" bestFit="1" customWidth="1"/>
    <col min="8" max="8" width="12.33203125" style="1180" bestFit="1" customWidth="1"/>
    <col min="9" max="9" width="4" style="1180" bestFit="1" customWidth="1"/>
    <col min="10" max="10" width="12.33203125" style="1180" bestFit="1" customWidth="1"/>
    <col min="11" max="11" width="4" style="1180" bestFit="1" customWidth="1"/>
    <col min="12" max="12" width="1.6640625" style="1180" customWidth="1"/>
    <col min="13" max="13" width="5.83203125" style="1180" bestFit="1" customWidth="1"/>
    <col min="14" max="15" width="1.6640625" style="1180" customWidth="1"/>
    <col min="16" max="17" width="2.6640625" style="1180" customWidth="1"/>
    <col min="18" max="18" width="36" style="1180" customWidth="1"/>
    <col min="19" max="19" width="4.6640625" style="1180" customWidth="1"/>
    <col min="20" max="20" width="10.33203125" style="1180" bestFit="1" customWidth="1"/>
    <col min="21" max="21" width="4" style="1180" bestFit="1" customWidth="1"/>
    <col min="22" max="22" width="10.33203125" style="1180" bestFit="1" customWidth="1"/>
    <col min="23" max="23" width="4" style="1180" bestFit="1" customWidth="1"/>
    <col min="24" max="24" width="14.33203125" style="1180" bestFit="1" customWidth="1"/>
    <col min="25" max="25" width="4" style="1180" bestFit="1" customWidth="1"/>
    <col min="26" max="26" width="9.5" style="1180" bestFit="1" customWidth="1"/>
    <col min="27" max="27" width="4" style="1180" bestFit="1" customWidth="1"/>
    <col min="28" max="28" width="5.83203125" style="1180" bestFit="1" customWidth="1"/>
    <col min="29" max="30" width="1.6640625" style="1180" customWidth="1"/>
    <col min="31" max="16384" width="8.83203125" style="1180"/>
  </cols>
  <sheetData>
    <row r="1" spans="2:30" ht="16">
      <c r="B1" s="2880" t="s">
        <v>177</v>
      </c>
      <c r="C1" s="2881"/>
      <c r="D1" s="2881"/>
      <c r="E1" s="2881"/>
      <c r="F1" s="2881"/>
      <c r="G1" s="2881"/>
      <c r="H1" s="2881"/>
      <c r="I1" s="2881"/>
      <c r="J1" s="2881"/>
      <c r="K1" s="2881"/>
      <c r="L1" s="2881"/>
      <c r="M1" s="2881"/>
      <c r="N1" s="2881"/>
      <c r="O1" s="2882"/>
      <c r="P1" s="128"/>
      <c r="Q1" s="128"/>
      <c r="R1" s="2880" t="s">
        <v>790</v>
      </c>
      <c r="S1" s="2881"/>
      <c r="T1" s="2881"/>
      <c r="U1" s="2881"/>
      <c r="V1" s="2881"/>
      <c r="W1" s="2881"/>
      <c r="X1" s="2881"/>
      <c r="Y1" s="2881"/>
      <c r="Z1" s="2881"/>
      <c r="AA1" s="2881"/>
      <c r="AB1" s="2881"/>
      <c r="AC1" s="2881"/>
      <c r="AD1" s="2882"/>
    </row>
    <row r="2" spans="2:30" ht="16">
      <c r="B2" s="2383" t="s">
        <v>179</v>
      </c>
      <c r="C2" s="2385"/>
      <c r="D2" s="2385"/>
      <c r="E2" s="2385"/>
      <c r="F2" s="2385"/>
      <c r="G2" s="2385"/>
      <c r="H2" s="2385"/>
      <c r="I2" s="2385"/>
      <c r="J2" s="2385"/>
      <c r="K2" s="2385"/>
      <c r="L2" s="2385"/>
      <c r="M2" s="2385"/>
      <c r="N2" s="2385"/>
      <c r="O2" s="2386"/>
      <c r="P2" s="128"/>
      <c r="Q2" s="128"/>
      <c r="R2" s="2883" t="str">
        <f>'Hist IS and Proj'!B2</f>
        <v>{Insert business name which represents PSOR}</v>
      </c>
      <c r="S2" s="2884"/>
      <c r="T2" s="2884"/>
      <c r="U2" s="2884"/>
      <c r="V2" s="2884"/>
      <c r="W2" s="2884"/>
      <c r="X2" s="2884"/>
      <c r="Y2" s="2884"/>
      <c r="Z2" s="2884"/>
      <c r="AA2" s="2884"/>
      <c r="AB2" s="2884"/>
      <c r="AC2" s="2884"/>
      <c r="AD2" s="2885"/>
    </row>
    <row r="3" spans="2:30" ht="16">
      <c r="B3" s="1181"/>
      <c r="C3" s="237"/>
      <c r="D3" s="237"/>
      <c r="E3" s="237"/>
      <c r="F3" s="237"/>
      <c r="G3" s="237"/>
      <c r="H3" s="237"/>
      <c r="I3" s="237"/>
      <c r="J3" s="237"/>
      <c r="K3" s="237"/>
      <c r="L3" s="237"/>
      <c r="M3" s="237"/>
      <c r="N3" s="237"/>
      <c r="O3" s="263"/>
      <c r="P3" s="128"/>
      <c r="Q3" s="128"/>
      <c r="R3" s="334"/>
      <c r="S3" s="335"/>
      <c r="T3" s="335"/>
      <c r="U3" s="335"/>
      <c r="V3" s="335"/>
      <c r="W3" s="335"/>
      <c r="X3" s="335"/>
      <c r="Y3" s="335"/>
      <c r="Z3" s="335"/>
      <c r="AA3" s="335"/>
      <c r="AB3" s="335"/>
      <c r="AC3" s="335"/>
      <c r="AD3" s="336"/>
    </row>
    <row r="4" spans="2:30" ht="16">
      <c r="B4" s="312" t="s">
        <v>182</v>
      </c>
      <c r="C4" s="270"/>
      <c r="D4" s="492">
        <v>44561</v>
      </c>
      <c r="E4" s="239"/>
      <c r="F4" s="492">
        <f>+D4+365</f>
        <v>44926</v>
      </c>
      <c r="G4" s="239"/>
      <c r="H4" s="492">
        <f>+F4+365</f>
        <v>45291</v>
      </c>
      <c r="I4" s="239"/>
      <c r="J4" s="492">
        <v>45657</v>
      </c>
      <c r="K4" s="232"/>
      <c r="L4" s="232"/>
      <c r="M4" s="232"/>
      <c r="N4" s="232"/>
      <c r="O4" s="235"/>
      <c r="P4" s="128"/>
      <c r="Q4" s="128"/>
      <c r="R4" s="312"/>
      <c r="S4" s="270"/>
      <c r="T4" s="2889" t="s">
        <v>791</v>
      </c>
      <c r="U4" s="239"/>
      <c r="V4" s="2889" t="s">
        <v>792</v>
      </c>
      <c r="W4" s="239"/>
      <c r="X4" s="2891" t="s">
        <v>793</v>
      </c>
      <c r="Y4" s="239"/>
      <c r="Z4" s="2889" t="s">
        <v>794</v>
      </c>
      <c r="AA4" s="239"/>
      <c r="AB4" s="232"/>
      <c r="AC4" s="296"/>
      <c r="AD4" s="235"/>
    </row>
    <row r="5" spans="2:30" ht="16">
      <c r="B5" s="312" t="s">
        <v>183</v>
      </c>
      <c r="C5" s="270"/>
      <c r="D5" s="493">
        <v>12</v>
      </c>
      <c r="E5" s="316"/>
      <c r="F5" s="493">
        <v>12</v>
      </c>
      <c r="G5" s="316"/>
      <c r="H5" s="493">
        <v>12</v>
      </c>
      <c r="I5" s="316"/>
      <c r="J5" s="493" t="e">
        <f>#REF!</f>
        <v>#REF!</v>
      </c>
      <c r="K5" s="1183"/>
      <c r="L5" s="1183"/>
      <c r="M5" s="1183"/>
      <c r="N5" s="1183"/>
      <c r="O5" s="322"/>
      <c r="P5" s="128"/>
      <c r="Q5" s="128"/>
      <c r="R5" s="312"/>
      <c r="S5" s="270"/>
      <c r="T5" s="2890"/>
      <c r="U5" s="316"/>
      <c r="V5" s="2890"/>
      <c r="W5" s="316"/>
      <c r="X5" s="2892"/>
      <c r="Y5" s="316"/>
      <c r="Z5" s="2890"/>
      <c r="AA5" s="316"/>
      <c r="AB5" s="1183"/>
      <c r="AC5" s="296"/>
      <c r="AD5" s="322"/>
    </row>
    <row r="6" spans="2:30" ht="16">
      <c r="B6" s="312" t="s">
        <v>185</v>
      </c>
      <c r="C6" s="270"/>
      <c r="D6" s="137"/>
      <c r="E6" s="317"/>
      <c r="F6" s="137"/>
      <c r="G6" s="317"/>
      <c r="H6" s="1187"/>
      <c r="I6" s="317"/>
      <c r="J6" s="137"/>
      <c r="K6" s="1183"/>
      <c r="L6" s="1183"/>
      <c r="M6" s="2893" t="s">
        <v>737</v>
      </c>
      <c r="N6" s="296"/>
      <c r="O6" s="322"/>
      <c r="P6" s="128"/>
      <c r="Q6" s="128"/>
      <c r="R6" s="312"/>
      <c r="S6" s="270"/>
      <c r="T6" s="1093"/>
      <c r="U6" s="316"/>
      <c r="V6" s="1093"/>
      <c r="W6" s="316"/>
      <c r="X6" s="1093"/>
      <c r="Y6" s="316"/>
      <c r="Z6" s="1093"/>
      <c r="AA6" s="316"/>
      <c r="AB6" s="2893" t="s">
        <v>737</v>
      </c>
      <c r="AC6" s="296"/>
      <c r="AD6" s="322"/>
    </row>
    <row r="7" spans="2:30" ht="16">
      <c r="B7" s="312" t="s">
        <v>188</v>
      </c>
      <c r="C7" s="270"/>
      <c r="D7" s="137"/>
      <c r="E7" s="317"/>
      <c r="F7" s="137"/>
      <c r="G7" s="317"/>
      <c r="H7" s="1187"/>
      <c r="I7" s="317"/>
      <c r="J7" s="137"/>
      <c r="K7" s="1183"/>
      <c r="L7" s="1183"/>
      <c r="M7" s="2894"/>
      <c r="N7" s="296"/>
      <c r="O7" s="322"/>
      <c r="P7" s="128"/>
      <c r="Q7" s="128"/>
      <c r="R7" s="312"/>
      <c r="S7" s="270"/>
      <c r="T7" s="1093"/>
      <c r="U7" s="316"/>
      <c r="V7" s="1093"/>
      <c r="W7" s="316"/>
      <c r="X7" s="1093"/>
      <c r="Y7" s="316"/>
      <c r="Z7" s="1093"/>
      <c r="AA7" s="316"/>
      <c r="AB7" s="2894"/>
      <c r="AC7" s="296"/>
      <c r="AD7" s="322"/>
    </row>
    <row r="8" spans="2:30" ht="16">
      <c r="B8" s="236" t="s">
        <v>189</v>
      </c>
      <c r="C8" s="234" t="s">
        <v>795</v>
      </c>
      <c r="D8" s="314"/>
      <c r="E8" s="315"/>
      <c r="F8" s="314"/>
      <c r="G8" s="315"/>
      <c r="H8" s="314"/>
      <c r="I8" s="315"/>
      <c r="J8" s="314"/>
      <c r="K8" s="315"/>
      <c r="L8" s="315"/>
      <c r="M8" s="314"/>
      <c r="N8" s="314"/>
      <c r="O8" s="323"/>
      <c r="P8" s="128"/>
      <c r="Q8" s="128"/>
      <c r="R8" s="236" t="s">
        <v>189</v>
      </c>
      <c r="S8" s="234" t="s">
        <v>795</v>
      </c>
      <c r="T8" s="314"/>
      <c r="U8" s="315"/>
      <c r="V8" s="314"/>
      <c r="W8" s="315"/>
      <c r="X8" s="314"/>
      <c r="Y8" s="315"/>
      <c r="Z8" s="314"/>
      <c r="AA8" s="315"/>
      <c r="AB8" s="314"/>
      <c r="AC8" s="314"/>
      <c r="AD8" s="323"/>
    </row>
    <row r="9" spans="2:30" ht="16">
      <c r="B9" s="1188" t="s">
        <v>796</v>
      </c>
      <c r="C9" s="1052"/>
      <c r="D9" s="4">
        <v>0</v>
      </c>
      <c r="E9" s="318">
        <f>IF($D$18=0,0,D9/$D$18)</f>
        <v>0</v>
      </c>
      <c r="F9" s="4"/>
      <c r="G9" s="318">
        <f>IF($F$18=0,0,F9/$F$18)</f>
        <v>0</v>
      </c>
      <c r="H9" s="4"/>
      <c r="I9" s="318">
        <f>IF($H$18=0,0,H9/$H$18)</f>
        <v>0</v>
      </c>
      <c r="J9" s="4"/>
      <c r="K9" s="320">
        <f>IF($J$18=0,0,J9/$J$18)</f>
        <v>0</v>
      </c>
      <c r="L9" s="321"/>
      <c r="M9" s="56"/>
      <c r="N9" s="314"/>
      <c r="O9" s="324"/>
      <c r="P9" s="128"/>
      <c r="Q9" s="128"/>
      <c r="R9" s="1188" t="s">
        <v>796</v>
      </c>
      <c r="S9" s="1052"/>
      <c r="T9" s="640"/>
      <c r="U9" s="634">
        <f t="shared" ref="U9:U20" si="0">IF($T$18=0,0,T9/$T$18)</f>
        <v>0</v>
      </c>
      <c r="V9" s="640"/>
      <c r="W9" s="634">
        <f t="shared" ref="W9:W20" si="1">IF($V$18=0,0,V9/$V$18)</f>
        <v>0</v>
      </c>
      <c r="X9" s="640"/>
      <c r="Y9" s="634">
        <f t="shared" ref="Y9:Y20" si="2">IF($X$18=0,0,X9/$X$18)</f>
        <v>0</v>
      </c>
      <c r="Z9" s="640"/>
      <c r="AA9" s="637">
        <f t="shared" ref="AA9:AA20" si="3">IF($Z$18=0,0,Z9/$Z$18)</f>
        <v>0</v>
      </c>
      <c r="AB9" s="56"/>
      <c r="AC9" s="314"/>
      <c r="AD9" s="324"/>
    </row>
    <row r="10" spans="2:30" ht="16">
      <c r="B10" s="1188" t="s">
        <v>797</v>
      </c>
      <c r="C10" s="246"/>
      <c r="D10" s="5">
        <v>0</v>
      </c>
      <c r="E10" s="318">
        <f t="shared" ref="E10:E20" si="4">IF($D$18=0,0,D10/$D$18)</f>
        <v>0</v>
      </c>
      <c r="F10" s="5"/>
      <c r="G10" s="318">
        <f t="shared" ref="G10:G20" si="5">IF($F$18=0,0,F10/$F$18)</f>
        <v>0</v>
      </c>
      <c r="H10" s="5"/>
      <c r="I10" s="318">
        <f t="shared" ref="I10:I20" si="6">IF($H$18=0,0,H10/$H$18)</f>
        <v>0</v>
      </c>
      <c r="J10" s="5"/>
      <c r="K10" s="320">
        <f t="shared" ref="K10:K20" si="7">IF($J$18=0,0,J10/$J$18)</f>
        <v>0</v>
      </c>
      <c r="L10" s="321"/>
      <c r="M10" s="57"/>
      <c r="N10" s="314"/>
      <c r="O10" s="324"/>
      <c r="P10" s="128"/>
      <c r="Q10" s="128"/>
      <c r="R10" s="1188" t="s">
        <v>797</v>
      </c>
      <c r="S10" s="246"/>
      <c r="T10" s="641"/>
      <c r="U10" s="634">
        <f t="shared" si="0"/>
        <v>0</v>
      </c>
      <c r="V10" s="641"/>
      <c r="W10" s="634">
        <f t="shared" si="1"/>
        <v>0</v>
      </c>
      <c r="X10" s="641"/>
      <c r="Y10" s="634">
        <f t="shared" si="2"/>
        <v>0</v>
      </c>
      <c r="Z10" s="641"/>
      <c r="AA10" s="637">
        <f t="shared" si="3"/>
        <v>0</v>
      </c>
      <c r="AB10" s="57"/>
      <c r="AC10" s="314"/>
      <c r="AD10" s="324"/>
    </row>
    <row r="11" spans="2:30" ht="16">
      <c r="B11" s="1188" t="s">
        <v>798</v>
      </c>
      <c r="C11" s="246"/>
      <c r="D11" s="333">
        <f>D9-D10</f>
        <v>0</v>
      </c>
      <c r="E11" s="318">
        <f t="shared" si="4"/>
        <v>0</v>
      </c>
      <c r="F11" s="333">
        <f>F9-F10</f>
        <v>0</v>
      </c>
      <c r="G11" s="318">
        <f t="shared" si="5"/>
        <v>0</v>
      </c>
      <c r="H11" s="333">
        <f>H9-H10</f>
        <v>0</v>
      </c>
      <c r="I11" s="318">
        <f t="shared" si="6"/>
        <v>0</v>
      </c>
      <c r="J11" s="333">
        <f>J9-J10</f>
        <v>0</v>
      </c>
      <c r="K11" s="320">
        <f t="shared" si="7"/>
        <v>0</v>
      </c>
      <c r="L11" s="321"/>
      <c r="M11" s="57"/>
      <c r="N11" s="314"/>
      <c r="O11" s="324"/>
      <c r="P11" s="128"/>
      <c r="Q11" s="128"/>
      <c r="R11" s="1188" t="s">
        <v>798</v>
      </c>
      <c r="S11" s="246"/>
      <c r="T11" s="642">
        <f>T9-T10</f>
        <v>0</v>
      </c>
      <c r="U11" s="634">
        <f t="shared" si="0"/>
        <v>0</v>
      </c>
      <c r="V11" s="642">
        <f>V9-V10</f>
        <v>0</v>
      </c>
      <c r="W11" s="634">
        <f t="shared" si="1"/>
        <v>0</v>
      </c>
      <c r="X11" s="642">
        <f>X9-X10</f>
        <v>0</v>
      </c>
      <c r="Y11" s="634">
        <f t="shared" si="2"/>
        <v>0</v>
      </c>
      <c r="Z11" s="642">
        <f>Z9-Z10</f>
        <v>0</v>
      </c>
      <c r="AA11" s="637">
        <f t="shared" si="3"/>
        <v>0</v>
      </c>
      <c r="AB11" s="57"/>
      <c r="AC11" s="314"/>
      <c r="AD11" s="324"/>
    </row>
    <row r="12" spans="2:30" ht="16">
      <c r="B12" s="1188" t="s">
        <v>799</v>
      </c>
      <c r="C12" s="246"/>
      <c r="D12" s="5"/>
      <c r="E12" s="318">
        <f t="shared" si="4"/>
        <v>0</v>
      </c>
      <c r="F12" s="5"/>
      <c r="G12" s="318">
        <f t="shared" si="5"/>
        <v>0</v>
      </c>
      <c r="H12" s="5"/>
      <c r="I12" s="318">
        <f t="shared" si="6"/>
        <v>0</v>
      </c>
      <c r="J12" s="5"/>
      <c r="K12" s="320">
        <f t="shared" si="7"/>
        <v>0</v>
      </c>
      <c r="L12" s="321"/>
      <c r="M12" s="57"/>
      <c r="N12" s="314"/>
      <c r="O12" s="324"/>
      <c r="P12" s="128"/>
      <c r="Q12" s="128"/>
      <c r="R12" s="1188" t="s">
        <v>799</v>
      </c>
      <c r="S12" s="246"/>
      <c r="T12" s="641"/>
      <c r="U12" s="634">
        <f t="shared" si="0"/>
        <v>0</v>
      </c>
      <c r="V12" s="641"/>
      <c r="W12" s="634">
        <f t="shared" si="1"/>
        <v>0</v>
      </c>
      <c r="X12" s="641"/>
      <c r="Y12" s="634">
        <f t="shared" si="2"/>
        <v>0</v>
      </c>
      <c r="Z12" s="641"/>
      <c r="AA12" s="637">
        <f t="shared" si="3"/>
        <v>0</v>
      </c>
      <c r="AB12" s="57"/>
      <c r="AC12" s="314"/>
      <c r="AD12" s="324"/>
    </row>
    <row r="13" spans="2:30" ht="16">
      <c r="B13" s="1188" t="s">
        <v>800</v>
      </c>
      <c r="C13" s="246"/>
      <c r="D13" s="5"/>
      <c r="E13" s="318">
        <f t="shared" si="4"/>
        <v>0</v>
      </c>
      <c r="F13" s="5"/>
      <c r="G13" s="318">
        <f t="shared" si="5"/>
        <v>0</v>
      </c>
      <c r="H13" s="5"/>
      <c r="I13" s="318">
        <f t="shared" si="6"/>
        <v>0</v>
      </c>
      <c r="J13" s="5"/>
      <c r="K13" s="320">
        <f t="shared" si="7"/>
        <v>0</v>
      </c>
      <c r="L13" s="321"/>
      <c r="M13" s="57"/>
      <c r="N13" s="314"/>
      <c r="O13" s="324"/>
      <c r="P13" s="128"/>
      <c r="Q13" s="128"/>
      <c r="R13" s="1188" t="s">
        <v>800</v>
      </c>
      <c r="S13" s="246"/>
      <c r="T13" s="641"/>
      <c r="U13" s="634">
        <f t="shared" si="0"/>
        <v>0</v>
      </c>
      <c r="V13" s="641"/>
      <c r="W13" s="634">
        <f t="shared" si="1"/>
        <v>0</v>
      </c>
      <c r="X13" s="641"/>
      <c r="Y13" s="634">
        <f t="shared" si="2"/>
        <v>0</v>
      </c>
      <c r="Z13" s="641"/>
      <c r="AA13" s="637">
        <f t="shared" si="3"/>
        <v>0</v>
      </c>
      <c r="AB13" s="57"/>
      <c r="AC13" s="314"/>
      <c r="AD13" s="324"/>
    </row>
    <row r="14" spans="2:30" ht="16">
      <c r="B14" s="1188" t="s">
        <v>801</v>
      </c>
      <c r="C14" s="246"/>
      <c r="D14" s="333">
        <f>D12-D13</f>
        <v>0</v>
      </c>
      <c r="E14" s="318">
        <f t="shared" si="4"/>
        <v>0</v>
      </c>
      <c r="F14" s="333">
        <f>F12-F13</f>
        <v>0</v>
      </c>
      <c r="G14" s="318">
        <f t="shared" si="5"/>
        <v>0</v>
      </c>
      <c r="H14" s="333">
        <f>H12-H13</f>
        <v>0</v>
      </c>
      <c r="I14" s="318">
        <f t="shared" si="6"/>
        <v>0</v>
      </c>
      <c r="J14" s="333">
        <f>J12-J13</f>
        <v>0</v>
      </c>
      <c r="K14" s="320">
        <f t="shared" si="7"/>
        <v>0</v>
      </c>
      <c r="L14" s="321"/>
      <c r="M14" s="57"/>
      <c r="N14" s="314"/>
      <c r="O14" s="324"/>
      <c r="P14" s="128"/>
      <c r="Q14" s="128"/>
      <c r="R14" s="1188" t="s">
        <v>801</v>
      </c>
      <c r="S14" s="246"/>
      <c r="T14" s="642">
        <f>T12-T13</f>
        <v>0</v>
      </c>
      <c r="U14" s="634">
        <f t="shared" si="0"/>
        <v>0</v>
      </c>
      <c r="V14" s="642">
        <f>V12-V13</f>
        <v>0</v>
      </c>
      <c r="W14" s="634">
        <f t="shared" si="1"/>
        <v>0</v>
      </c>
      <c r="X14" s="642">
        <f>X12-X13</f>
        <v>0</v>
      </c>
      <c r="Y14" s="634">
        <f t="shared" si="2"/>
        <v>0</v>
      </c>
      <c r="Z14" s="642">
        <f>Z12-Z13</f>
        <v>0</v>
      </c>
      <c r="AA14" s="637">
        <f t="shared" si="3"/>
        <v>0</v>
      </c>
      <c r="AB14" s="57"/>
      <c r="AC14" s="314"/>
      <c r="AD14" s="324"/>
    </row>
    <row r="15" spans="2:30" ht="16">
      <c r="B15" s="1188" t="s">
        <v>802</v>
      </c>
      <c r="C15" s="246"/>
      <c r="D15" s="5"/>
      <c r="E15" s="318">
        <f t="shared" si="4"/>
        <v>0</v>
      </c>
      <c r="F15" s="5"/>
      <c r="G15" s="318">
        <f t="shared" si="5"/>
        <v>0</v>
      </c>
      <c r="H15" s="5"/>
      <c r="I15" s="318">
        <f t="shared" si="6"/>
        <v>0</v>
      </c>
      <c r="J15" s="5"/>
      <c r="K15" s="320">
        <f t="shared" si="7"/>
        <v>0</v>
      </c>
      <c r="L15" s="321"/>
      <c r="M15" s="57"/>
      <c r="N15" s="314"/>
      <c r="O15" s="324"/>
      <c r="P15" s="128"/>
      <c r="Q15" s="128"/>
      <c r="R15" s="1188" t="s">
        <v>802</v>
      </c>
      <c r="S15" s="246"/>
      <c r="T15" s="641"/>
      <c r="U15" s="634">
        <f t="shared" si="0"/>
        <v>0</v>
      </c>
      <c r="V15" s="641"/>
      <c r="W15" s="634">
        <f t="shared" si="1"/>
        <v>0</v>
      </c>
      <c r="X15" s="641"/>
      <c r="Y15" s="634">
        <f t="shared" si="2"/>
        <v>0</v>
      </c>
      <c r="Z15" s="641"/>
      <c r="AA15" s="637">
        <f t="shared" si="3"/>
        <v>0</v>
      </c>
      <c r="AB15" s="57"/>
      <c r="AC15" s="314"/>
      <c r="AD15" s="324"/>
    </row>
    <row r="16" spans="2:30" ht="16">
      <c r="B16" s="1188" t="s">
        <v>803</v>
      </c>
      <c r="C16" s="246"/>
      <c r="D16" s="5"/>
      <c r="E16" s="318">
        <f t="shared" si="4"/>
        <v>0</v>
      </c>
      <c r="F16" s="5"/>
      <c r="G16" s="318">
        <f t="shared" si="5"/>
        <v>0</v>
      </c>
      <c r="H16" s="5"/>
      <c r="I16" s="318">
        <f t="shared" si="6"/>
        <v>0</v>
      </c>
      <c r="J16" s="5"/>
      <c r="K16" s="320">
        <f t="shared" si="7"/>
        <v>0</v>
      </c>
      <c r="L16" s="321"/>
      <c r="M16" s="57"/>
      <c r="N16" s="314"/>
      <c r="O16" s="324"/>
      <c r="P16" s="128"/>
      <c r="Q16" s="128"/>
      <c r="R16" s="1188" t="s">
        <v>803</v>
      </c>
      <c r="S16" s="246"/>
      <c r="T16" s="641"/>
      <c r="U16" s="634">
        <f t="shared" si="0"/>
        <v>0</v>
      </c>
      <c r="V16" s="641"/>
      <c r="W16" s="634">
        <f t="shared" si="1"/>
        <v>0</v>
      </c>
      <c r="X16" s="641"/>
      <c r="Y16" s="634">
        <f t="shared" si="2"/>
        <v>0</v>
      </c>
      <c r="Z16" s="641"/>
      <c r="AA16" s="637">
        <f t="shared" si="3"/>
        <v>0</v>
      </c>
      <c r="AB16" s="57"/>
      <c r="AC16" s="314"/>
      <c r="AD16" s="324"/>
    </row>
    <row r="17" spans="2:30" ht="16">
      <c r="B17" s="1188" t="s">
        <v>804</v>
      </c>
      <c r="C17" s="246"/>
      <c r="D17" s="333">
        <f>D15-D16</f>
        <v>0</v>
      </c>
      <c r="E17" s="318">
        <f t="shared" si="4"/>
        <v>0</v>
      </c>
      <c r="F17" s="333">
        <f>F15-F16</f>
        <v>0</v>
      </c>
      <c r="G17" s="318">
        <f t="shared" si="5"/>
        <v>0</v>
      </c>
      <c r="H17" s="333">
        <f>H15-H16</f>
        <v>0</v>
      </c>
      <c r="I17" s="318">
        <f t="shared" si="6"/>
        <v>0</v>
      </c>
      <c r="J17" s="333">
        <f>J15-J16</f>
        <v>0</v>
      </c>
      <c r="K17" s="320">
        <f t="shared" si="7"/>
        <v>0</v>
      </c>
      <c r="L17" s="321"/>
      <c r="M17" s="57"/>
      <c r="N17" s="314"/>
      <c r="O17" s="324"/>
      <c r="P17" s="128"/>
      <c r="Q17" s="128"/>
      <c r="R17" s="1188" t="s">
        <v>804</v>
      </c>
      <c r="S17" s="246"/>
      <c r="T17" s="642">
        <f>T15-T16</f>
        <v>0</v>
      </c>
      <c r="U17" s="634">
        <f t="shared" si="0"/>
        <v>0</v>
      </c>
      <c r="V17" s="642">
        <f>V15-V16</f>
        <v>0</v>
      </c>
      <c r="W17" s="634">
        <f t="shared" si="1"/>
        <v>0</v>
      </c>
      <c r="X17" s="642">
        <f>X15-X16</f>
        <v>0</v>
      </c>
      <c r="Y17" s="634">
        <f t="shared" si="2"/>
        <v>0</v>
      </c>
      <c r="Z17" s="642">
        <f>Z15-Z16</f>
        <v>0</v>
      </c>
      <c r="AA17" s="637">
        <f t="shared" si="3"/>
        <v>0</v>
      </c>
      <c r="AB17" s="57"/>
      <c r="AC17" s="314"/>
      <c r="AD17" s="324"/>
    </row>
    <row r="18" spans="2:30" ht="16">
      <c r="B18" s="236" t="s">
        <v>194</v>
      </c>
      <c r="C18" s="1053"/>
      <c r="D18" s="506">
        <f>D9+D12+D15</f>
        <v>0</v>
      </c>
      <c r="E18" s="318">
        <f t="shared" si="4"/>
        <v>0</v>
      </c>
      <c r="F18" s="506">
        <f>F9+F12+F15</f>
        <v>0</v>
      </c>
      <c r="G18" s="318">
        <f t="shared" si="5"/>
        <v>0</v>
      </c>
      <c r="H18" s="506">
        <f>H9+H12+H15</f>
        <v>0</v>
      </c>
      <c r="I18" s="318">
        <f t="shared" si="6"/>
        <v>0</v>
      </c>
      <c r="J18" s="506">
        <f>J9+J12+J15</f>
        <v>0</v>
      </c>
      <c r="K18" s="320">
        <f t="shared" si="7"/>
        <v>0</v>
      </c>
      <c r="L18" s="321"/>
      <c r="M18" s="57"/>
      <c r="N18" s="314"/>
      <c r="O18" s="324"/>
      <c r="P18" s="128"/>
      <c r="Q18" s="128"/>
      <c r="R18" s="236" t="s">
        <v>194</v>
      </c>
      <c r="S18" s="1053"/>
      <c r="T18" s="643">
        <f>T9+T12+T15</f>
        <v>0</v>
      </c>
      <c r="U18" s="634">
        <f t="shared" si="0"/>
        <v>0</v>
      </c>
      <c r="V18" s="643">
        <f>V9+V12+V15</f>
        <v>0</v>
      </c>
      <c r="W18" s="634">
        <f t="shared" si="1"/>
        <v>0</v>
      </c>
      <c r="X18" s="643">
        <f>X9+X12+X15</f>
        <v>0</v>
      </c>
      <c r="Y18" s="634">
        <f t="shared" si="2"/>
        <v>0</v>
      </c>
      <c r="Z18" s="643">
        <f>Z9+Z12+Z15</f>
        <v>0</v>
      </c>
      <c r="AA18" s="637">
        <f t="shared" si="3"/>
        <v>0</v>
      </c>
      <c r="AB18" s="57"/>
      <c r="AC18" s="314"/>
      <c r="AD18" s="324"/>
    </row>
    <row r="19" spans="2:30" ht="16">
      <c r="B19" s="236" t="s">
        <v>195</v>
      </c>
      <c r="C19" s="1053"/>
      <c r="D19" s="507">
        <f>D10+D13+D16</f>
        <v>0</v>
      </c>
      <c r="E19" s="318">
        <f t="shared" si="4"/>
        <v>0</v>
      </c>
      <c r="F19" s="507">
        <f>F10+F13+F16</f>
        <v>0</v>
      </c>
      <c r="G19" s="318">
        <f t="shared" si="5"/>
        <v>0</v>
      </c>
      <c r="H19" s="507">
        <f>H10+H13+H16</f>
        <v>0</v>
      </c>
      <c r="I19" s="318">
        <f t="shared" si="6"/>
        <v>0</v>
      </c>
      <c r="J19" s="507">
        <f>J10+J13+J16</f>
        <v>0</v>
      </c>
      <c r="K19" s="320">
        <f t="shared" si="7"/>
        <v>0</v>
      </c>
      <c r="L19" s="321"/>
      <c r="M19" s="57">
        <f>IF(M20=0,0,(100%-M20))</f>
        <v>0</v>
      </c>
      <c r="N19" s="314"/>
      <c r="O19" s="324"/>
      <c r="P19" s="128"/>
      <c r="Q19" s="128"/>
      <c r="R19" s="236" t="s">
        <v>195</v>
      </c>
      <c r="S19" s="1053"/>
      <c r="T19" s="644">
        <f>T10+T13+T16</f>
        <v>0</v>
      </c>
      <c r="U19" s="634">
        <f t="shared" si="0"/>
        <v>0</v>
      </c>
      <c r="V19" s="644">
        <f>V10+V13+V16</f>
        <v>0</v>
      </c>
      <c r="W19" s="634">
        <f t="shared" si="1"/>
        <v>0</v>
      </c>
      <c r="X19" s="644">
        <f>X10+X13+X16</f>
        <v>0</v>
      </c>
      <c r="Y19" s="634">
        <f t="shared" si="2"/>
        <v>0</v>
      </c>
      <c r="Z19" s="644">
        <f>Z10+Z13+Z16</f>
        <v>0</v>
      </c>
      <c r="AA19" s="637">
        <f t="shared" si="3"/>
        <v>0</v>
      </c>
      <c r="AB19" s="57">
        <f>IF(AB20=0,0,(100%-AB20))</f>
        <v>0</v>
      </c>
      <c r="AC19" s="314"/>
      <c r="AD19" s="324"/>
    </row>
    <row r="20" spans="2:30" ht="16">
      <c r="B20" s="236" t="s">
        <v>196</v>
      </c>
      <c r="C20" s="1053"/>
      <c r="D20" s="508">
        <f>D18-D19</f>
        <v>0</v>
      </c>
      <c r="E20" s="318">
        <f t="shared" si="4"/>
        <v>0</v>
      </c>
      <c r="F20" s="508">
        <f>F18-F19</f>
        <v>0</v>
      </c>
      <c r="G20" s="318">
        <f t="shared" si="5"/>
        <v>0</v>
      </c>
      <c r="H20" s="508">
        <f>H18-H19</f>
        <v>0</v>
      </c>
      <c r="I20" s="318">
        <f t="shared" si="6"/>
        <v>0</v>
      </c>
      <c r="J20" s="508">
        <f>J18-J19</f>
        <v>0</v>
      </c>
      <c r="K20" s="320">
        <f t="shared" si="7"/>
        <v>0</v>
      </c>
      <c r="L20" s="321"/>
      <c r="M20" s="57"/>
      <c r="N20" s="314"/>
      <c r="O20" s="324"/>
      <c r="P20" s="128"/>
      <c r="Q20" s="128"/>
      <c r="R20" s="236" t="s">
        <v>196</v>
      </c>
      <c r="S20" s="1053"/>
      <c r="T20" s="645">
        <f>T18-T19</f>
        <v>0</v>
      </c>
      <c r="U20" s="634">
        <f t="shared" si="0"/>
        <v>0</v>
      </c>
      <c r="V20" s="645">
        <f>V18-V19</f>
        <v>0</v>
      </c>
      <c r="W20" s="634">
        <f t="shared" si="1"/>
        <v>0</v>
      </c>
      <c r="X20" s="645">
        <f>X18-X19</f>
        <v>0</v>
      </c>
      <c r="Y20" s="634">
        <f t="shared" si="2"/>
        <v>0</v>
      </c>
      <c r="Z20" s="645">
        <f>Z18-Z19</f>
        <v>0</v>
      </c>
      <c r="AA20" s="637">
        <f t="shared" si="3"/>
        <v>0</v>
      </c>
      <c r="AB20" s="57"/>
      <c r="AC20" s="314"/>
      <c r="AD20" s="324"/>
    </row>
    <row r="21" spans="2:30" ht="15.75" hidden="1" customHeight="1">
      <c r="B21" s="236"/>
      <c r="C21" s="1053"/>
      <c r="D21" s="644"/>
      <c r="E21" s="634"/>
      <c r="F21" s="644"/>
      <c r="G21" s="634"/>
      <c r="H21" s="644"/>
      <c r="I21" s="634"/>
      <c r="J21" s="644"/>
      <c r="K21" s="637"/>
      <c r="L21" s="1184"/>
      <c r="M21" s="57"/>
      <c r="N21" s="314"/>
      <c r="O21" s="324"/>
      <c r="P21" s="128"/>
      <c r="Q21" s="128"/>
      <c r="R21" s="236"/>
      <c r="S21" s="1053"/>
      <c r="T21" s="644"/>
      <c r="U21" s="634"/>
      <c r="V21" s="644"/>
      <c r="W21" s="634"/>
      <c r="X21" s="644"/>
      <c r="Y21" s="634"/>
      <c r="Z21" s="644"/>
      <c r="AA21" s="637"/>
      <c r="AB21" s="57"/>
      <c r="AC21" s="314"/>
      <c r="AD21" s="324"/>
    </row>
    <row r="22" spans="2:30" ht="15.75" hidden="1" customHeight="1">
      <c r="B22" s="236"/>
      <c r="C22" s="1053"/>
      <c r="D22" s="644"/>
      <c r="E22" s="634"/>
      <c r="F22" s="644"/>
      <c r="G22" s="634"/>
      <c r="H22" s="644"/>
      <c r="I22" s="634"/>
      <c r="J22" s="644"/>
      <c r="K22" s="637"/>
      <c r="L22" s="1184"/>
      <c r="M22" s="57"/>
      <c r="N22" s="314"/>
      <c r="O22" s="324"/>
      <c r="P22" s="128"/>
      <c r="Q22" s="128"/>
      <c r="R22" s="236" t="s">
        <v>805</v>
      </c>
      <c r="S22" s="1053"/>
      <c r="T22" s="653">
        <f>+T27+T36+T38+T41+T42+T43</f>
        <v>0</v>
      </c>
      <c r="U22" s="634"/>
      <c r="V22" s="653">
        <f>+V27+V36+V38+V41+V42+V43</f>
        <v>0</v>
      </c>
      <c r="W22" s="634"/>
      <c r="X22" s="653">
        <f>+X27+X36+X38+X41+X42+X43</f>
        <v>0</v>
      </c>
      <c r="Y22" s="634"/>
      <c r="Z22" s="653">
        <f>+Z27+Z36+Z38+Z41+Z42+Z43</f>
        <v>0</v>
      </c>
      <c r="AA22" s="637"/>
      <c r="AB22" s="57"/>
      <c r="AC22" s="314"/>
      <c r="AD22" s="324"/>
    </row>
    <row r="23" spans="2:30" ht="15.75" hidden="1" customHeight="1">
      <c r="B23" s="236"/>
      <c r="C23" s="1053"/>
      <c r="D23" s="644"/>
      <c r="E23" s="634"/>
      <c r="F23" s="644"/>
      <c r="G23" s="634"/>
      <c r="H23" s="644"/>
      <c r="I23" s="634"/>
      <c r="J23" s="644"/>
      <c r="K23" s="637"/>
      <c r="L23" s="1184"/>
      <c r="M23" s="57"/>
      <c r="N23" s="314"/>
      <c r="O23" s="324"/>
      <c r="P23" s="128"/>
      <c r="Q23" s="128"/>
      <c r="R23" s="236" t="s">
        <v>806</v>
      </c>
      <c r="S23" s="1053"/>
      <c r="T23" s="647">
        <f>+T50-T22</f>
        <v>0</v>
      </c>
      <c r="U23" s="634"/>
      <c r="V23" s="647">
        <f>+V50-V22</f>
        <v>0</v>
      </c>
      <c r="W23" s="634"/>
      <c r="X23" s="647">
        <f>+X50-X22</f>
        <v>0</v>
      </c>
      <c r="Y23" s="634"/>
      <c r="Z23" s="647">
        <f>+Z50-Z22</f>
        <v>0</v>
      </c>
      <c r="AA23" s="637"/>
      <c r="AB23" s="57"/>
      <c r="AC23" s="314"/>
      <c r="AD23" s="324"/>
    </row>
    <row r="24" spans="2:30" ht="16">
      <c r="B24" s="236"/>
      <c r="C24" s="1053"/>
      <c r="D24" s="644"/>
      <c r="E24" s="634"/>
      <c r="F24" s="644"/>
      <c r="G24" s="634"/>
      <c r="H24" s="644"/>
      <c r="I24" s="634"/>
      <c r="J24" s="644"/>
      <c r="K24" s="637"/>
      <c r="L24" s="1184"/>
      <c r="M24" s="57"/>
      <c r="N24" s="314"/>
      <c r="O24" s="325"/>
      <c r="P24" s="128"/>
      <c r="Q24" s="128"/>
      <c r="R24" s="236"/>
      <c r="S24" s="1053"/>
      <c r="T24" s="643"/>
      <c r="U24" s="634"/>
      <c r="V24" s="643"/>
      <c r="W24" s="634"/>
      <c r="X24" s="643"/>
      <c r="Y24" s="634"/>
      <c r="Z24" s="643"/>
      <c r="AA24" s="637"/>
      <c r="AB24" s="57"/>
      <c r="AC24" s="314"/>
      <c r="AD24" s="325"/>
    </row>
    <row r="25" spans="2:30" ht="16">
      <c r="B25" s="236" t="s">
        <v>197</v>
      </c>
      <c r="C25" s="1053"/>
      <c r="D25" s="509"/>
      <c r="E25" s="318"/>
      <c r="F25" s="509"/>
      <c r="G25" s="318"/>
      <c r="H25" s="509"/>
      <c r="I25" s="318"/>
      <c r="J25" s="509"/>
      <c r="K25" s="320"/>
      <c r="L25" s="321"/>
      <c r="M25" s="57"/>
      <c r="N25" s="314"/>
      <c r="O25" s="324"/>
      <c r="P25" s="128"/>
      <c r="Q25" s="128"/>
      <c r="R25" s="236" t="s">
        <v>197</v>
      </c>
      <c r="S25" s="1053"/>
      <c r="T25" s="1010"/>
      <c r="U25" s="634"/>
      <c r="V25" s="1010"/>
      <c r="W25" s="634"/>
      <c r="X25" s="1010"/>
      <c r="Y25" s="634"/>
      <c r="Z25" s="1010"/>
      <c r="AA25" s="637"/>
      <c r="AB25" s="57"/>
      <c r="AC25" s="314"/>
      <c r="AD25" s="324"/>
    </row>
    <row r="26" spans="2:30" ht="16">
      <c r="B26" s="233" t="s">
        <v>198</v>
      </c>
      <c r="C26" s="246"/>
      <c r="D26" s="5"/>
      <c r="E26" s="318">
        <f t="shared" ref="E26:E63" si="8">IF($D$18=0,0,D26/$D$18)</f>
        <v>0</v>
      </c>
      <c r="F26" s="5"/>
      <c r="G26" s="318">
        <f t="shared" ref="G26:G63" si="9">IF($F$18=0,0,F26/$F$18)</f>
        <v>0</v>
      </c>
      <c r="H26" s="5"/>
      <c r="I26" s="318">
        <f t="shared" ref="I26:I50" si="10">IF($H$18=0,0,H26/$H$18)</f>
        <v>0</v>
      </c>
      <c r="J26" s="5"/>
      <c r="K26" s="320">
        <f t="shared" ref="K26:K50" si="11">IF($J$18=0,0,J26/$J$18)</f>
        <v>0</v>
      </c>
      <c r="L26" s="321"/>
      <c r="M26" s="57"/>
      <c r="N26" s="314"/>
      <c r="O26" s="324"/>
      <c r="P26" s="128"/>
      <c r="Q26" s="128"/>
      <c r="R26" s="233" t="s">
        <v>198</v>
      </c>
      <c r="S26" s="246"/>
      <c r="T26" s="641"/>
      <c r="U26" s="634">
        <f t="shared" ref="U26:U50" si="12">IF($T$18=0,0,T26/$T$18)</f>
        <v>0</v>
      </c>
      <c r="V26" s="641"/>
      <c r="W26" s="634">
        <f t="shared" ref="W26:W50" si="13">IF($V$18=0,0,V26/$V$18)</f>
        <v>0</v>
      </c>
      <c r="X26" s="641"/>
      <c r="Y26" s="634">
        <f t="shared" ref="Y26:Y50" si="14">IF($X$18=0,0,X26/$X$18)</f>
        <v>0</v>
      </c>
      <c r="Z26" s="641"/>
      <c r="AA26" s="637">
        <f t="shared" ref="AA26:AA50" si="15">IF($Z$18=0,0,Z26/$Z$18)</f>
        <v>0</v>
      </c>
      <c r="AB26" s="57"/>
      <c r="AC26" s="314"/>
      <c r="AD26" s="324"/>
    </row>
    <row r="27" spans="2:30" ht="16">
      <c r="B27" s="233" t="s">
        <v>200</v>
      </c>
      <c r="C27" s="246"/>
      <c r="D27" s="5"/>
      <c r="E27" s="318">
        <f t="shared" si="8"/>
        <v>0</v>
      </c>
      <c r="F27" s="5"/>
      <c r="G27" s="318">
        <f t="shared" si="9"/>
        <v>0</v>
      </c>
      <c r="H27" s="5"/>
      <c r="I27" s="318">
        <f t="shared" si="10"/>
        <v>0</v>
      </c>
      <c r="J27" s="5"/>
      <c r="K27" s="320">
        <f t="shared" si="11"/>
        <v>0</v>
      </c>
      <c r="L27" s="321"/>
      <c r="M27" s="57"/>
      <c r="N27" s="314"/>
      <c r="O27" s="324"/>
      <c r="P27" s="128"/>
      <c r="Q27" s="128"/>
      <c r="R27" s="233" t="s">
        <v>200</v>
      </c>
      <c r="S27" s="246"/>
      <c r="T27" s="641"/>
      <c r="U27" s="634">
        <f t="shared" si="12"/>
        <v>0</v>
      </c>
      <c r="V27" s="641"/>
      <c r="W27" s="634">
        <f t="shared" si="13"/>
        <v>0</v>
      </c>
      <c r="X27" s="641"/>
      <c r="Y27" s="634">
        <f t="shared" si="14"/>
        <v>0</v>
      </c>
      <c r="Z27" s="641"/>
      <c r="AA27" s="637">
        <f t="shared" si="15"/>
        <v>0</v>
      </c>
      <c r="AB27" s="57"/>
      <c r="AC27" s="314"/>
      <c r="AD27" s="324"/>
    </row>
    <row r="28" spans="2:30" ht="16">
      <c r="B28" s="233" t="s">
        <v>201</v>
      </c>
      <c r="C28" s="246"/>
      <c r="D28" s="5"/>
      <c r="E28" s="318">
        <f t="shared" si="8"/>
        <v>0</v>
      </c>
      <c r="F28" s="5"/>
      <c r="G28" s="318">
        <f t="shared" si="9"/>
        <v>0</v>
      </c>
      <c r="H28" s="5"/>
      <c r="I28" s="318">
        <f t="shared" si="10"/>
        <v>0</v>
      </c>
      <c r="J28" s="5"/>
      <c r="K28" s="320">
        <f t="shared" si="11"/>
        <v>0</v>
      </c>
      <c r="L28" s="321"/>
      <c r="M28" s="57"/>
      <c r="N28" s="314"/>
      <c r="O28" s="324"/>
      <c r="P28" s="128"/>
      <c r="Q28" s="128"/>
      <c r="R28" s="233" t="s">
        <v>201</v>
      </c>
      <c r="S28" s="246"/>
      <c r="T28" s="641"/>
      <c r="U28" s="634">
        <f t="shared" si="12"/>
        <v>0</v>
      </c>
      <c r="V28" s="641"/>
      <c r="W28" s="634">
        <f t="shared" si="13"/>
        <v>0</v>
      </c>
      <c r="X28" s="641"/>
      <c r="Y28" s="634">
        <f t="shared" si="14"/>
        <v>0</v>
      </c>
      <c r="Z28" s="641"/>
      <c r="AA28" s="637">
        <f t="shared" si="15"/>
        <v>0</v>
      </c>
      <c r="AB28" s="57"/>
      <c r="AC28" s="314"/>
      <c r="AD28" s="324"/>
    </row>
    <row r="29" spans="2:30" ht="16">
      <c r="B29" s="233" t="s">
        <v>202</v>
      </c>
      <c r="C29" s="246"/>
      <c r="D29" s="5"/>
      <c r="E29" s="318">
        <f t="shared" si="8"/>
        <v>0</v>
      </c>
      <c r="F29" s="5"/>
      <c r="G29" s="318">
        <f t="shared" si="9"/>
        <v>0</v>
      </c>
      <c r="H29" s="5"/>
      <c r="I29" s="318">
        <f t="shared" si="10"/>
        <v>0</v>
      </c>
      <c r="J29" s="5"/>
      <c r="K29" s="320">
        <f t="shared" si="11"/>
        <v>0</v>
      </c>
      <c r="L29" s="321"/>
      <c r="M29" s="57"/>
      <c r="N29" s="314"/>
      <c r="O29" s="324"/>
      <c r="P29" s="128"/>
      <c r="Q29" s="128"/>
      <c r="R29" s="233" t="s">
        <v>202</v>
      </c>
      <c r="S29" s="246"/>
      <c r="T29" s="641"/>
      <c r="U29" s="634">
        <f t="shared" si="12"/>
        <v>0</v>
      </c>
      <c r="V29" s="641"/>
      <c r="W29" s="634">
        <f t="shared" si="13"/>
        <v>0</v>
      </c>
      <c r="X29" s="641"/>
      <c r="Y29" s="634">
        <f t="shared" si="14"/>
        <v>0</v>
      </c>
      <c r="Z29" s="641"/>
      <c r="AA29" s="637">
        <f t="shared" si="15"/>
        <v>0</v>
      </c>
      <c r="AB29" s="57"/>
      <c r="AC29" s="314"/>
      <c r="AD29" s="324"/>
    </row>
    <row r="30" spans="2:30" ht="16">
      <c r="B30" s="233" t="s">
        <v>203</v>
      </c>
      <c r="C30" s="246"/>
      <c r="D30" s="5"/>
      <c r="E30" s="318">
        <f t="shared" si="8"/>
        <v>0</v>
      </c>
      <c r="F30" s="5"/>
      <c r="G30" s="318">
        <f t="shared" si="9"/>
        <v>0</v>
      </c>
      <c r="H30" s="5"/>
      <c r="I30" s="318">
        <f t="shared" si="10"/>
        <v>0</v>
      </c>
      <c r="J30" s="5"/>
      <c r="K30" s="320">
        <f t="shared" si="11"/>
        <v>0</v>
      </c>
      <c r="L30" s="321"/>
      <c r="M30" s="57"/>
      <c r="N30" s="314"/>
      <c r="O30" s="324"/>
      <c r="P30" s="128"/>
      <c r="Q30" s="128"/>
      <c r="R30" s="233" t="s">
        <v>203</v>
      </c>
      <c r="S30" s="246"/>
      <c r="T30" s="641"/>
      <c r="U30" s="634">
        <f t="shared" si="12"/>
        <v>0</v>
      </c>
      <c r="V30" s="641"/>
      <c r="W30" s="634">
        <f t="shared" si="13"/>
        <v>0</v>
      </c>
      <c r="X30" s="641"/>
      <c r="Y30" s="634">
        <f t="shared" si="14"/>
        <v>0</v>
      </c>
      <c r="Z30" s="641"/>
      <c r="AA30" s="637">
        <f t="shared" si="15"/>
        <v>0</v>
      </c>
      <c r="AB30" s="57"/>
      <c r="AC30" s="314"/>
      <c r="AD30" s="324"/>
    </row>
    <row r="31" spans="2:30" ht="16">
      <c r="B31" s="233" t="s">
        <v>204</v>
      </c>
      <c r="C31" s="246"/>
      <c r="D31" s="5"/>
      <c r="E31" s="318">
        <f t="shared" si="8"/>
        <v>0</v>
      </c>
      <c r="F31" s="5"/>
      <c r="G31" s="318">
        <f t="shared" si="9"/>
        <v>0</v>
      </c>
      <c r="H31" s="5"/>
      <c r="I31" s="318">
        <f t="shared" si="10"/>
        <v>0</v>
      </c>
      <c r="J31" s="5"/>
      <c r="K31" s="320">
        <f t="shared" si="11"/>
        <v>0</v>
      </c>
      <c r="L31" s="321"/>
      <c r="M31" s="57"/>
      <c r="N31" s="314"/>
      <c r="O31" s="324"/>
      <c r="P31" s="128"/>
      <c r="Q31" s="128"/>
      <c r="R31" s="233" t="s">
        <v>204</v>
      </c>
      <c r="S31" s="246"/>
      <c r="T31" s="641"/>
      <c r="U31" s="634">
        <f t="shared" si="12"/>
        <v>0</v>
      </c>
      <c r="V31" s="641"/>
      <c r="W31" s="634">
        <f t="shared" si="13"/>
        <v>0</v>
      </c>
      <c r="X31" s="641"/>
      <c r="Y31" s="634">
        <f t="shared" si="14"/>
        <v>0</v>
      </c>
      <c r="Z31" s="641"/>
      <c r="AA31" s="637">
        <f t="shared" si="15"/>
        <v>0</v>
      </c>
      <c r="AB31" s="57"/>
      <c r="AC31" s="314"/>
      <c r="AD31" s="324"/>
    </row>
    <row r="32" spans="2:30" ht="16">
      <c r="B32" s="233" t="s">
        <v>205</v>
      </c>
      <c r="C32" s="246"/>
      <c r="D32" s="5"/>
      <c r="E32" s="318">
        <f t="shared" si="8"/>
        <v>0</v>
      </c>
      <c r="F32" s="5"/>
      <c r="G32" s="318">
        <f t="shared" si="9"/>
        <v>0</v>
      </c>
      <c r="H32" s="5"/>
      <c r="I32" s="318">
        <f t="shared" si="10"/>
        <v>0</v>
      </c>
      <c r="J32" s="5"/>
      <c r="K32" s="320">
        <f t="shared" si="11"/>
        <v>0</v>
      </c>
      <c r="L32" s="321"/>
      <c r="M32" s="57"/>
      <c r="N32" s="314"/>
      <c r="O32" s="324"/>
      <c r="P32" s="128"/>
      <c r="Q32" s="128"/>
      <c r="R32" s="233" t="s">
        <v>205</v>
      </c>
      <c r="S32" s="246"/>
      <c r="T32" s="641"/>
      <c r="U32" s="634">
        <f t="shared" si="12"/>
        <v>0</v>
      </c>
      <c r="V32" s="641"/>
      <c r="W32" s="634">
        <f t="shared" si="13"/>
        <v>0</v>
      </c>
      <c r="X32" s="641"/>
      <c r="Y32" s="634">
        <f t="shared" si="14"/>
        <v>0</v>
      </c>
      <c r="Z32" s="641"/>
      <c r="AA32" s="637">
        <f t="shared" si="15"/>
        <v>0</v>
      </c>
      <c r="AB32" s="57"/>
      <c r="AC32" s="314"/>
      <c r="AD32" s="324"/>
    </row>
    <row r="33" spans="2:30" ht="16">
      <c r="B33" s="233" t="s">
        <v>206</v>
      </c>
      <c r="C33" s="246"/>
      <c r="D33" s="5"/>
      <c r="E33" s="318">
        <f t="shared" si="8"/>
        <v>0</v>
      </c>
      <c r="F33" s="5"/>
      <c r="G33" s="318">
        <f t="shared" si="9"/>
        <v>0</v>
      </c>
      <c r="H33" s="5"/>
      <c r="I33" s="318">
        <f t="shared" si="10"/>
        <v>0</v>
      </c>
      <c r="J33" s="5"/>
      <c r="K33" s="320">
        <f t="shared" si="11"/>
        <v>0</v>
      </c>
      <c r="L33" s="321"/>
      <c r="M33" s="57"/>
      <c r="N33" s="314"/>
      <c r="O33" s="324"/>
      <c r="P33" s="128"/>
      <c r="Q33" s="128"/>
      <c r="R33" s="233" t="s">
        <v>206</v>
      </c>
      <c r="S33" s="1094"/>
      <c r="T33" s="641"/>
      <c r="U33" s="634">
        <f t="shared" si="12"/>
        <v>0</v>
      </c>
      <c r="V33" s="641"/>
      <c r="W33" s="634">
        <f t="shared" si="13"/>
        <v>0</v>
      </c>
      <c r="X33" s="641"/>
      <c r="Y33" s="634">
        <f t="shared" si="14"/>
        <v>0</v>
      </c>
      <c r="Z33" s="641"/>
      <c r="AA33" s="637">
        <f t="shared" si="15"/>
        <v>0</v>
      </c>
      <c r="AB33" s="57"/>
      <c r="AC33" s="314"/>
      <c r="AD33" s="324"/>
    </row>
    <row r="34" spans="2:30" ht="16">
      <c r="B34" s="233" t="s">
        <v>207</v>
      </c>
      <c r="C34" s="246"/>
      <c r="D34" s="5"/>
      <c r="E34" s="318">
        <f t="shared" si="8"/>
        <v>0</v>
      </c>
      <c r="F34" s="5"/>
      <c r="G34" s="318">
        <f t="shared" si="9"/>
        <v>0</v>
      </c>
      <c r="H34" s="5"/>
      <c r="I34" s="318">
        <f t="shared" si="10"/>
        <v>0</v>
      </c>
      <c r="J34" s="5"/>
      <c r="K34" s="320">
        <f t="shared" si="11"/>
        <v>0</v>
      </c>
      <c r="L34" s="321"/>
      <c r="M34" s="57"/>
      <c r="N34" s="314"/>
      <c r="O34" s="324"/>
      <c r="P34" s="128"/>
      <c r="Q34" s="128"/>
      <c r="R34" s="233" t="s">
        <v>207</v>
      </c>
      <c r="S34" s="1094"/>
      <c r="T34" s="641"/>
      <c r="U34" s="634">
        <f t="shared" si="12"/>
        <v>0</v>
      </c>
      <c r="V34" s="641"/>
      <c r="W34" s="634">
        <f t="shared" si="13"/>
        <v>0</v>
      </c>
      <c r="X34" s="641"/>
      <c r="Y34" s="634">
        <f t="shared" si="14"/>
        <v>0</v>
      </c>
      <c r="Z34" s="641"/>
      <c r="AA34" s="637">
        <f t="shared" si="15"/>
        <v>0</v>
      </c>
      <c r="AB34" s="57"/>
      <c r="AC34" s="314"/>
      <c r="AD34" s="324"/>
    </row>
    <row r="35" spans="2:30" ht="16">
      <c r="B35" s="233" t="s">
        <v>208</v>
      </c>
      <c r="C35" s="246"/>
      <c r="D35" s="5"/>
      <c r="E35" s="318">
        <f t="shared" si="8"/>
        <v>0</v>
      </c>
      <c r="F35" s="5"/>
      <c r="G35" s="318">
        <f t="shared" si="9"/>
        <v>0</v>
      </c>
      <c r="H35" s="5"/>
      <c r="I35" s="318">
        <f t="shared" si="10"/>
        <v>0</v>
      </c>
      <c r="J35" s="5"/>
      <c r="K35" s="320">
        <f t="shared" si="11"/>
        <v>0</v>
      </c>
      <c r="L35" s="321"/>
      <c r="M35" s="57"/>
      <c r="N35" s="314"/>
      <c r="O35" s="324"/>
      <c r="P35" s="128"/>
      <c r="Q35" s="128"/>
      <c r="R35" s="233" t="s">
        <v>208</v>
      </c>
      <c r="S35" s="1094"/>
      <c r="T35" s="641"/>
      <c r="U35" s="634">
        <f t="shared" si="12"/>
        <v>0</v>
      </c>
      <c r="V35" s="641"/>
      <c r="W35" s="634">
        <f t="shared" si="13"/>
        <v>0</v>
      </c>
      <c r="X35" s="641"/>
      <c r="Y35" s="634">
        <f t="shared" si="14"/>
        <v>0</v>
      </c>
      <c r="Z35" s="641"/>
      <c r="AA35" s="637">
        <f t="shared" si="15"/>
        <v>0</v>
      </c>
      <c r="AB35" s="57"/>
      <c r="AC35" s="314"/>
      <c r="AD35" s="324"/>
    </row>
    <row r="36" spans="2:30" ht="16">
      <c r="B36" s="233" t="s">
        <v>209</v>
      </c>
      <c r="C36" s="246"/>
      <c r="D36" s="5"/>
      <c r="E36" s="318">
        <f t="shared" si="8"/>
        <v>0</v>
      </c>
      <c r="F36" s="5"/>
      <c r="G36" s="318">
        <f t="shared" si="9"/>
        <v>0</v>
      </c>
      <c r="H36" s="5"/>
      <c r="I36" s="318">
        <f t="shared" si="10"/>
        <v>0</v>
      </c>
      <c r="J36" s="5"/>
      <c r="K36" s="320">
        <f t="shared" si="11"/>
        <v>0</v>
      </c>
      <c r="L36" s="321"/>
      <c r="M36" s="57"/>
      <c r="N36" s="314"/>
      <c r="O36" s="324"/>
      <c r="P36" s="128"/>
      <c r="Q36" s="128"/>
      <c r="R36" s="233" t="s">
        <v>209</v>
      </c>
      <c r="S36" s="1094"/>
      <c r="T36" s="641"/>
      <c r="U36" s="634">
        <f t="shared" si="12"/>
        <v>0</v>
      </c>
      <c r="V36" s="641"/>
      <c r="W36" s="634">
        <f t="shared" si="13"/>
        <v>0</v>
      </c>
      <c r="X36" s="641"/>
      <c r="Y36" s="634">
        <f t="shared" si="14"/>
        <v>0</v>
      </c>
      <c r="Z36" s="641"/>
      <c r="AA36" s="637">
        <f t="shared" si="15"/>
        <v>0</v>
      </c>
      <c r="AB36" s="57"/>
      <c r="AC36" s="314"/>
      <c r="AD36" s="324"/>
    </row>
    <row r="37" spans="2:30" ht="16">
      <c r="B37" s="233" t="s">
        <v>210</v>
      </c>
      <c r="C37" s="246"/>
      <c r="D37" s="5"/>
      <c r="E37" s="318">
        <f t="shared" si="8"/>
        <v>0</v>
      </c>
      <c r="F37" s="5"/>
      <c r="G37" s="318">
        <f t="shared" si="9"/>
        <v>0</v>
      </c>
      <c r="H37" s="5"/>
      <c r="I37" s="318">
        <f t="shared" si="10"/>
        <v>0</v>
      </c>
      <c r="J37" s="5"/>
      <c r="K37" s="320">
        <f t="shared" si="11"/>
        <v>0</v>
      </c>
      <c r="L37" s="321"/>
      <c r="M37" s="57"/>
      <c r="N37" s="314"/>
      <c r="O37" s="324"/>
      <c r="P37" s="128"/>
      <c r="Q37" s="128"/>
      <c r="R37" s="233" t="s">
        <v>210</v>
      </c>
      <c r="S37" s="1094"/>
      <c r="T37" s="641"/>
      <c r="U37" s="634">
        <f t="shared" si="12"/>
        <v>0</v>
      </c>
      <c r="V37" s="641"/>
      <c r="W37" s="634">
        <f t="shared" si="13"/>
        <v>0</v>
      </c>
      <c r="X37" s="641"/>
      <c r="Y37" s="634">
        <f t="shared" si="14"/>
        <v>0</v>
      </c>
      <c r="Z37" s="641"/>
      <c r="AA37" s="637">
        <f t="shared" si="15"/>
        <v>0</v>
      </c>
      <c r="AB37" s="57"/>
      <c r="AC37" s="314"/>
      <c r="AD37" s="324"/>
    </row>
    <row r="38" spans="2:30" ht="16">
      <c r="B38" s="233" t="s">
        <v>211</v>
      </c>
      <c r="C38" s="246"/>
      <c r="D38" s="5"/>
      <c r="E38" s="318">
        <f t="shared" si="8"/>
        <v>0</v>
      </c>
      <c r="F38" s="5"/>
      <c r="G38" s="318">
        <f t="shared" si="9"/>
        <v>0</v>
      </c>
      <c r="H38" s="5"/>
      <c r="I38" s="318">
        <f t="shared" si="10"/>
        <v>0</v>
      </c>
      <c r="J38" s="5"/>
      <c r="K38" s="320">
        <f t="shared" si="11"/>
        <v>0</v>
      </c>
      <c r="L38" s="321"/>
      <c r="M38" s="57"/>
      <c r="N38" s="314"/>
      <c r="O38" s="324"/>
      <c r="P38" s="128"/>
      <c r="Q38" s="128"/>
      <c r="R38" s="233" t="s">
        <v>211</v>
      </c>
      <c r="S38" s="1094"/>
      <c r="T38" s="641"/>
      <c r="U38" s="634">
        <f t="shared" si="12"/>
        <v>0</v>
      </c>
      <c r="V38" s="641"/>
      <c r="W38" s="634">
        <f t="shared" si="13"/>
        <v>0</v>
      </c>
      <c r="X38" s="641"/>
      <c r="Y38" s="634">
        <f t="shared" si="14"/>
        <v>0</v>
      </c>
      <c r="Z38" s="641"/>
      <c r="AA38" s="637">
        <f t="shared" si="15"/>
        <v>0</v>
      </c>
      <c r="AB38" s="57"/>
      <c r="AC38" s="314"/>
      <c r="AD38" s="324"/>
    </row>
    <row r="39" spans="2:30" ht="16">
      <c r="B39" s="233" t="s">
        <v>212</v>
      </c>
      <c r="C39" s="246"/>
      <c r="D39" s="5"/>
      <c r="E39" s="318">
        <f t="shared" si="8"/>
        <v>0</v>
      </c>
      <c r="F39" s="5"/>
      <c r="G39" s="318">
        <f t="shared" si="9"/>
        <v>0</v>
      </c>
      <c r="H39" s="5"/>
      <c r="I39" s="318">
        <f t="shared" si="10"/>
        <v>0</v>
      </c>
      <c r="J39" s="5"/>
      <c r="K39" s="320">
        <f t="shared" si="11"/>
        <v>0</v>
      </c>
      <c r="L39" s="321"/>
      <c r="M39" s="57"/>
      <c r="N39" s="314"/>
      <c r="O39" s="324"/>
      <c r="P39" s="128"/>
      <c r="Q39" s="128"/>
      <c r="R39" s="233" t="s">
        <v>212</v>
      </c>
      <c r="S39" s="1094"/>
      <c r="T39" s="641"/>
      <c r="U39" s="634">
        <f t="shared" si="12"/>
        <v>0</v>
      </c>
      <c r="V39" s="641"/>
      <c r="W39" s="634">
        <f t="shared" si="13"/>
        <v>0</v>
      </c>
      <c r="X39" s="641"/>
      <c r="Y39" s="634">
        <f t="shared" si="14"/>
        <v>0</v>
      </c>
      <c r="Z39" s="641"/>
      <c r="AA39" s="637">
        <f t="shared" si="15"/>
        <v>0</v>
      </c>
      <c r="AB39" s="57"/>
      <c r="AC39" s="314"/>
      <c r="AD39" s="324"/>
    </row>
    <row r="40" spans="2:30" ht="16">
      <c r="B40" s="233" t="s">
        <v>213</v>
      </c>
      <c r="C40" s="246"/>
      <c r="D40" s="5"/>
      <c r="E40" s="318">
        <f t="shared" si="8"/>
        <v>0</v>
      </c>
      <c r="F40" s="5"/>
      <c r="G40" s="318">
        <f t="shared" si="9"/>
        <v>0</v>
      </c>
      <c r="H40" s="5"/>
      <c r="I40" s="318">
        <f t="shared" si="10"/>
        <v>0</v>
      </c>
      <c r="J40" s="5"/>
      <c r="K40" s="320">
        <f t="shared" si="11"/>
        <v>0</v>
      </c>
      <c r="L40" s="321"/>
      <c r="M40" s="57"/>
      <c r="N40" s="314"/>
      <c r="O40" s="324"/>
      <c r="P40" s="128"/>
      <c r="Q40" s="128"/>
      <c r="R40" s="233" t="s">
        <v>213</v>
      </c>
      <c r="S40" s="1094"/>
      <c r="T40" s="641"/>
      <c r="U40" s="634">
        <f t="shared" si="12"/>
        <v>0</v>
      </c>
      <c r="V40" s="641"/>
      <c r="W40" s="634">
        <f t="shared" si="13"/>
        <v>0</v>
      </c>
      <c r="X40" s="641"/>
      <c r="Y40" s="634">
        <f t="shared" si="14"/>
        <v>0</v>
      </c>
      <c r="Z40" s="641"/>
      <c r="AA40" s="637">
        <f t="shared" si="15"/>
        <v>0</v>
      </c>
      <c r="AB40" s="57"/>
      <c r="AC40" s="314"/>
      <c r="AD40" s="324"/>
    </row>
    <row r="41" spans="2:30" ht="16">
      <c r="B41" s="233" t="s">
        <v>214</v>
      </c>
      <c r="C41" s="246"/>
      <c r="D41" s="5"/>
      <c r="E41" s="318">
        <f t="shared" si="8"/>
        <v>0</v>
      </c>
      <c r="F41" s="5"/>
      <c r="G41" s="318">
        <f t="shared" si="9"/>
        <v>0</v>
      </c>
      <c r="H41" s="5"/>
      <c r="I41" s="318">
        <f t="shared" si="10"/>
        <v>0</v>
      </c>
      <c r="J41" s="5"/>
      <c r="K41" s="320">
        <f t="shared" si="11"/>
        <v>0</v>
      </c>
      <c r="L41" s="321"/>
      <c r="M41" s="57"/>
      <c r="N41" s="314"/>
      <c r="O41" s="324"/>
      <c r="P41" s="128"/>
      <c r="Q41" s="128"/>
      <c r="R41" s="233" t="s">
        <v>214</v>
      </c>
      <c r="S41" s="1094"/>
      <c r="T41" s="641"/>
      <c r="U41" s="634">
        <f t="shared" si="12"/>
        <v>0</v>
      </c>
      <c r="V41" s="641"/>
      <c r="W41" s="634">
        <f t="shared" si="13"/>
        <v>0</v>
      </c>
      <c r="X41" s="641"/>
      <c r="Y41" s="634">
        <f t="shared" si="14"/>
        <v>0</v>
      </c>
      <c r="Z41" s="641"/>
      <c r="AA41" s="637">
        <f t="shared" si="15"/>
        <v>0</v>
      </c>
      <c r="AB41" s="57"/>
      <c r="AC41" s="314"/>
      <c r="AD41" s="324"/>
    </row>
    <row r="42" spans="2:30" ht="16">
      <c r="B42" s="233" t="s">
        <v>215</v>
      </c>
      <c r="C42" s="246"/>
      <c r="D42" s="5"/>
      <c r="E42" s="318">
        <f t="shared" si="8"/>
        <v>0</v>
      </c>
      <c r="F42" s="5"/>
      <c r="G42" s="318">
        <f t="shared" si="9"/>
        <v>0</v>
      </c>
      <c r="H42" s="5"/>
      <c r="I42" s="318">
        <f t="shared" si="10"/>
        <v>0</v>
      </c>
      <c r="J42" s="5"/>
      <c r="K42" s="320">
        <f t="shared" si="11"/>
        <v>0</v>
      </c>
      <c r="L42" s="321"/>
      <c r="M42" s="57"/>
      <c r="N42" s="314"/>
      <c r="O42" s="324"/>
      <c r="P42" s="128"/>
      <c r="Q42" s="128"/>
      <c r="R42" s="233" t="s">
        <v>215</v>
      </c>
      <c r="S42" s="1094"/>
      <c r="T42" s="641"/>
      <c r="U42" s="634">
        <f t="shared" si="12"/>
        <v>0</v>
      </c>
      <c r="V42" s="641"/>
      <c r="W42" s="634">
        <f t="shared" si="13"/>
        <v>0</v>
      </c>
      <c r="X42" s="641"/>
      <c r="Y42" s="634">
        <f t="shared" si="14"/>
        <v>0</v>
      </c>
      <c r="Z42" s="641"/>
      <c r="AA42" s="637">
        <f t="shared" si="15"/>
        <v>0</v>
      </c>
      <c r="AB42" s="57"/>
      <c r="AC42" s="314"/>
      <c r="AD42" s="324"/>
    </row>
    <row r="43" spans="2:30" ht="15.5" customHeight="1">
      <c r="B43" s="233" t="s">
        <v>216</v>
      </c>
      <c r="C43" s="246"/>
      <c r="D43" s="5"/>
      <c r="E43" s="318">
        <f t="shared" ref="E43:E47" si="16">IF($D$18=0,0,D43/$D$18)</f>
        <v>0</v>
      </c>
      <c r="F43" s="5"/>
      <c r="G43" s="318">
        <f t="shared" ref="G43:G47" si="17">IF($F$18=0,0,F43/$F$18)</f>
        <v>0</v>
      </c>
      <c r="H43" s="5"/>
      <c r="I43" s="318">
        <f t="shared" ref="I43:I47" si="18">IF($H$18=0,0,H43/$H$18)</f>
        <v>0</v>
      </c>
      <c r="J43" s="5"/>
      <c r="K43" s="320">
        <f t="shared" ref="K43:K47" si="19">IF($J$18=0,0,J43/$J$18)</f>
        <v>0</v>
      </c>
      <c r="L43" s="321"/>
      <c r="M43" s="57"/>
      <c r="N43" s="314"/>
      <c r="O43" s="324"/>
      <c r="P43" s="128"/>
      <c r="Q43" s="128"/>
      <c r="R43" s="233" t="s">
        <v>216</v>
      </c>
      <c r="S43" s="1094"/>
      <c r="T43" s="641"/>
      <c r="U43" s="634">
        <f t="shared" si="12"/>
        <v>0</v>
      </c>
      <c r="V43" s="641"/>
      <c r="W43" s="634">
        <f t="shared" si="13"/>
        <v>0</v>
      </c>
      <c r="X43" s="641"/>
      <c r="Y43" s="634">
        <f t="shared" si="14"/>
        <v>0</v>
      </c>
      <c r="Z43" s="641"/>
      <c r="AA43" s="637">
        <f t="shared" si="15"/>
        <v>0</v>
      </c>
      <c r="AB43" s="57"/>
      <c r="AC43" s="314"/>
      <c r="AD43" s="324"/>
    </row>
    <row r="44" spans="2:30" ht="15.5" customHeight="1">
      <c r="B44" s="233" t="s">
        <v>217</v>
      </c>
      <c r="C44" s="246"/>
      <c r="D44" s="5"/>
      <c r="E44" s="318">
        <f t="shared" si="16"/>
        <v>0</v>
      </c>
      <c r="F44" s="5"/>
      <c r="G44" s="318">
        <f t="shared" si="17"/>
        <v>0</v>
      </c>
      <c r="H44" s="5"/>
      <c r="I44" s="318">
        <f t="shared" si="18"/>
        <v>0</v>
      </c>
      <c r="J44" s="5"/>
      <c r="K44" s="320">
        <f t="shared" si="19"/>
        <v>0</v>
      </c>
      <c r="L44" s="321"/>
      <c r="M44" s="57"/>
      <c r="N44" s="314"/>
      <c r="O44" s="324"/>
      <c r="P44" s="128"/>
      <c r="Q44" s="128"/>
      <c r="R44" s="233" t="s">
        <v>217</v>
      </c>
      <c r="S44" s="1094"/>
      <c r="T44" s="641"/>
      <c r="U44" s="634">
        <f t="shared" si="12"/>
        <v>0</v>
      </c>
      <c r="V44" s="641"/>
      <c r="W44" s="634">
        <f t="shared" si="13"/>
        <v>0</v>
      </c>
      <c r="X44" s="641"/>
      <c r="Y44" s="634">
        <f t="shared" si="14"/>
        <v>0</v>
      </c>
      <c r="Z44" s="641"/>
      <c r="AA44" s="637">
        <f t="shared" si="15"/>
        <v>0</v>
      </c>
      <c r="AB44" s="57"/>
      <c r="AC44" s="314"/>
      <c r="AD44" s="324"/>
    </row>
    <row r="45" spans="2:30" ht="15.5" customHeight="1">
      <c r="B45" s="1188" t="s">
        <v>218</v>
      </c>
      <c r="C45" s="246"/>
      <c r="D45" s="5"/>
      <c r="E45" s="318">
        <f t="shared" si="16"/>
        <v>0</v>
      </c>
      <c r="F45" s="5"/>
      <c r="G45" s="318">
        <f t="shared" si="17"/>
        <v>0</v>
      </c>
      <c r="H45" s="5"/>
      <c r="I45" s="318">
        <f t="shared" si="18"/>
        <v>0</v>
      </c>
      <c r="J45" s="5"/>
      <c r="K45" s="320">
        <f t="shared" si="19"/>
        <v>0</v>
      </c>
      <c r="L45" s="321"/>
      <c r="M45" s="57"/>
      <c r="N45" s="314"/>
      <c r="O45" s="324"/>
      <c r="P45" s="128"/>
      <c r="Q45" s="128"/>
      <c r="R45" s="1188" t="s">
        <v>218</v>
      </c>
      <c r="S45" s="1094"/>
      <c r="T45" s="641"/>
      <c r="U45" s="634">
        <f t="shared" si="12"/>
        <v>0</v>
      </c>
      <c r="V45" s="641"/>
      <c r="W45" s="634">
        <f t="shared" si="13"/>
        <v>0</v>
      </c>
      <c r="X45" s="641"/>
      <c r="Y45" s="634">
        <f t="shared" si="14"/>
        <v>0</v>
      </c>
      <c r="Z45" s="641"/>
      <c r="AA45" s="637">
        <f t="shared" si="15"/>
        <v>0</v>
      </c>
      <c r="AB45" s="57"/>
      <c r="AC45" s="314"/>
      <c r="AD45" s="324"/>
    </row>
    <row r="46" spans="2:30" ht="15.5" customHeight="1">
      <c r="B46" s="1188" t="s">
        <v>218</v>
      </c>
      <c r="C46" s="246"/>
      <c r="D46" s="5"/>
      <c r="E46" s="318">
        <f t="shared" si="16"/>
        <v>0</v>
      </c>
      <c r="F46" s="5"/>
      <c r="G46" s="318">
        <f t="shared" si="17"/>
        <v>0</v>
      </c>
      <c r="H46" s="5"/>
      <c r="I46" s="318">
        <f t="shared" si="18"/>
        <v>0</v>
      </c>
      <c r="J46" s="5"/>
      <c r="K46" s="320">
        <f t="shared" si="19"/>
        <v>0</v>
      </c>
      <c r="L46" s="321"/>
      <c r="M46" s="57"/>
      <c r="N46" s="314"/>
      <c r="O46" s="324"/>
      <c r="P46" s="128"/>
      <c r="Q46" s="128"/>
      <c r="R46" s="1188" t="s">
        <v>218</v>
      </c>
      <c r="S46" s="1094"/>
      <c r="T46" s="641"/>
      <c r="U46" s="634">
        <f t="shared" si="12"/>
        <v>0</v>
      </c>
      <c r="V46" s="641"/>
      <c r="W46" s="634">
        <f t="shared" si="13"/>
        <v>0</v>
      </c>
      <c r="X46" s="641"/>
      <c r="Y46" s="634">
        <f t="shared" si="14"/>
        <v>0</v>
      </c>
      <c r="Z46" s="641"/>
      <c r="AA46" s="637">
        <f t="shared" si="15"/>
        <v>0</v>
      </c>
      <c r="AB46" s="57"/>
      <c r="AC46" s="314"/>
      <c r="AD46" s="324"/>
    </row>
    <row r="47" spans="2:30" ht="15.5" customHeight="1">
      <c r="B47" s="1188" t="s">
        <v>218</v>
      </c>
      <c r="C47" s="246"/>
      <c r="D47" s="5"/>
      <c r="E47" s="318">
        <f t="shared" si="16"/>
        <v>0</v>
      </c>
      <c r="F47" s="5"/>
      <c r="G47" s="318">
        <f t="shared" si="17"/>
        <v>0</v>
      </c>
      <c r="H47" s="5"/>
      <c r="I47" s="318">
        <f t="shared" si="18"/>
        <v>0</v>
      </c>
      <c r="J47" s="5"/>
      <c r="K47" s="320">
        <f t="shared" si="19"/>
        <v>0</v>
      </c>
      <c r="L47" s="321"/>
      <c r="M47" s="57"/>
      <c r="N47" s="314"/>
      <c r="O47" s="324"/>
      <c r="P47" s="128"/>
      <c r="Q47" s="128"/>
      <c r="R47" s="1188" t="s">
        <v>218</v>
      </c>
      <c r="S47" s="1094"/>
      <c r="T47" s="641"/>
      <c r="U47" s="634">
        <f t="shared" si="12"/>
        <v>0</v>
      </c>
      <c r="V47" s="641"/>
      <c r="W47" s="634">
        <f t="shared" si="13"/>
        <v>0</v>
      </c>
      <c r="X47" s="641"/>
      <c r="Y47" s="634">
        <f t="shared" si="14"/>
        <v>0</v>
      </c>
      <c r="Z47" s="641"/>
      <c r="AA47" s="637">
        <f t="shared" si="15"/>
        <v>0</v>
      </c>
      <c r="AB47" s="57"/>
      <c r="AC47" s="314"/>
      <c r="AD47" s="324"/>
    </row>
    <row r="48" spans="2:30" ht="16">
      <c r="B48" s="1188" t="s">
        <v>218</v>
      </c>
      <c r="C48" s="246"/>
      <c r="D48" s="5"/>
      <c r="E48" s="318">
        <f t="shared" si="8"/>
        <v>0</v>
      </c>
      <c r="F48" s="5"/>
      <c r="G48" s="318">
        <f t="shared" si="9"/>
        <v>0</v>
      </c>
      <c r="H48" s="5"/>
      <c r="I48" s="318">
        <f t="shared" si="10"/>
        <v>0</v>
      </c>
      <c r="J48" s="5"/>
      <c r="K48" s="320">
        <f t="shared" si="11"/>
        <v>0</v>
      </c>
      <c r="L48" s="321"/>
      <c r="M48" s="57"/>
      <c r="N48" s="314"/>
      <c r="O48" s="324"/>
      <c r="P48" s="128"/>
      <c r="Q48" s="128"/>
      <c r="R48" s="1188" t="s">
        <v>218</v>
      </c>
      <c r="S48" s="1094"/>
      <c r="T48" s="641"/>
      <c r="U48" s="634">
        <f t="shared" si="12"/>
        <v>0</v>
      </c>
      <c r="V48" s="641"/>
      <c r="W48" s="634">
        <f t="shared" si="13"/>
        <v>0</v>
      </c>
      <c r="X48" s="641"/>
      <c r="Y48" s="634">
        <f t="shared" si="14"/>
        <v>0</v>
      </c>
      <c r="Z48" s="641"/>
      <c r="AA48" s="637">
        <f t="shared" si="15"/>
        <v>0</v>
      </c>
      <c r="AB48" s="57"/>
      <c r="AC48" s="314"/>
      <c r="AD48" s="324"/>
    </row>
    <row r="49" spans="2:30" ht="16">
      <c r="B49" s="1188" t="s">
        <v>218</v>
      </c>
      <c r="C49" s="246"/>
      <c r="D49" s="5"/>
      <c r="E49" s="318">
        <f t="shared" si="8"/>
        <v>0</v>
      </c>
      <c r="F49" s="5"/>
      <c r="G49" s="318">
        <f t="shared" si="9"/>
        <v>0</v>
      </c>
      <c r="H49" s="5"/>
      <c r="I49" s="318">
        <f t="shared" si="10"/>
        <v>0</v>
      </c>
      <c r="J49" s="5"/>
      <c r="K49" s="320">
        <f t="shared" si="11"/>
        <v>0</v>
      </c>
      <c r="L49" s="321"/>
      <c r="M49" s="57"/>
      <c r="N49" s="314"/>
      <c r="O49" s="324"/>
      <c r="P49" s="128"/>
      <c r="Q49" s="128"/>
      <c r="R49" s="1188" t="s">
        <v>218</v>
      </c>
      <c r="S49" s="1094"/>
      <c r="T49" s="1458"/>
      <c r="U49" s="634">
        <f t="shared" si="12"/>
        <v>0</v>
      </c>
      <c r="V49" s="1458"/>
      <c r="W49" s="634">
        <f t="shared" si="13"/>
        <v>0</v>
      </c>
      <c r="X49" s="1458"/>
      <c r="Y49" s="634">
        <f t="shared" si="14"/>
        <v>0</v>
      </c>
      <c r="Z49" s="1458"/>
      <c r="AA49" s="637">
        <f t="shared" si="15"/>
        <v>0</v>
      </c>
      <c r="AB49" s="57"/>
      <c r="AC49" s="314"/>
      <c r="AD49" s="324"/>
    </row>
    <row r="50" spans="2:30" ht="16">
      <c r="B50" s="236" t="s">
        <v>219</v>
      </c>
      <c r="C50" s="1053"/>
      <c r="D50" s="510">
        <f>SUM(D26:D49)</f>
        <v>0</v>
      </c>
      <c r="E50" s="318">
        <f t="shared" si="8"/>
        <v>0</v>
      </c>
      <c r="F50" s="510">
        <f>SUM(F26:F49)</f>
        <v>0</v>
      </c>
      <c r="G50" s="318">
        <f t="shared" si="9"/>
        <v>0</v>
      </c>
      <c r="H50" s="510">
        <f>SUM(H26:H49)</f>
        <v>0</v>
      </c>
      <c r="I50" s="318">
        <f t="shared" si="10"/>
        <v>0</v>
      </c>
      <c r="J50" s="510">
        <f>SUM(J26:J49)</f>
        <v>0</v>
      </c>
      <c r="K50" s="320">
        <f t="shared" si="11"/>
        <v>0</v>
      </c>
      <c r="L50" s="321"/>
      <c r="M50" s="57"/>
      <c r="N50" s="314"/>
      <c r="O50" s="324"/>
      <c r="P50" s="128"/>
      <c r="Q50" s="128"/>
      <c r="R50" s="236" t="s">
        <v>219</v>
      </c>
      <c r="S50" s="1095"/>
      <c r="T50" s="647">
        <f>SUM(T26:T49)</f>
        <v>0</v>
      </c>
      <c r="U50" s="634">
        <f t="shared" si="12"/>
        <v>0</v>
      </c>
      <c r="V50" s="647">
        <f>SUM(V26:V49)</f>
        <v>0</v>
      </c>
      <c r="W50" s="634">
        <f t="shared" si="13"/>
        <v>0</v>
      </c>
      <c r="X50" s="647">
        <f>SUM(X26:X49)</f>
        <v>0</v>
      </c>
      <c r="Y50" s="634">
        <f t="shared" si="14"/>
        <v>0</v>
      </c>
      <c r="Z50" s="647">
        <f>SUM(Z26:Z49)</f>
        <v>0</v>
      </c>
      <c r="AA50" s="637">
        <f t="shared" si="15"/>
        <v>0</v>
      </c>
      <c r="AB50" s="57"/>
      <c r="AC50" s="314"/>
      <c r="AD50" s="324"/>
    </row>
    <row r="51" spans="2:30" ht="16">
      <c r="B51" s="236"/>
      <c r="C51" s="1053"/>
      <c r="D51" s="511"/>
      <c r="E51" s="319"/>
      <c r="F51" s="511"/>
      <c r="G51" s="319"/>
      <c r="H51" s="511"/>
      <c r="I51" s="319"/>
      <c r="J51" s="511"/>
      <c r="K51" s="1096"/>
      <c r="L51" s="1185"/>
      <c r="M51" s="57"/>
      <c r="N51" s="314"/>
      <c r="O51" s="325"/>
      <c r="P51" s="128"/>
      <c r="Q51" s="128"/>
      <c r="R51" s="236"/>
      <c r="S51" s="1095"/>
      <c r="T51" s="1018"/>
      <c r="U51" s="635"/>
      <c r="V51" s="1018"/>
      <c r="W51" s="635"/>
      <c r="X51" s="1018"/>
      <c r="Y51" s="635"/>
      <c r="Z51" s="1018"/>
      <c r="AA51" s="638"/>
      <c r="AB51" s="57"/>
      <c r="AC51" s="314"/>
      <c r="AD51" s="325"/>
    </row>
    <row r="52" spans="2:30" ht="16">
      <c r="B52" s="236" t="s">
        <v>220</v>
      </c>
      <c r="C52" s="1053"/>
      <c r="D52" s="510">
        <f>D20-D50</f>
        <v>0</v>
      </c>
      <c r="E52" s="318">
        <f t="shared" si="8"/>
        <v>0</v>
      </c>
      <c r="F52" s="510">
        <f>F20-F50</f>
        <v>0</v>
      </c>
      <c r="G52" s="318">
        <f t="shared" si="9"/>
        <v>0</v>
      </c>
      <c r="H52" s="510">
        <f>H20-H50</f>
        <v>0</v>
      </c>
      <c r="I52" s="318">
        <f t="shared" ref="I52" si="20">IF($H$18=0,0,H52/$H$18)</f>
        <v>0</v>
      </c>
      <c r="J52" s="510">
        <f>J20-J50</f>
        <v>0</v>
      </c>
      <c r="K52" s="320">
        <f t="shared" ref="K52" si="21">IF($J$18=0,0,J52/$J$18)</f>
        <v>0</v>
      </c>
      <c r="L52" s="321"/>
      <c r="M52" s="57"/>
      <c r="N52" s="314"/>
      <c r="O52" s="324"/>
      <c r="P52" s="128"/>
      <c r="Q52" s="128"/>
      <c r="R52" s="236" t="s">
        <v>220</v>
      </c>
      <c r="S52" s="1095"/>
      <c r="T52" s="647">
        <f>T20-T50</f>
        <v>0</v>
      </c>
      <c r="U52" s="634">
        <f>IF($T$18=0,0,T52/$T$18)</f>
        <v>0</v>
      </c>
      <c r="V52" s="647">
        <f>V20-V50</f>
        <v>0</v>
      </c>
      <c r="W52" s="634">
        <f>IF($V$18=0,0,V52/$V$18)</f>
        <v>0</v>
      </c>
      <c r="X52" s="647">
        <f>X20-X50</f>
        <v>0</v>
      </c>
      <c r="Y52" s="634">
        <f>IF($X$18=0,0,X52/$X$18)</f>
        <v>0</v>
      </c>
      <c r="Z52" s="647">
        <f>Z20-Z50</f>
        <v>0</v>
      </c>
      <c r="AA52" s="637">
        <f>IF($Z$18=0,0,Z52/$Z$18)</f>
        <v>0</v>
      </c>
      <c r="AB52" s="57"/>
      <c r="AC52" s="314"/>
      <c r="AD52" s="324"/>
    </row>
    <row r="53" spans="2:30" ht="16">
      <c r="B53" s="236"/>
      <c r="C53" s="1053"/>
      <c r="D53" s="512"/>
      <c r="E53" s="319"/>
      <c r="F53" s="512"/>
      <c r="G53" s="319"/>
      <c r="H53" s="512"/>
      <c r="I53" s="319"/>
      <c r="J53" s="512"/>
      <c r="K53" s="1096"/>
      <c r="L53" s="1185"/>
      <c r="M53" s="57"/>
      <c r="N53" s="314"/>
      <c r="O53" s="325"/>
      <c r="P53" s="128"/>
      <c r="Q53" s="128"/>
      <c r="R53" s="236"/>
      <c r="S53" s="1095"/>
      <c r="T53" s="1019"/>
      <c r="U53" s="635"/>
      <c r="V53" s="1019"/>
      <c r="W53" s="635"/>
      <c r="X53" s="1019"/>
      <c r="Y53" s="635"/>
      <c r="Z53" s="1019"/>
      <c r="AA53" s="638"/>
      <c r="AB53" s="57"/>
      <c r="AC53" s="1185"/>
      <c r="AD53" s="325"/>
    </row>
    <row r="54" spans="2:30" ht="16">
      <c r="B54" s="1188" t="s">
        <v>221</v>
      </c>
      <c r="C54" s="246"/>
      <c r="D54" s="5"/>
      <c r="E54" s="318">
        <f t="shared" si="8"/>
        <v>0</v>
      </c>
      <c r="F54" s="5"/>
      <c r="G54" s="318">
        <f t="shared" si="9"/>
        <v>0</v>
      </c>
      <c r="H54" s="5"/>
      <c r="I54" s="318">
        <f t="shared" ref="I54:I58" si="22">IF($H$18=0,0,H54/$H$18)</f>
        <v>0</v>
      </c>
      <c r="J54" s="5"/>
      <c r="K54" s="320">
        <f t="shared" ref="K54:K58" si="23">IF($J$18=0,0,J54/$J$18)</f>
        <v>0</v>
      </c>
      <c r="L54" s="321"/>
      <c r="M54" s="57"/>
      <c r="N54" s="314"/>
      <c r="O54" s="324"/>
      <c r="P54" s="128"/>
      <c r="Q54" s="128"/>
      <c r="R54" s="1188" t="s">
        <v>221</v>
      </c>
      <c r="S54" s="1094"/>
      <c r="T54" s="641"/>
      <c r="U54" s="634">
        <f>IF($T$18=0,0,T54/$T$18)</f>
        <v>0</v>
      </c>
      <c r="V54" s="641"/>
      <c r="W54" s="634">
        <f>IF($V$18=0,0,V54/$V$18)</f>
        <v>0</v>
      </c>
      <c r="X54" s="641"/>
      <c r="Y54" s="634">
        <f>IF($X$18=0,0,X54/$X$18)</f>
        <v>0</v>
      </c>
      <c r="Z54" s="641"/>
      <c r="AA54" s="637">
        <f>IF($Z$18=0,0,Z54/$Z$18)</f>
        <v>0</v>
      </c>
      <c r="AB54" s="57"/>
      <c r="AC54" s="314"/>
      <c r="AD54" s="324"/>
    </row>
    <row r="55" spans="2:30" ht="16">
      <c r="B55" s="1188" t="s">
        <v>221</v>
      </c>
      <c r="C55" s="246"/>
      <c r="D55" s="5"/>
      <c r="E55" s="318">
        <f t="shared" si="8"/>
        <v>0</v>
      </c>
      <c r="F55" s="5"/>
      <c r="G55" s="318">
        <f t="shared" si="9"/>
        <v>0</v>
      </c>
      <c r="H55" s="5"/>
      <c r="I55" s="318">
        <f t="shared" si="22"/>
        <v>0</v>
      </c>
      <c r="J55" s="5"/>
      <c r="K55" s="320">
        <f t="shared" si="23"/>
        <v>0</v>
      </c>
      <c r="L55" s="321"/>
      <c r="M55" s="57"/>
      <c r="N55" s="314"/>
      <c r="O55" s="324"/>
      <c r="P55" s="128"/>
      <c r="Q55" s="128"/>
      <c r="R55" s="1188" t="s">
        <v>221</v>
      </c>
      <c r="S55" s="1094"/>
      <c r="T55" s="641"/>
      <c r="U55" s="634">
        <f>IF($T$18=0,0,T55/$T$18)</f>
        <v>0</v>
      </c>
      <c r="V55" s="641"/>
      <c r="W55" s="634">
        <f>IF($V$18=0,0,V55/$V$18)</f>
        <v>0</v>
      </c>
      <c r="X55" s="641"/>
      <c r="Y55" s="634">
        <f>IF($X$18=0,0,X55/$X$18)</f>
        <v>0</v>
      </c>
      <c r="Z55" s="641"/>
      <c r="AA55" s="637">
        <f>IF($Z$18=0,0,Z55/$Z$18)</f>
        <v>0</v>
      </c>
      <c r="AB55" s="57"/>
      <c r="AC55" s="314"/>
      <c r="AD55" s="324"/>
    </row>
    <row r="56" spans="2:30" ht="16">
      <c r="B56" s="1188" t="s">
        <v>222</v>
      </c>
      <c r="C56" s="246"/>
      <c r="D56" s="5"/>
      <c r="E56" s="318">
        <f t="shared" si="8"/>
        <v>0</v>
      </c>
      <c r="F56" s="5"/>
      <c r="G56" s="318">
        <f t="shared" si="9"/>
        <v>0</v>
      </c>
      <c r="H56" s="5"/>
      <c r="I56" s="318">
        <f t="shared" si="22"/>
        <v>0</v>
      </c>
      <c r="J56" s="5"/>
      <c r="K56" s="320">
        <f t="shared" si="23"/>
        <v>0</v>
      </c>
      <c r="L56" s="321"/>
      <c r="M56" s="57"/>
      <c r="N56" s="314"/>
      <c r="O56" s="324"/>
      <c r="P56" s="128"/>
      <c r="Q56" s="128"/>
      <c r="R56" s="1188" t="s">
        <v>222</v>
      </c>
      <c r="S56" s="1094"/>
      <c r="T56" s="641"/>
      <c r="U56" s="634">
        <f>IF($T$18=0,0,T56/$T$18)</f>
        <v>0</v>
      </c>
      <c r="V56" s="641"/>
      <c r="W56" s="634">
        <f>IF($V$18=0,0,V56/$V$18)</f>
        <v>0</v>
      </c>
      <c r="X56" s="641"/>
      <c r="Y56" s="634">
        <f>IF($X$18=0,0,X56/$X$18)</f>
        <v>0</v>
      </c>
      <c r="Z56" s="641"/>
      <c r="AA56" s="637">
        <f>IF($Z$18=0,0,Z56/$Z$18)</f>
        <v>0</v>
      </c>
      <c r="AB56" s="57"/>
      <c r="AC56" s="314"/>
      <c r="AD56" s="324"/>
    </row>
    <row r="57" spans="2:30" ht="16">
      <c r="B57" s="1188" t="s">
        <v>222</v>
      </c>
      <c r="C57" s="246"/>
      <c r="D57" s="5"/>
      <c r="E57" s="318">
        <f t="shared" si="8"/>
        <v>0</v>
      </c>
      <c r="F57" s="5"/>
      <c r="G57" s="318">
        <f t="shared" si="9"/>
        <v>0</v>
      </c>
      <c r="H57" s="5"/>
      <c r="I57" s="318">
        <f t="shared" si="22"/>
        <v>0</v>
      </c>
      <c r="J57" s="5"/>
      <c r="K57" s="320">
        <f t="shared" si="23"/>
        <v>0</v>
      </c>
      <c r="L57" s="321"/>
      <c r="M57" s="57"/>
      <c r="N57" s="314"/>
      <c r="O57" s="324"/>
      <c r="P57" s="128"/>
      <c r="Q57" s="128"/>
      <c r="R57" s="1188" t="s">
        <v>222</v>
      </c>
      <c r="S57" s="1094"/>
      <c r="T57" s="641"/>
      <c r="U57" s="634">
        <f>IF($T$18=0,0,T57/$T$18)</f>
        <v>0</v>
      </c>
      <c r="V57" s="641"/>
      <c r="W57" s="634">
        <f>IF($V$18=0,0,V57/$V$18)</f>
        <v>0</v>
      </c>
      <c r="X57" s="641"/>
      <c r="Y57" s="634">
        <f>IF($X$18=0,0,X57/$X$18)</f>
        <v>0</v>
      </c>
      <c r="Z57" s="641"/>
      <c r="AA57" s="637">
        <f>IF($Z$18=0,0,Z57/$Z$18)</f>
        <v>0</v>
      </c>
      <c r="AB57" s="57"/>
      <c r="AC57" s="314"/>
      <c r="AD57" s="324"/>
    </row>
    <row r="58" spans="2:30" ht="16">
      <c r="B58" s="236" t="s">
        <v>223</v>
      </c>
      <c r="C58" s="1053"/>
      <c r="D58" s="510">
        <f>SUM(D54:D57)</f>
        <v>0</v>
      </c>
      <c r="E58" s="318">
        <f t="shared" si="8"/>
        <v>0</v>
      </c>
      <c r="F58" s="510">
        <f>SUM(F54:F57)</f>
        <v>0</v>
      </c>
      <c r="G58" s="318">
        <f t="shared" si="9"/>
        <v>0</v>
      </c>
      <c r="H58" s="510">
        <f>SUM(H54:H57)</f>
        <v>0</v>
      </c>
      <c r="I58" s="318">
        <f t="shared" si="22"/>
        <v>0</v>
      </c>
      <c r="J58" s="510">
        <f>SUM(J54:J57)</f>
        <v>0</v>
      </c>
      <c r="K58" s="320">
        <f t="shared" si="23"/>
        <v>0</v>
      </c>
      <c r="L58" s="321"/>
      <c r="M58" s="57"/>
      <c r="N58" s="314"/>
      <c r="O58" s="324"/>
      <c r="P58" s="128"/>
      <c r="Q58" s="128"/>
      <c r="R58" s="236" t="s">
        <v>223</v>
      </c>
      <c r="S58" s="1053"/>
      <c r="T58" s="647">
        <f>SUM(T54:T57)</f>
        <v>0</v>
      </c>
      <c r="U58" s="634">
        <f>IF($T$18=0,0,T58/$T$18)</f>
        <v>0</v>
      </c>
      <c r="V58" s="647">
        <f>SUM(V54:V57)</f>
        <v>0</v>
      </c>
      <c r="W58" s="634">
        <f>IF($V$18=0,0,V58/$V$18)</f>
        <v>0</v>
      </c>
      <c r="X58" s="647">
        <f>SUM(X54:X57)</f>
        <v>0</v>
      </c>
      <c r="Y58" s="634">
        <f>IF($X$18=0,0,X58/$X$18)</f>
        <v>0</v>
      </c>
      <c r="Z58" s="647">
        <f>SUM(Z54:Z57)</f>
        <v>0</v>
      </c>
      <c r="AA58" s="637">
        <f>IF($Z$18=0,0,Z58/$Z$18)</f>
        <v>0</v>
      </c>
      <c r="AB58" s="57"/>
      <c r="AC58" s="314"/>
      <c r="AD58" s="324"/>
    </row>
    <row r="59" spans="2:30" ht="16">
      <c r="B59" s="236"/>
      <c r="C59" s="1053"/>
      <c r="D59" s="511"/>
      <c r="E59" s="319"/>
      <c r="F59" s="511"/>
      <c r="G59" s="319"/>
      <c r="H59" s="511"/>
      <c r="I59" s="319"/>
      <c r="J59" s="511"/>
      <c r="K59" s="1096"/>
      <c r="L59" s="1185"/>
      <c r="M59" s="57"/>
      <c r="N59" s="314"/>
      <c r="O59" s="325"/>
      <c r="P59" s="128"/>
      <c r="Q59" s="128"/>
      <c r="R59" s="236"/>
      <c r="S59" s="1053"/>
      <c r="T59" s="1018"/>
      <c r="U59" s="635"/>
      <c r="V59" s="1018"/>
      <c r="W59" s="635"/>
      <c r="X59" s="1018"/>
      <c r="Y59" s="635"/>
      <c r="Z59" s="1018"/>
      <c r="AA59" s="638"/>
      <c r="AB59" s="57"/>
      <c r="AC59" s="314"/>
      <c r="AD59" s="325"/>
    </row>
    <row r="60" spans="2:30" ht="16">
      <c r="B60" s="236" t="s">
        <v>224</v>
      </c>
      <c r="C60" s="1053"/>
      <c r="D60" s="510">
        <f>D20-D50+D58</f>
        <v>0</v>
      </c>
      <c r="E60" s="318">
        <f t="shared" si="8"/>
        <v>0</v>
      </c>
      <c r="F60" s="510">
        <f>F20-F50+F58</f>
        <v>0</v>
      </c>
      <c r="G60" s="318">
        <f t="shared" si="9"/>
        <v>0</v>
      </c>
      <c r="H60" s="510">
        <f>H20-H50+H58</f>
        <v>0</v>
      </c>
      <c r="I60" s="318">
        <f t="shared" ref="I60:I61" si="24">IF($H$18=0,0,H60/$H$18)</f>
        <v>0</v>
      </c>
      <c r="J60" s="510">
        <f>J20-J50+J58</f>
        <v>0</v>
      </c>
      <c r="K60" s="320">
        <f t="shared" ref="K60:K61" si="25">IF($J$18=0,0,J60/$J$18)</f>
        <v>0</v>
      </c>
      <c r="L60" s="321"/>
      <c r="M60" s="57"/>
      <c r="N60" s="314"/>
      <c r="O60" s="324"/>
      <c r="P60" s="128"/>
      <c r="Q60" s="128"/>
      <c r="R60" s="236" t="s">
        <v>224</v>
      </c>
      <c r="S60" s="1053"/>
      <c r="T60" s="647">
        <f>T20-T50+T58</f>
        <v>0</v>
      </c>
      <c r="U60" s="634">
        <f>IF($T$18=0,0,T60/$T$18)</f>
        <v>0</v>
      </c>
      <c r="V60" s="647">
        <f>V20-V50+V58</f>
        <v>0</v>
      </c>
      <c r="W60" s="634">
        <f>IF($V$18=0,0,V60/$V$18)</f>
        <v>0</v>
      </c>
      <c r="X60" s="647">
        <f>X20-X50+X58</f>
        <v>0</v>
      </c>
      <c r="Y60" s="634">
        <f>IF($X$18=0,0,X60/$X$18)</f>
        <v>0</v>
      </c>
      <c r="Z60" s="647">
        <f>Z20-Z50+Z58</f>
        <v>0</v>
      </c>
      <c r="AA60" s="637">
        <f>IF($Z$18=0,0,Z60/$Z$18)</f>
        <v>0</v>
      </c>
      <c r="AB60" s="57"/>
      <c r="AC60" s="314"/>
      <c r="AD60" s="324"/>
    </row>
    <row r="61" spans="2:30" ht="16">
      <c r="B61" s="236" t="s">
        <v>225</v>
      </c>
      <c r="C61" s="313"/>
      <c r="D61" s="510">
        <v>0</v>
      </c>
      <c r="E61" s="318">
        <f t="shared" si="8"/>
        <v>0</v>
      </c>
      <c r="F61" s="510">
        <v>0</v>
      </c>
      <c r="G61" s="318">
        <f t="shared" si="9"/>
        <v>0</v>
      </c>
      <c r="H61" s="510">
        <v>0</v>
      </c>
      <c r="I61" s="318">
        <f t="shared" si="24"/>
        <v>0</v>
      </c>
      <c r="J61" s="510">
        <v>0</v>
      </c>
      <c r="K61" s="320">
        <f t="shared" si="25"/>
        <v>0</v>
      </c>
      <c r="L61" s="321"/>
      <c r="M61" s="57"/>
      <c r="N61" s="314"/>
      <c r="O61" s="324"/>
      <c r="P61" s="128"/>
      <c r="Q61" s="128"/>
      <c r="R61" s="236" t="s">
        <v>225</v>
      </c>
      <c r="S61" s="313"/>
      <c r="T61" s="647">
        <v>0</v>
      </c>
      <c r="U61" s="634">
        <f>IF($T$20=0,0,T61/$T$20)</f>
        <v>0</v>
      </c>
      <c r="V61" s="647">
        <v>0</v>
      </c>
      <c r="W61" s="634">
        <f>IF($V$20=0,0,V61/$V$20)</f>
        <v>0</v>
      </c>
      <c r="X61" s="647">
        <v>0</v>
      </c>
      <c r="Y61" s="634">
        <f>IF($X$18=0,0,X61/$X$18)</f>
        <v>0</v>
      </c>
      <c r="Z61" s="647">
        <v>0</v>
      </c>
      <c r="AA61" s="637">
        <f>IF($Z$20=0,0,Z61/$Z$20)</f>
        <v>0</v>
      </c>
      <c r="AB61" s="57"/>
      <c r="AC61" s="314"/>
      <c r="AD61" s="324"/>
    </row>
    <row r="62" spans="2:30" ht="16">
      <c r="B62" s="649"/>
      <c r="C62" s="1054"/>
      <c r="D62" s="281"/>
      <c r="E62" s="318"/>
      <c r="F62" s="281"/>
      <c r="G62" s="318"/>
      <c r="H62" s="281"/>
      <c r="I62" s="318"/>
      <c r="J62" s="281"/>
      <c r="K62" s="320"/>
      <c r="L62" s="321"/>
      <c r="M62" s="57"/>
      <c r="N62" s="314"/>
      <c r="O62" s="324"/>
      <c r="P62" s="128"/>
      <c r="Q62" s="128"/>
      <c r="R62" s="649"/>
      <c r="S62" s="1054"/>
      <c r="T62" s="1020"/>
      <c r="U62" s="634"/>
      <c r="V62" s="1020"/>
      <c r="W62" s="634"/>
      <c r="X62" s="1020"/>
      <c r="Y62" s="634"/>
      <c r="Z62" s="1020"/>
      <c r="AA62" s="637"/>
      <c r="AB62" s="57"/>
      <c r="AC62" s="314"/>
      <c r="AD62" s="324"/>
    </row>
    <row r="63" spans="2:30" ht="16">
      <c r="B63" s="236" t="s">
        <v>226</v>
      </c>
      <c r="C63" s="1053"/>
      <c r="D63" s="510">
        <f>D60-D61</f>
        <v>0</v>
      </c>
      <c r="E63" s="318">
        <f t="shared" si="8"/>
        <v>0</v>
      </c>
      <c r="F63" s="510">
        <f>F60-F61</f>
        <v>0</v>
      </c>
      <c r="G63" s="318">
        <f t="shared" si="9"/>
        <v>0</v>
      </c>
      <c r="H63" s="510">
        <f>H60-H61</f>
        <v>0</v>
      </c>
      <c r="I63" s="318">
        <f t="shared" ref="I63" si="26">IF($H$18=0,0,H63/$H$18)</f>
        <v>0</v>
      </c>
      <c r="J63" s="510">
        <f>J60-J61</f>
        <v>0</v>
      </c>
      <c r="K63" s="320">
        <f t="shared" ref="K63" si="27">IF($J$18=0,0,J63/$J$18)</f>
        <v>0</v>
      </c>
      <c r="L63" s="321"/>
      <c r="M63" s="57"/>
      <c r="N63" s="314"/>
      <c r="O63" s="324"/>
      <c r="P63" s="128"/>
      <c r="Q63" s="128"/>
      <c r="R63" s="236" t="s">
        <v>226</v>
      </c>
      <c r="S63" s="1053"/>
      <c r="T63" s="647">
        <f>T60-T61</f>
        <v>0</v>
      </c>
      <c r="U63" s="634">
        <f>IF($T$20=0,0,T63/$T$18)</f>
        <v>0</v>
      </c>
      <c r="V63" s="647">
        <f>V60-V61</f>
        <v>0</v>
      </c>
      <c r="W63" s="634">
        <f>IF($V$20=0,0,V63/$V$18)</f>
        <v>0</v>
      </c>
      <c r="X63" s="647">
        <f>X60-X61</f>
        <v>0</v>
      </c>
      <c r="Y63" s="634">
        <f>IF($X$18=0,0,X63/$X$18)</f>
        <v>0</v>
      </c>
      <c r="Z63" s="647">
        <f>Z60-Z61</f>
        <v>0</v>
      </c>
      <c r="AA63" s="637">
        <f>IF($Z$18=0,0,Z63/$Z$18)</f>
        <v>0</v>
      </c>
      <c r="AB63" s="57"/>
      <c r="AC63" s="314"/>
      <c r="AD63" s="324"/>
    </row>
    <row r="64" spans="2:30" ht="17" thickBot="1">
      <c r="B64" s="1097"/>
      <c r="C64" s="1101"/>
      <c r="D64" s="283"/>
      <c r="E64" s="1098"/>
      <c r="F64" s="283"/>
      <c r="G64" s="1098"/>
      <c r="H64" s="283"/>
      <c r="I64" s="1098"/>
      <c r="J64" s="283"/>
      <c r="K64" s="1099"/>
      <c r="L64" s="1186"/>
      <c r="M64" s="58"/>
      <c r="N64" s="1100"/>
      <c r="O64" s="326"/>
      <c r="P64" s="128"/>
      <c r="Q64" s="128"/>
      <c r="R64" s="1097"/>
      <c r="S64" s="1101"/>
      <c r="T64" s="283"/>
      <c r="U64" s="1098"/>
      <c r="V64" s="283"/>
      <c r="W64" s="1098"/>
      <c r="X64" s="283"/>
      <c r="Y64" s="1098"/>
      <c r="Z64" s="283"/>
      <c r="AA64" s="1099"/>
      <c r="AB64" s="58"/>
      <c r="AC64" s="1100"/>
      <c r="AD64" s="326"/>
    </row>
    <row r="65" spans="2:30" ht="17" thickBot="1">
      <c r="B65" s="2896" t="s">
        <v>807</v>
      </c>
      <c r="C65" s="2897"/>
      <c r="D65" s="2898"/>
      <c r="E65" s="2898"/>
      <c r="F65" s="2898"/>
      <c r="G65" s="2898"/>
      <c r="H65" s="2898"/>
      <c r="I65" s="2898"/>
      <c r="J65" s="2898"/>
      <c r="K65" s="2898"/>
      <c r="L65" s="2898"/>
      <c r="M65" s="2898"/>
      <c r="N65" s="2898"/>
      <c r="O65" s="2899"/>
      <c r="P65" s="128"/>
      <c r="Q65" s="128"/>
      <c r="R65" s="2886" t="s">
        <v>808</v>
      </c>
      <c r="S65" s="2887"/>
      <c r="T65" s="2887"/>
      <c r="U65" s="2887"/>
      <c r="V65" s="2887"/>
      <c r="W65" s="2887"/>
      <c r="X65" s="2887"/>
      <c r="Y65" s="2887"/>
      <c r="Z65" s="2887"/>
      <c r="AA65" s="2887"/>
      <c r="AB65" s="2887"/>
      <c r="AC65" s="2887"/>
      <c r="AD65" s="2888"/>
    </row>
    <row r="66" spans="2:30">
      <c r="B66" s="2900" t="str">
        <f>B2</f>
        <v>{Insert business name which represents PSOR}</v>
      </c>
      <c r="C66" s="2900"/>
      <c r="D66" s="2900"/>
      <c r="E66" s="2900"/>
      <c r="F66" s="2900"/>
      <c r="G66" s="2900"/>
      <c r="H66" s="2900"/>
      <c r="I66" s="2900"/>
      <c r="J66" s="2900"/>
      <c r="K66" s="2900"/>
      <c r="L66" s="2900"/>
      <c r="M66" s="2900"/>
      <c r="N66" s="2900"/>
      <c r="O66" s="2900"/>
      <c r="P66" s="128"/>
      <c r="Q66" s="128"/>
      <c r="R66" s="2879" t="str">
        <f>R2</f>
        <v>{Insert business name which represents PSOR}</v>
      </c>
      <c r="S66" s="2879"/>
      <c r="T66" s="2879"/>
      <c r="U66" s="2879"/>
      <c r="V66" s="2879"/>
      <c r="W66" s="2879"/>
      <c r="X66" s="2879"/>
      <c r="Y66" s="2879"/>
      <c r="Z66" s="2879"/>
      <c r="AA66" s="2879"/>
      <c r="AB66" s="2879"/>
      <c r="AC66" s="2879"/>
      <c r="AD66" s="2879"/>
    </row>
    <row r="67" spans="2:30" ht="15" customHeight="1">
      <c r="B67" s="2895"/>
      <c r="C67" s="2895"/>
      <c r="D67" s="2895"/>
      <c r="E67" s="2895"/>
      <c r="F67" s="2895"/>
      <c r="G67" s="2895"/>
      <c r="H67" s="2895"/>
      <c r="I67" s="2895"/>
      <c r="J67" s="2895"/>
      <c r="K67" s="2895"/>
      <c r="L67" s="2895"/>
      <c r="M67" s="2895"/>
      <c r="N67" s="2895"/>
      <c r="O67" s="2895"/>
      <c r="P67" s="128"/>
      <c r="Q67" s="128"/>
      <c r="R67" s="128"/>
      <c r="S67" s="128"/>
      <c r="T67" s="128"/>
      <c r="U67" s="128"/>
      <c r="V67" s="128"/>
      <c r="W67" s="128"/>
      <c r="X67" s="128"/>
      <c r="Y67" s="128"/>
      <c r="Z67" s="128"/>
      <c r="AA67" s="128"/>
      <c r="AB67" s="128"/>
      <c r="AC67" s="128"/>
      <c r="AD67" s="128"/>
    </row>
    <row r="68" spans="2:30" ht="15" customHeight="1">
      <c r="B68" s="2895"/>
      <c r="C68" s="2895"/>
      <c r="D68" s="2895"/>
      <c r="E68" s="2895"/>
      <c r="F68" s="2895"/>
      <c r="G68" s="2895"/>
      <c r="H68" s="2895"/>
      <c r="I68" s="2895"/>
      <c r="J68" s="2895"/>
      <c r="K68" s="2895"/>
      <c r="L68" s="2895"/>
      <c r="M68" s="2895"/>
      <c r="N68" s="2895"/>
      <c r="O68" s="2895"/>
      <c r="P68" s="128"/>
      <c r="Q68" s="128"/>
      <c r="R68" s="128"/>
      <c r="S68" s="128"/>
      <c r="T68" s="128"/>
      <c r="U68" s="128"/>
      <c r="V68" s="128"/>
      <c r="W68" s="128"/>
      <c r="X68" s="128"/>
      <c r="Y68" s="128"/>
      <c r="Z68" s="128"/>
      <c r="AA68" s="128"/>
      <c r="AB68" s="128"/>
      <c r="AC68" s="128"/>
      <c r="AD68" s="128"/>
    </row>
    <row r="69" spans="2:30" ht="15" customHeight="1">
      <c r="B69" s="2895"/>
      <c r="C69" s="2895"/>
      <c r="D69" s="2895"/>
      <c r="E69" s="2895"/>
      <c r="F69" s="2895"/>
      <c r="G69" s="2895"/>
      <c r="H69" s="2895"/>
      <c r="I69" s="2895"/>
      <c r="J69" s="2895"/>
      <c r="K69" s="2895"/>
      <c r="L69" s="2895"/>
      <c r="M69" s="2895"/>
      <c r="N69" s="2895"/>
      <c r="O69" s="2895"/>
      <c r="P69" s="128"/>
      <c r="Q69" s="128"/>
      <c r="R69" s="128"/>
      <c r="S69" s="128"/>
      <c r="T69" s="128"/>
      <c r="U69" s="128"/>
      <c r="V69" s="128"/>
      <c r="W69" s="128"/>
      <c r="X69" s="128"/>
      <c r="Y69" s="128"/>
      <c r="Z69" s="128"/>
      <c r="AA69" s="128"/>
      <c r="AB69" s="128"/>
      <c r="AC69" s="128"/>
      <c r="AD69" s="128"/>
    </row>
    <row r="70" spans="2:30" ht="15" customHeight="1">
      <c r="B70" s="2895"/>
      <c r="C70" s="2895"/>
      <c r="D70" s="2895"/>
      <c r="E70" s="2895"/>
      <c r="F70" s="2895"/>
      <c r="G70" s="2895"/>
      <c r="H70" s="2895"/>
      <c r="I70" s="2895"/>
      <c r="J70" s="2895"/>
      <c r="K70" s="2895"/>
      <c r="L70" s="2895"/>
      <c r="M70" s="2895"/>
      <c r="N70" s="2895"/>
      <c r="O70" s="2895"/>
      <c r="P70" s="128"/>
      <c r="Q70" s="128"/>
      <c r="R70" s="128"/>
      <c r="S70" s="128"/>
      <c r="T70" s="128"/>
      <c r="U70" s="128"/>
      <c r="V70" s="128"/>
      <c r="W70" s="128"/>
      <c r="X70" s="128"/>
      <c r="Y70" s="128"/>
      <c r="Z70" s="128"/>
      <c r="AA70" s="128"/>
      <c r="AB70" s="128"/>
      <c r="AC70" s="128"/>
      <c r="AD70" s="128"/>
    </row>
    <row r="71" spans="2:30" ht="15" customHeight="1">
      <c r="B71" s="2895"/>
      <c r="C71" s="2895"/>
      <c r="D71" s="2895"/>
      <c r="E71" s="2895"/>
      <c r="F71" s="2895"/>
      <c r="G71" s="2895"/>
      <c r="H71" s="2895"/>
      <c r="I71" s="2895"/>
      <c r="J71" s="2895"/>
      <c r="K71" s="2895"/>
      <c r="L71" s="2895"/>
      <c r="M71" s="2895"/>
      <c r="N71" s="2895"/>
      <c r="O71" s="2895"/>
      <c r="P71" s="128"/>
      <c r="Q71" s="128"/>
      <c r="R71" s="128"/>
      <c r="S71" s="128"/>
      <c r="T71" s="128"/>
      <c r="U71" s="128"/>
      <c r="V71" s="128"/>
      <c r="W71" s="128"/>
      <c r="X71" s="128"/>
      <c r="Y71" s="128"/>
      <c r="Z71" s="128"/>
      <c r="AA71" s="128"/>
      <c r="AB71" s="128"/>
      <c r="AC71" s="128"/>
      <c r="AD71" s="128"/>
    </row>
    <row r="72" spans="2:30">
      <c r="B72" s="2895"/>
      <c r="C72" s="2895"/>
      <c r="D72" s="2895"/>
      <c r="E72" s="2895"/>
      <c r="F72" s="2895"/>
      <c r="G72" s="2895"/>
      <c r="H72" s="2895"/>
      <c r="I72" s="2895"/>
      <c r="J72" s="2895"/>
      <c r="K72" s="2895"/>
      <c r="L72" s="2895"/>
      <c r="M72" s="2895"/>
      <c r="N72" s="2895"/>
      <c r="O72" s="2895"/>
      <c r="P72" s="128"/>
      <c r="Q72" s="128"/>
      <c r="R72" s="128"/>
      <c r="S72" s="128"/>
      <c r="T72" s="128"/>
      <c r="U72" s="128"/>
      <c r="V72" s="128"/>
      <c r="W72" s="128"/>
      <c r="X72" s="128"/>
      <c r="Y72" s="128"/>
      <c r="Z72" s="128"/>
      <c r="AA72" s="128"/>
      <c r="AB72" s="128"/>
      <c r="AC72" s="128"/>
      <c r="AD72" s="128"/>
    </row>
    <row r="73" spans="2:30">
      <c r="B73" s="2895"/>
      <c r="C73" s="2895"/>
      <c r="D73" s="2895"/>
      <c r="E73" s="2895"/>
      <c r="F73" s="2895"/>
      <c r="G73" s="2895"/>
      <c r="H73" s="2895"/>
      <c r="I73" s="2895"/>
      <c r="J73" s="2895"/>
      <c r="K73" s="2895"/>
      <c r="L73" s="2895"/>
      <c r="M73" s="2895"/>
      <c r="N73" s="2895"/>
      <c r="O73" s="2895"/>
      <c r="P73" s="128"/>
      <c r="Q73" s="128"/>
      <c r="R73" s="128"/>
      <c r="S73" s="128"/>
      <c r="T73" s="128"/>
      <c r="U73" s="128"/>
      <c r="V73" s="128"/>
      <c r="W73" s="128"/>
      <c r="X73" s="128"/>
      <c r="Y73" s="128"/>
      <c r="Z73" s="128"/>
      <c r="AA73" s="128"/>
      <c r="AB73" s="128"/>
      <c r="AC73" s="128"/>
      <c r="AD73" s="128"/>
    </row>
    <row r="74" spans="2:30">
      <c r="B74" s="2895"/>
      <c r="C74" s="2895"/>
      <c r="D74" s="2895"/>
      <c r="E74" s="2895"/>
      <c r="F74" s="2895"/>
      <c r="G74" s="2895"/>
      <c r="H74" s="2895"/>
      <c r="I74" s="2895"/>
      <c r="J74" s="2895"/>
      <c r="K74" s="2895"/>
      <c r="L74" s="2895"/>
      <c r="M74" s="2895"/>
      <c r="N74" s="2895"/>
      <c r="O74" s="2895"/>
      <c r="P74" s="128"/>
      <c r="Q74" s="128"/>
      <c r="R74" s="128"/>
      <c r="S74" s="128"/>
      <c r="T74" s="128"/>
      <c r="U74" s="128"/>
      <c r="V74" s="128"/>
      <c r="W74" s="128"/>
      <c r="X74" s="128"/>
      <c r="Y74" s="128"/>
      <c r="Z74" s="128"/>
      <c r="AA74" s="128"/>
      <c r="AB74" s="128"/>
      <c r="AC74" s="128"/>
      <c r="AD74" s="128"/>
    </row>
    <row r="75" spans="2:30">
      <c r="B75" s="2895"/>
      <c r="C75" s="2895"/>
      <c r="D75" s="2895"/>
      <c r="E75" s="2895"/>
      <c r="F75" s="2895"/>
      <c r="G75" s="2895"/>
      <c r="H75" s="2895"/>
      <c r="I75" s="2895"/>
      <c r="J75" s="2895"/>
      <c r="K75" s="2895"/>
      <c r="L75" s="2895"/>
      <c r="M75" s="2895"/>
      <c r="N75" s="2895"/>
      <c r="O75" s="2895"/>
      <c r="P75" s="128"/>
      <c r="Q75" s="128"/>
      <c r="R75" s="128"/>
      <c r="S75" s="128"/>
      <c r="T75" s="128"/>
      <c r="U75" s="128"/>
      <c r="V75" s="128"/>
      <c r="W75" s="128"/>
      <c r="X75" s="128"/>
      <c r="Y75" s="128"/>
      <c r="Z75" s="128"/>
      <c r="AA75" s="128"/>
      <c r="AB75" s="128"/>
      <c r="AC75" s="128"/>
      <c r="AD75" s="128"/>
    </row>
  </sheetData>
  <sheetProtection algorithmName="SHA-512" hashValue="Ys2Y79PqHO9+UycFlua0pY2Mx8WdUcNgSpvdt1zsxsKa9hDvO4oojZPbsNMLz34/0YcEHUkjg6RB6t0zawSIdg==" saltValue="QZGz3MenDF9c7gLdL+fA4w==" spinCount="100000" sheet="1" scenarios="1" formatCells="0" formatColumns="0" formatRows="0"/>
  <customSheetViews>
    <customSheetView guid="{EDC0EC15-0264-48C8-A990-093960AE8EF3}" scale="85" showGridLines="0" printArea="1" hiddenRows="1">
      <selection activeCell="A2" sqref="A2:N2"/>
      <rowBreaks count="1" manualBreakCount="1">
        <brk id="61" max="13" man="1"/>
      </rowBreaks>
      <pageMargins left="0" right="0" top="0" bottom="0" header="0" footer="0"/>
      <printOptions horizontalCentered="1"/>
      <pageSetup scale="68" orientation="portrait" r:id="rId1"/>
      <headerFooter differentFirst="1">
        <firstHeader>&amp;L&amp;G&amp;C&amp;8
&amp;18Credit Memo</firstHeader>
      </headerFooter>
    </customSheetView>
    <customSheetView guid="{6E1FDEE6-49D0-4876-8C7C-09893145D2CE}" scale="85" showGridLines="0" printArea="1" hiddenRows="1">
      <selection activeCell="A2" sqref="A2:N2"/>
      <rowBreaks count="1" manualBreakCount="1">
        <brk id="61" max="13" man="1"/>
      </rowBreaks>
      <pageMargins left="0" right="0" top="0" bottom="0" header="0" footer="0"/>
      <printOptions horizontalCentered="1"/>
      <pageSetup scale="68" orientation="portrait" r:id="rId2"/>
      <headerFooter differentFirst="1">
        <firstHeader>&amp;L&amp;G&amp;C&amp;8
&amp;18Credit Memo</firstHeader>
      </headerFooter>
    </customSheetView>
    <customSheetView guid="{DB1F6E98-7FCC-445F-9DA6-47D8BF8BE969}" scale="85" showGridLines="0" printArea="1" hiddenRows="1">
      <selection activeCell="A2" sqref="A2:N2"/>
      <rowBreaks count="1" manualBreakCount="1">
        <brk id="61" max="13" man="1"/>
      </rowBreaks>
      <pageMargins left="0" right="0" top="0" bottom="0" header="0" footer="0"/>
      <printOptions horizontalCentered="1"/>
      <pageSetup scale="68" orientation="portrait" r:id="rId3"/>
      <headerFooter differentFirst="1">
        <firstHeader>&amp;L&amp;G&amp;C&amp;8
&amp;18Credit Memo</firstHeader>
      </headerFooter>
    </customSheetView>
    <customSheetView guid="{C02CA8E5-5D4C-45E5-BC4A-4C9BE481059B}" scale="85" showGridLines="0" printArea="1" hiddenRows="1">
      <selection activeCell="A2" sqref="A2:N2"/>
      <rowBreaks count="1" manualBreakCount="1">
        <brk id="61" max="13" man="1"/>
      </rowBreaks>
      <pageMargins left="0" right="0" top="0" bottom="0" header="0" footer="0"/>
      <printOptions horizontalCentered="1"/>
      <pageSetup scale="68" orientation="portrait" r:id="rId4"/>
      <headerFooter differentFirst="1">
        <firstHeader>&amp;L&amp;G&amp;C&amp;8
&amp;18Credit Memo</firstHeader>
      </headerFooter>
    </customSheetView>
  </customSheetViews>
  <mergeCells count="23">
    <mergeCell ref="B1:O1"/>
    <mergeCell ref="B2:O2"/>
    <mergeCell ref="B66:O66"/>
    <mergeCell ref="B67:O67"/>
    <mergeCell ref="B68:O68"/>
    <mergeCell ref="B74:O74"/>
    <mergeCell ref="B75:O75"/>
    <mergeCell ref="M6:M7"/>
    <mergeCell ref="B65:O65"/>
    <mergeCell ref="B69:O69"/>
    <mergeCell ref="B70:O70"/>
    <mergeCell ref="B71:O71"/>
    <mergeCell ref="B72:O72"/>
    <mergeCell ref="B73:O73"/>
    <mergeCell ref="R66:AD66"/>
    <mergeCell ref="R1:AD1"/>
    <mergeCell ref="R2:AD2"/>
    <mergeCell ref="R65:AD65"/>
    <mergeCell ref="T4:T5"/>
    <mergeCell ref="V4:V5"/>
    <mergeCell ref="Z4:Z5"/>
    <mergeCell ref="X4:X5"/>
    <mergeCell ref="AB6:AB7"/>
  </mergeCells>
  <printOptions horizontalCentered="1"/>
  <pageMargins left="0.25" right="0.25" top="0.75" bottom="0.75" header="0.3" footer="0.3"/>
  <pageSetup scale="70" orientation="portrait" r:id="rId5"/>
  <headerFooter differentFirst="1">
    <firstHeader>&amp;L&amp;G&amp;C&amp;8
&amp;18Credit Memo</firstHeader>
  </headerFooter>
  <rowBreaks count="2" manualBreakCount="2">
    <brk id="64" min="1" max="14" man="1"/>
    <brk id="64" min="17" max="29" man="1"/>
  </rowBreaks>
  <drawing r:id="rId6"/>
  <legacy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Lists!$E$16:$E$20</xm:f>
          </x14:formula1>
          <xm:sqref>D7 J7 H7 F7</xm:sqref>
        </x14:dataValidation>
        <x14:dataValidation type="list" allowBlank="1" showInputMessage="1" showErrorMessage="1" xr:uid="{00000000-0002-0000-0A00-000001000000}">
          <x14:formula1>
            <xm:f>Lists!$D$16:$D$24</xm:f>
          </x14:formula1>
          <xm:sqref>D6 J6 H6 F6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B050"/>
    <pageSetUpPr fitToPage="1"/>
  </sheetPr>
  <dimension ref="A1:W58"/>
  <sheetViews>
    <sheetView showGridLines="0" topLeftCell="A17" zoomScale="85" zoomScaleNormal="85" zoomScaleSheetLayoutView="100" workbookViewId="0">
      <selection activeCell="S36" sqref="S36"/>
    </sheetView>
  </sheetViews>
  <sheetFormatPr baseColWidth="10" defaultColWidth="8.83203125" defaultRowHeight="15" outlineLevelRow="1"/>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2.1640625" customWidth="1"/>
    <col min="18" max="18" width="1.6640625" customWidth="1"/>
  </cols>
  <sheetData>
    <row r="1" spans="1:23" ht="16">
      <c r="A1" s="2908" t="s">
        <v>809</v>
      </c>
      <c r="B1" s="2909"/>
      <c r="C1" s="2909"/>
      <c r="D1" s="2909"/>
      <c r="E1" s="2909"/>
      <c r="F1" s="2909"/>
      <c r="G1" s="2909"/>
      <c r="H1" s="2909"/>
      <c r="I1" s="2909"/>
      <c r="J1" s="2909"/>
      <c r="K1" s="2909"/>
      <c r="L1" s="2909"/>
      <c r="M1" s="2909"/>
      <c r="N1" s="2909"/>
      <c r="O1" s="2909"/>
      <c r="P1" s="2909"/>
      <c r="Q1" s="2909"/>
      <c r="R1" s="2910"/>
      <c r="U1" s="1179"/>
      <c r="V1" s="1179"/>
      <c r="W1" s="1179"/>
    </row>
    <row r="2" spans="1:23" ht="17" thickBot="1">
      <c r="A2" s="2911" t="str">
        <f>'Hist BS'!A2</f>
        <v>{Insert business name which represents PSOR}</v>
      </c>
      <c r="B2" s="2912"/>
      <c r="C2" s="2912"/>
      <c r="D2" s="2912"/>
      <c r="E2" s="2912"/>
      <c r="F2" s="2912"/>
      <c r="G2" s="2912"/>
      <c r="H2" s="2912"/>
      <c r="I2" s="2912"/>
      <c r="J2" s="2912"/>
      <c r="K2" s="2912"/>
      <c r="L2" s="2912"/>
      <c r="M2" s="2912"/>
      <c r="N2" s="2912"/>
      <c r="O2" s="2912"/>
      <c r="P2" s="2912"/>
      <c r="Q2" s="2912"/>
      <c r="R2" s="2913"/>
      <c r="U2" s="2914" t="str" cm="1">
        <f t="array" aca="1" ref="U2" ca="1">MID(CELL("filename",A1),FIND("]",CELL("filename",A1))+1,256)</f>
        <v>Cash Flow</v>
      </c>
      <c r="V2" s="2914"/>
      <c r="W2" s="2914"/>
    </row>
    <row r="3" spans="1:23" ht="15" customHeight="1">
      <c r="A3" s="261" t="s">
        <v>182</v>
      </c>
      <c r="B3" s="262"/>
      <c r="C3" s="2916">
        <f>'Hist IS and Proj'!D4</f>
        <v>44561</v>
      </c>
      <c r="D3" s="296"/>
      <c r="E3" s="2916">
        <f>'Hist IS and Proj'!F4</f>
        <v>44926</v>
      </c>
      <c r="F3" s="296"/>
      <c r="G3" s="2916">
        <f>'Hist IS and Proj'!H4</f>
        <v>45291</v>
      </c>
      <c r="H3" s="296"/>
      <c r="I3" s="2916">
        <f>'Hist IS and Proj'!J4</f>
        <v>45657</v>
      </c>
      <c r="J3" s="296"/>
      <c r="K3" s="2918" t="str">
        <f>'Hist IS and Proj'!T4</f>
        <v>Borrower 
Year 1</v>
      </c>
      <c r="L3" s="237"/>
      <c r="M3" s="2918" t="str">
        <f>'Hist IS and Proj'!V4</f>
        <v>Borrower
Year 2</v>
      </c>
      <c r="N3" s="297"/>
      <c r="O3" s="2918" t="str">
        <f>'Hist IS and Proj'!X4</f>
        <v>Appraisal Proj</v>
      </c>
      <c r="P3" s="237"/>
      <c r="Q3" s="2918" t="str">
        <f>'Hist IS and Proj'!Z4</f>
        <v>Bank 
Adjusted</v>
      </c>
      <c r="R3" s="263"/>
      <c r="U3" s="2915"/>
      <c r="V3" s="2915"/>
      <c r="W3" s="2915"/>
    </row>
    <row r="4" spans="1:23" ht="15" customHeight="1">
      <c r="A4" s="261"/>
      <c r="B4" s="264"/>
      <c r="C4" s="2917"/>
      <c r="D4" s="296"/>
      <c r="E4" s="2917"/>
      <c r="F4" s="296"/>
      <c r="G4" s="2917"/>
      <c r="H4" s="296"/>
      <c r="I4" s="2917"/>
      <c r="J4" s="296"/>
      <c r="K4" s="2919"/>
      <c r="L4" s="237"/>
      <c r="M4" s="2919"/>
      <c r="N4" s="297"/>
      <c r="O4" s="2919"/>
      <c r="P4" s="237"/>
      <c r="Q4" s="2919"/>
      <c r="R4" s="263"/>
      <c r="U4" s="1182"/>
      <c r="V4" s="1182"/>
      <c r="W4" s="1182"/>
    </row>
    <row r="5" spans="1:23" ht="16">
      <c r="A5" s="261" t="s">
        <v>183</v>
      </c>
      <c r="B5" s="265"/>
      <c r="C5" s="266">
        <f>'Hist BS'!C4</f>
        <v>12</v>
      </c>
      <c r="D5" s="298"/>
      <c r="E5" s="266">
        <f>'Hist BS'!E4</f>
        <v>12</v>
      </c>
      <c r="F5" s="298"/>
      <c r="G5" s="266">
        <f>'Hist BS'!G4</f>
        <v>12</v>
      </c>
      <c r="H5" s="298"/>
      <c r="I5" s="266" t="e">
        <f>'Hist BS'!I4</f>
        <v>#REF!</v>
      </c>
      <c r="J5" s="298"/>
      <c r="K5" s="267">
        <v>12</v>
      </c>
      <c r="L5" s="237"/>
      <c r="M5" s="267">
        <v>12</v>
      </c>
      <c r="N5" s="297"/>
      <c r="O5" s="267">
        <v>12</v>
      </c>
      <c r="P5" s="237"/>
      <c r="Q5" s="267">
        <v>12</v>
      </c>
      <c r="R5" s="268"/>
      <c r="U5" s="2901"/>
      <c r="V5" s="2901"/>
      <c r="W5" s="2901"/>
    </row>
    <row r="6" spans="1:23" ht="16">
      <c r="A6" s="269"/>
      <c r="B6" s="270" t="s">
        <v>795</v>
      </c>
      <c r="C6" s="299"/>
      <c r="D6" s="299"/>
      <c r="E6" s="300"/>
      <c r="F6" s="300"/>
      <c r="G6" s="300"/>
      <c r="H6" s="300"/>
      <c r="I6" s="300"/>
      <c r="J6" s="300"/>
      <c r="K6" s="237"/>
      <c r="L6" s="237"/>
      <c r="M6" s="237"/>
      <c r="N6" s="237"/>
      <c r="O6" s="237"/>
      <c r="P6" s="237"/>
      <c r="Q6" s="237"/>
      <c r="R6" s="263"/>
      <c r="U6" s="2901"/>
      <c r="V6" s="2901"/>
      <c r="W6" s="2901"/>
    </row>
    <row r="7" spans="1:23" ht="16">
      <c r="A7" s="1218" t="s">
        <v>810</v>
      </c>
      <c r="B7" s="1055"/>
      <c r="C7" s="1522">
        <f>'Hist IS and Proj'!D63</f>
        <v>0</v>
      </c>
      <c r="D7" s="1523"/>
      <c r="E7" s="1522">
        <f>'Hist IS and Proj'!F63</f>
        <v>0</v>
      </c>
      <c r="F7" s="1523"/>
      <c r="G7" s="1522">
        <f>'Hist IS and Proj'!H63</f>
        <v>0</v>
      </c>
      <c r="H7" s="1523"/>
      <c r="I7" s="1522">
        <f>'Hist IS and Proj'!J63</f>
        <v>0</v>
      </c>
      <c r="J7" s="1523"/>
      <c r="K7" s="1522">
        <f>'Hist IS and Proj'!T63</f>
        <v>0</v>
      </c>
      <c r="L7" s="1523"/>
      <c r="M7" s="1524">
        <f>'Hist IS and Proj'!V63</f>
        <v>0</v>
      </c>
      <c r="N7" s="1523"/>
      <c r="O7" s="1522">
        <f>'Hist IS and Proj'!X63</f>
        <v>0</v>
      </c>
      <c r="P7" s="1523"/>
      <c r="Q7" s="1522">
        <f>'Hist IS and Proj'!Z63</f>
        <v>0</v>
      </c>
      <c r="R7" s="271"/>
      <c r="U7" s="2901"/>
      <c r="V7" s="2901"/>
      <c r="W7" s="2901"/>
    </row>
    <row r="8" spans="1:23" ht="16">
      <c r="A8" s="353" t="s">
        <v>811</v>
      </c>
      <c r="B8" s="354"/>
      <c r="C8" s="1525">
        <f>'Hist IS and Proj'!D33</f>
        <v>0</v>
      </c>
      <c r="D8" s="1526"/>
      <c r="E8" s="1525">
        <f>'Hist IS and Proj'!F33</f>
        <v>0</v>
      </c>
      <c r="F8" s="1526"/>
      <c r="G8" s="1525">
        <f>'Hist IS and Proj'!H33</f>
        <v>0</v>
      </c>
      <c r="H8" s="1526"/>
      <c r="I8" s="1525">
        <f>'Hist IS and Proj'!J33</f>
        <v>0</v>
      </c>
      <c r="J8" s="1526"/>
      <c r="K8" s="1525">
        <f>'Hist IS and Proj'!T33</f>
        <v>0</v>
      </c>
      <c r="L8" s="1526"/>
      <c r="M8" s="1527">
        <f>'Hist IS and Proj'!V33</f>
        <v>0</v>
      </c>
      <c r="N8" s="1526"/>
      <c r="O8" s="1525">
        <f>'Hist IS and Proj'!X33</f>
        <v>0</v>
      </c>
      <c r="P8" s="1526"/>
      <c r="Q8" s="1525">
        <f>'Hist IS and Proj'!Z33</f>
        <v>0</v>
      </c>
      <c r="R8" s="273"/>
      <c r="U8" s="2901"/>
      <c r="V8" s="2901"/>
      <c r="W8" s="2901"/>
    </row>
    <row r="9" spans="1:23" ht="16">
      <c r="A9" s="353" t="s">
        <v>812</v>
      </c>
      <c r="B9" s="354"/>
      <c r="C9" s="1525">
        <f>'Hist IS and Proj'!D32</f>
        <v>0</v>
      </c>
      <c r="D9" s="1526"/>
      <c r="E9" s="1525">
        <f>'Hist IS and Proj'!F32</f>
        <v>0</v>
      </c>
      <c r="F9" s="1526"/>
      <c r="G9" s="1525">
        <f>'Hist IS and Proj'!H32</f>
        <v>0</v>
      </c>
      <c r="H9" s="1526"/>
      <c r="I9" s="1525">
        <f>'Hist IS and Proj'!J32</f>
        <v>0</v>
      </c>
      <c r="J9" s="1526"/>
      <c r="K9" s="1525">
        <f>'Hist IS and Proj'!T32</f>
        <v>0</v>
      </c>
      <c r="L9" s="1526"/>
      <c r="M9" s="1527">
        <f>'Hist IS and Proj'!V32</f>
        <v>0</v>
      </c>
      <c r="N9" s="1526"/>
      <c r="O9" s="1525">
        <f>'Hist IS and Proj'!X32</f>
        <v>0</v>
      </c>
      <c r="P9" s="1526"/>
      <c r="Q9" s="1525">
        <f>'Hist IS and Proj'!Z32</f>
        <v>0</v>
      </c>
      <c r="R9" s="273"/>
      <c r="U9" s="2901"/>
      <c r="V9" s="2901"/>
      <c r="W9" s="2901"/>
    </row>
    <row r="10" spans="1:23" ht="16">
      <c r="A10" s="353" t="s">
        <v>813</v>
      </c>
      <c r="B10" s="354"/>
      <c r="C10" s="1525"/>
      <c r="D10" s="1526"/>
      <c r="E10" s="1525"/>
      <c r="F10" s="1526"/>
      <c r="G10" s="1525"/>
      <c r="H10" s="1526"/>
      <c r="I10" s="1525"/>
      <c r="J10" s="1526"/>
      <c r="K10" s="1525"/>
      <c r="L10" s="1526"/>
      <c r="M10" s="1527"/>
      <c r="N10" s="1526"/>
      <c r="O10" s="1525"/>
      <c r="P10" s="1526"/>
      <c r="Q10" s="1525"/>
      <c r="R10" s="273"/>
      <c r="U10" s="2776"/>
      <c r="V10" s="2776"/>
      <c r="W10" s="2776"/>
    </row>
    <row r="11" spans="1:23" ht="17.5" customHeight="1">
      <c r="A11" s="353" t="s">
        <v>814</v>
      </c>
      <c r="B11" s="354"/>
      <c r="C11" s="1525">
        <f>'Hist IS and Proj'!D61</f>
        <v>0</v>
      </c>
      <c r="D11" s="1526"/>
      <c r="E11" s="1525">
        <f>'Hist IS and Proj'!F61</f>
        <v>0</v>
      </c>
      <c r="F11" s="1526"/>
      <c r="G11" s="1525">
        <f>'Hist IS and Proj'!H61</f>
        <v>0</v>
      </c>
      <c r="H11" s="1526"/>
      <c r="I11" s="1525">
        <f>'Hist IS and Proj'!J61</f>
        <v>0</v>
      </c>
      <c r="J11" s="1526"/>
      <c r="K11" s="1525">
        <f>'Hist IS and Proj'!T61</f>
        <v>0</v>
      </c>
      <c r="L11" s="1526"/>
      <c r="M11" s="1527">
        <f>'Hist IS and Proj'!V61</f>
        <v>0</v>
      </c>
      <c r="N11" s="1526"/>
      <c r="O11" s="1525">
        <f>'Hist IS and Proj'!X61</f>
        <v>0</v>
      </c>
      <c r="P11" s="1526"/>
      <c r="Q11" s="1525">
        <f>'Hist IS and Proj'!Z61</f>
        <v>0</v>
      </c>
      <c r="R11" s="273"/>
      <c r="U11" s="2776"/>
      <c r="V11" s="2776"/>
      <c r="W11" s="2776"/>
    </row>
    <row r="12" spans="1:23" ht="16">
      <c r="A12" s="353" t="s">
        <v>815</v>
      </c>
      <c r="B12" s="354"/>
      <c r="C12" s="1525"/>
      <c r="D12" s="1526"/>
      <c r="E12" s="1525"/>
      <c r="F12" s="1526"/>
      <c r="G12" s="1525"/>
      <c r="H12" s="1526"/>
      <c r="I12" s="1525"/>
      <c r="J12" s="1526"/>
      <c r="K12" s="1525"/>
      <c r="L12" s="1526"/>
      <c r="M12" s="1527"/>
      <c r="N12" s="1526"/>
      <c r="O12" s="1525"/>
      <c r="P12" s="1526"/>
      <c r="Q12" s="1525"/>
      <c r="R12" s="273"/>
      <c r="U12" s="2776"/>
      <c r="V12" s="2776"/>
      <c r="W12" s="2776"/>
    </row>
    <row r="13" spans="1:23" ht="16">
      <c r="A13" s="353" t="s">
        <v>816</v>
      </c>
      <c r="B13" s="354"/>
      <c r="C13" s="1528">
        <f>'Hist IS and Proj'!D26</f>
        <v>0</v>
      </c>
      <c r="D13" s="1529"/>
      <c r="E13" s="1528">
        <f>'Hist IS and Proj'!F26</f>
        <v>0</v>
      </c>
      <c r="F13" s="1529"/>
      <c r="G13" s="1528">
        <f>'Hist IS and Proj'!H26</f>
        <v>0</v>
      </c>
      <c r="H13" s="1529"/>
      <c r="I13" s="1528">
        <f>'Hist IS and Proj'!J26</f>
        <v>0</v>
      </c>
      <c r="J13" s="1529"/>
      <c r="K13" s="1525">
        <f>'Hist IS and Proj'!T26</f>
        <v>0</v>
      </c>
      <c r="L13" s="1529"/>
      <c r="M13" s="1525">
        <f>'Hist IS and Proj'!V26</f>
        <v>0</v>
      </c>
      <c r="N13" s="1529"/>
      <c r="O13" s="1525">
        <f>'Hist IS and Proj'!X26</f>
        <v>0</v>
      </c>
      <c r="P13" s="1529"/>
      <c r="Q13" s="1525">
        <f>'Hist IS and Proj'!Z26</f>
        <v>0</v>
      </c>
      <c r="R13" s="275"/>
      <c r="U13" s="6"/>
      <c r="V13" s="6"/>
      <c r="W13" s="6"/>
    </row>
    <row r="14" spans="1:23" ht="16">
      <c r="A14" s="353" t="s">
        <v>817</v>
      </c>
      <c r="B14" s="354"/>
      <c r="C14" s="1530"/>
      <c r="D14" s="1529"/>
      <c r="E14" s="1530"/>
      <c r="F14" s="1529"/>
      <c r="G14" s="1530"/>
      <c r="H14" s="1529"/>
      <c r="I14" s="1530"/>
      <c r="J14" s="1529"/>
      <c r="K14" s="1525"/>
      <c r="L14" s="1529"/>
      <c r="M14" s="1527"/>
      <c r="N14" s="1529"/>
      <c r="O14" s="1525"/>
      <c r="P14" s="1529"/>
      <c r="Q14" s="1525"/>
      <c r="R14" s="275"/>
      <c r="U14" s="6"/>
      <c r="V14" s="6"/>
      <c r="W14" s="6"/>
    </row>
    <row r="15" spans="1:23" ht="16">
      <c r="A15" s="353" t="s">
        <v>817</v>
      </c>
      <c r="B15" s="354"/>
      <c r="C15" s="1528"/>
      <c r="D15" s="1529"/>
      <c r="E15" s="1525"/>
      <c r="F15" s="1529"/>
      <c r="G15" s="1525"/>
      <c r="H15" s="1529"/>
      <c r="I15" s="1525"/>
      <c r="J15" s="1529"/>
      <c r="K15" s="1525"/>
      <c r="L15" s="1529"/>
      <c r="M15" s="1527"/>
      <c r="N15" s="1529"/>
      <c r="O15" s="1525"/>
      <c r="P15" s="1529"/>
      <c r="Q15" s="1525"/>
      <c r="R15" s="275"/>
      <c r="U15" s="6"/>
      <c r="V15" s="6"/>
      <c r="W15" s="6"/>
    </row>
    <row r="16" spans="1:23" ht="17" thickBot="1">
      <c r="A16" s="353" t="s">
        <v>817</v>
      </c>
      <c r="B16" s="354"/>
      <c r="C16" s="1531"/>
      <c r="D16" s="1529"/>
      <c r="E16" s="1525"/>
      <c r="F16" s="1529"/>
      <c r="G16" s="1525"/>
      <c r="H16" s="1529"/>
      <c r="I16" s="1525"/>
      <c r="J16" s="1529"/>
      <c r="K16" s="1525"/>
      <c r="L16" s="1529"/>
      <c r="M16" s="1532"/>
      <c r="N16" s="1529"/>
      <c r="O16" s="1525"/>
      <c r="P16" s="1529"/>
      <c r="Q16" s="1525"/>
      <c r="R16" s="275"/>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4">
        <f>SUM(O7:O16)</f>
        <v>0</v>
      </c>
      <c r="P17" s="1537"/>
      <c r="Q17" s="1533">
        <f>SUM(Q7:Q16)</f>
        <v>0</v>
      </c>
      <c r="R17" s="288"/>
      <c r="U17" s="6"/>
      <c r="V17" s="6"/>
      <c r="W17" s="6"/>
    </row>
    <row r="18" spans="1:23" ht="16">
      <c r="A18" s="353" t="s">
        <v>819</v>
      </c>
      <c r="B18" s="1056"/>
      <c r="C18" s="1525">
        <f>C11</f>
        <v>0</v>
      </c>
      <c r="D18" s="1538"/>
      <c r="E18" s="1525">
        <f>E11</f>
        <v>0</v>
      </c>
      <c r="F18" s="1538"/>
      <c r="G18" s="1525">
        <f>G11</f>
        <v>0</v>
      </c>
      <c r="H18" s="1538"/>
      <c r="I18" s="1525">
        <f>I11</f>
        <v>0</v>
      </c>
      <c r="J18" s="1538"/>
      <c r="K18" s="1525">
        <f>K11</f>
        <v>0</v>
      </c>
      <c r="L18" s="1538"/>
      <c r="M18" s="1539">
        <f>M11</f>
        <v>0</v>
      </c>
      <c r="N18" s="1538"/>
      <c r="O18" s="1539">
        <f>O11</f>
        <v>0</v>
      </c>
      <c r="P18" s="1538"/>
      <c r="Q18" s="1525">
        <f>Q11</f>
        <v>0</v>
      </c>
      <c r="R18" s="276"/>
      <c r="U18" s="6"/>
      <c r="V18" s="6"/>
      <c r="W18" s="6"/>
    </row>
    <row r="19" spans="1:23" ht="16">
      <c r="A19" s="353" t="s">
        <v>820</v>
      </c>
      <c r="B19" s="354"/>
      <c r="C19" s="1525"/>
      <c r="D19" s="1526"/>
      <c r="E19" s="1525"/>
      <c r="F19" s="1526"/>
      <c r="G19" s="1525"/>
      <c r="H19" s="1526"/>
      <c r="I19" s="1525"/>
      <c r="J19" s="1526"/>
      <c r="K19" s="1525"/>
      <c r="L19" s="1526"/>
      <c r="M19" s="1527"/>
      <c r="N19" s="1526"/>
      <c r="O19" s="1527"/>
      <c r="P19" s="1526"/>
      <c r="Q19" s="1525"/>
      <c r="R19" s="273"/>
      <c r="U19" s="6"/>
      <c r="V19" s="6"/>
      <c r="W19" s="6"/>
    </row>
    <row r="20" spans="1:23" ht="16">
      <c r="A20" s="353" t="s">
        <v>821</v>
      </c>
      <c r="B20" s="354"/>
      <c r="C20" s="1525"/>
      <c r="D20" s="1526"/>
      <c r="E20" s="1525"/>
      <c r="F20" s="1526"/>
      <c r="G20" s="1525"/>
      <c r="H20" s="1526"/>
      <c r="I20" s="1525"/>
      <c r="J20" s="1526"/>
      <c r="K20" s="1525"/>
      <c r="L20" s="1526"/>
      <c r="M20" s="1527"/>
      <c r="N20" s="1526"/>
      <c r="O20" s="1527"/>
      <c r="P20" s="1526"/>
      <c r="Q20" s="1525"/>
      <c r="R20" s="273"/>
      <c r="U20" s="6"/>
      <c r="V20" s="6"/>
      <c r="W20" s="6"/>
    </row>
    <row r="21" spans="1:23" ht="16">
      <c r="A21" s="353" t="s">
        <v>822</v>
      </c>
      <c r="B21" s="354"/>
      <c r="C21" s="1525">
        <f>('Per Need 1'!$D$44+'Per Need 2'!$D$44+'Per Need 3'!$D$44+'Per Need 4'!$D$44)/12*C5</f>
        <v>0</v>
      </c>
      <c r="D21" s="1526"/>
      <c r="E21" s="1525">
        <f>('Per Need 1'!$D$44+'Per Need 2'!$D$44+'Per Need 3'!$D$44+'Per Need 4'!$D$44)/12*E5</f>
        <v>0</v>
      </c>
      <c r="F21" s="1526"/>
      <c r="G21" s="1525">
        <f>('Per Need 1'!$D$44+'Per Need 2'!$D$44+'Per Need 3'!$D$44+'Per Need 4'!$D$44)/12*G5</f>
        <v>0</v>
      </c>
      <c r="H21" s="1526"/>
      <c r="I21" s="1525" t="e">
        <f>('Per Need 1'!$D$44+'Per Need 2'!$D$44+'Per Need 3'!$D$44+'Per Need 4'!$D$44)/12*I5</f>
        <v>#REF!</v>
      </c>
      <c r="J21" s="1526"/>
      <c r="K21" s="1525">
        <f>('Per Need 1'!$D$44+'Per Need 2'!$D$44+'Per Need 3'!$D$44+'Per Need 4'!$D$44)/12*K5</f>
        <v>0</v>
      </c>
      <c r="L21" s="1526"/>
      <c r="M21" s="1525">
        <f>('Per Need 1'!$D$44+'Per Need 2'!$D$44+'Per Need 3'!$D$44+'Per Need 4'!$D$44)/12*M5</f>
        <v>0</v>
      </c>
      <c r="N21" s="1526"/>
      <c r="O21" s="1525">
        <f>('Per Need 1'!$D$44+'Per Need 2'!$D$44+'Per Need 3'!$D$44+'Per Need 4'!$D$44)/12*O5</f>
        <v>0</v>
      </c>
      <c r="P21" s="1526"/>
      <c r="Q21" s="1525">
        <f>('Per Need 1'!$D$44+'Per Need 2'!$D$44+'Per Need 3'!$D$44+'Per Need 4'!$D$44)/12*Q5</f>
        <v>0</v>
      </c>
      <c r="R21" s="273"/>
      <c r="U21" s="6"/>
      <c r="V21" s="6"/>
      <c r="W21" s="6"/>
    </row>
    <row r="22" spans="1:23" ht="16">
      <c r="A22" s="353" t="s">
        <v>823</v>
      </c>
      <c r="B22" s="354"/>
      <c r="C22" s="1525"/>
      <c r="D22" s="1529"/>
      <c r="E22" s="1525"/>
      <c r="F22" s="1529"/>
      <c r="G22" s="1525"/>
      <c r="H22" s="1529"/>
      <c r="I22" s="1525"/>
      <c r="J22" s="1529"/>
      <c r="K22" s="1525"/>
      <c r="L22" s="1529"/>
      <c r="M22" s="1527"/>
      <c r="N22" s="1529"/>
      <c r="O22" s="1527"/>
      <c r="P22" s="1529"/>
      <c r="Q22" s="1525"/>
      <c r="R22" s="275"/>
      <c r="U22" s="6"/>
      <c r="V22" s="6"/>
      <c r="W22" s="6"/>
    </row>
    <row r="23" spans="1:23" ht="16">
      <c r="A23" s="353" t="s">
        <v>824</v>
      </c>
      <c r="B23" s="354"/>
      <c r="C23" s="1525">
        <v>0</v>
      </c>
      <c r="D23" s="1529"/>
      <c r="E23" s="1525"/>
      <c r="F23" s="1529"/>
      <c r="G23" s="1525"/>
      <c r="H23" s="1529"/>
      <c r="I23" s="1525"/>
      <c r="J23" s="1529"/>
      <c r="K23" s="1525"/>
      <c r="L23" s="1529"/>
      <c r="M23" s="1527"/>
      <c r="N23" s="1529"/>
      <c r="O23" s="1527"/>
      <c r="P23" s="1529"/>
      <c r="Q23" s="1525"/>
      <c r="R23" s="275"/>
      <c r="U23" s="6"/>
      <c r="V23" s="6"/>
      <c r="W23" s="6"/>
    </row>
    <row r="24" spans="1:23" ht="16">
      <c r="A24" s="353" t="s">
        <v>825</v>
      </c>
      <c r="B24" s="354"/>
      <c r="C24" s="1525"/>
      <c r="D24" s="1529"/>
      <c r="E24" s="1525"/>
      <c r="F24" s="1529"/>
      <c r="G24" s="1525"/>
      <c r="H24" s="1529"/>
      <c r="I24" s="1525"/>
      <c r="J24" s="1529"/>
      <c r="K24" s="1525"/>
      <c r="L24" s="1529"/>
      <c r="M24" s="1527"/>
      <c r="N24" s="1529"/>
      <c r="O24" s="1527"/>
      <c r="P24" s="1529"/>
      <c r="Q24" s="1525"/>
      <c r="R24" s="275"/>
      <c r="U24" s="6"/>
      <c r="V24" s="6"/>
      <c r="W24" s="6"/>
    </row>
    <row r="25" spans="1:23" ht="17" thickBot="1">
      <c r="A25" s="353" t="s">
        <v>825</v>
      </c>
      <c r="B25" s="355"/>
      <c r="C25" s="1525"/>
      <c r="D25" s="1540"/>
      <c r="E25" s="1525"/>
      <c r="F25" s="1540"/>
      <c r="G25" s="1525"/>
      <c r="H25" s="1540"/>
      <c r="I25" s="1525"/>
      <c r="J25" s="1540"/>
      <c r="K25" s="1525"/>
      <c r="L25" s="1540"/>
      <c r="M25" s="1532"/>
      <c r="N25" s="1540"/>
      <c r="O25" s="1532"/>
      <c r="P25" s="1540"/>
      <c r="Q25" s="1525"/>
      <c r="R25" s="277"/>
      <c r="U25" s="6"/>
      <c r="V25" s="6"/>
      <c r="W25" s="6"/>
    </row>
    <row r="26" spans="1:23" ht="17" thickBot="1">
      <c r="A26" s="2903" t="s">
        <v>259</v>
      </c>
      <c r="B26" s="2904"/>
      <c r="C26" s="1533">
        <f>+C17-SUM(C18:C25)</f>
        <v>0</v>
      </c>
      <c r="D26" s="1534"/>
      <c r="E26" s="1535">
        <f>+E17-SUM(E18:E25)</f>
        <v>0</v>
      </c>
      <c r="F26" s="1534"/>
      <c r="G26" s="1535">
        <f>+G17-SUM(G18:G25)</f>
        <v>0</v>
      </c>
      <c r="H26" s="1534"/>
      <c r="I26" s="1535" t="e">
        <f>+I17-SUM(I18:I25)</f>
        <v>#REF!</v>
      </c>
      <c r="J26" s="1534"/>
      <c r="K26" s="1535">
        <f>+K17-SUM(K18:K25)</f>
        <v>0</v>
      </c>
      <c r="L26" s="1534"/>
      <c r="M26" s="1535">
        <f>+M17-SUM(M18:M25)</f>
        <v>0</v>
      </c>
      <c r="N26" s="1536"/>
      <c r="O26" s="1535">
        <f>+O17-SUM(O18:O25)</f>
        <v>0</v>
      </c>
      <c r="P26" s="1536"/>
      <c r="Q26" s="1535">
        <f>+Q17-SUM(Q18:Q25)</f>
        <v>0</v>
      </c>
      <c r="R26" s="288"/>
      <c r="U26" s="6"/>
      <c r="V26" s="6"/>
      <c r="W26" s="6"/>
    </row>
    <row r="27" spans="1:23" ht="16">
      <c r="A27" s="278" t="s">
        <v>231</v>
      </c>
      <c r="B27" s="1057"/>
      <c r="C27" s="1541">
        <f>Table1[[#Totals],[CF Debt Svc]]*C5</f>
        <v>0</v>
      </c>
      <c r="D27" s="1542"/>
      <c r="E27" s="1541">
        <f>Table1[[#Totals],[CF Debt Svc]]*E5</f>
        <v>0</v>
      </c>
      <c r="F27" s="1542"/>
      <c r="G27" s="1541">
        <f>Table1[[#Totals],[CF Debt Svc]]*G5</f>
        <v>0</v>
      </c>
      <c r="H27" s="1542"/>
      <c r="I27" s="1541" t="e">
        <f>Table1[[#Totals],[CF Debt Svc]]*I5</f>
        <v>#REF!</v>
      </c>
      <c r="J27" s="1542"/>
      <c r="K27" s="1541">
        <f>Table1[[#Totals],[CF Debt Svc]]*K5</f>
        <v>0</v>
      </c>
      <c r="L27" s="1542"/>
      <c r="M27" s="1541">
        <f>Table1[[#Totals],[CF Debt Svc]]*M5</f>
        <v>0</v>
      </c>
      <c r="N27" s="1542"/>
      <c r="O27" s="1541">
        <f>Table1[[#Totals],[CF Debt Svc]]*O5</f>
        <v>0</v>
      </c>
      <c r="P27" s="1543"/>
      <c r="Q27" s="1541">
        <f>Table1[[#Totals],[CF Debt Svc]]*Q5</f>
        <v>0</v>
      </c>
      <c r="R27" s="303"/>
    </row>
    <row r="28" spans="1:23" ht="17.5" customHeight="1">
      <c r="A28" s="278" t="s">
        <v>232</v>
      </c>
      <c r="B28" s="1057"/>
      <c r="C28" s="1526">
        <f>IFERROR(INDEX('Pmt Calcs'!$J$4:$J$6,MATCH('Wksht Print Separately'!$C$25,'Pmt Calcs'!$A$4:$A$6,0))*C$5,0)</f>
        <v>0</v>
      </c>
      <c r="D28" s="1542"/>
      <c r="E28" s="1526">
        <f>IFERROR(INDEX('Pmt Calcs'!$J$4:$J$6,MATCH('Wksht Print Separately'!$C$25,'Pmt Calcs'!$A$4:$A$6,0))*E$5,0)</f>
        <v>0</v>
      </c>
      <c r="F28" s="1542"/>
      <c r="G28" s="1526">
        <f>IFERROR(INDEX('Pmt Calcs'!$J$4:$J$6,MATCH('Wksht Print Separately'!$C$25,'Pmt Calcs'!$A$4:$A$6,0))*G$5,0)</f>
        <v>0</v>
      </c>
      <c r="H28" s="1542"/>
      <c r="I28" s="1526">
        <f>IFERROR(INDEX('Pmt Calcs'!$J$4:$J$6,MATCH('Wksht Print Separately'!$C$25,'Pmt Calcs'!$A$4:$A$6,0))*I$5,0)</f>
        <v>0</v>
      </c>
      <c r="J28" s="1542"/>
      <c r="K28" s="1526">
        <f>IFERROR(INDEX('Pmt Calcs'!$J$4:$J$6,MATCH('Wksht Print Separately'!$C$25,'Pmt Calcs'!$A$4:$A$6,0))*K$5,0)</f>
        <v>0</v>
      </c>
      <c r="L28" s="1542"/>
      <c r="M28" s="1526">
        <f>IFERROR(INDEX('Pmt Calcs'!$J$4:$J$6,MATCH('Wksht Print Separately'!$C$25,'Pmt Calcs'!$A$4:$A$6,0))*M$5,0)</f>
        <v>0</v>
      </c>
      <c r="N28" s="1542"/>
      <c r="O28" s="1526">
        <f>IFERROR(INDEX('Pmt Calcs'!$J$4:$J$6,MATCH('Wksht Print Separately'!$C$25,'Pmt Calcs'!$A$4:$A$6,0))*O$5,0)</f>
        <v>0</v>
      </c>
      <c r="P28" s="1542"/>
      <c r="Q28" s="1526">
        <f>IFERROR(INDEX('Pmt Calcs'!$J$4:$J$6,MATCH('Wksht Print Separately'!$C$25,'Pmt Calcs'!$A$4:$A$6,0))*Q$5,0)</f>
        <v>0</v>
      </c>
      <c r="R28" s="304"/>
    </row>
    <row r="29" spans="1:23" ht="17.5" customHeight="1">
      <c r="A29" s="278" t="s">
        <v>233</v>
      </c>
      <c r="B29" s="1057"/>
      <c r="C29" s="1526">
        <f>IFERROR(INDEX('Pmt Calcs'!$J$35:$J$37,MATCH('Wksht Print Separately'!$C$70,'Pmt Calcs'!$A$35:$A$37,0))*C$5,0)</f>
        <v>0</v>
      </c>
      <c r="D29" s="1542"/>
      <c r="E29" s="1526">
        <f>IFERROR(INDEX('Pmt Calcs'!$J$35:$J$37,MATCH('Wksht Print Separately'!$C$70,'Pmt Calcs'!$A$35:$A$37,0))*E5,0)</f>
        <v>0</v>
      </c>
      <c r="F29" s="1542"/>
      <c r="G29" s="1526">
        <f>IFERROR(INDEX('Pmt Calcs'!$J$35:$J$37,MATCH('Wksht Print Separately'!$C$70,'Pmt Calcs'!$A$35:$A$37,0))*G5,0)</f>
        <v>0</v>
      </c>
      <c r="H29" s="1542"/>
      <c r="I29" s="1526">
        <f>IFERROR(INDEX('Pmt Calcs'!$J$35:$J$37,MATCH('Wksht Print Separately'!$C$70,'Pmt Calcs'!$A$35:$A$37,0))*I5,0)</f>
        <v>0</v>
      </c>
      <c r="J29" s="1542"/>
      <c r="K29" s="1526">
        <f>IFERROR(INDEX('Pmt Calcs'!$J$35:$J$37,MATCH('Wksht Print Separately'!$C$70,'Pmt Calcs'!$A$35:$A$37,0))*K5,0)</f>
        <v>0</v>
      </c>
      <c r="L29" s="1542"/>
      <c r="M29" s="1526">
        <f>IFERROR(INDEX('Pmt Calcs'!$J$35:$J$37,MATCH('Wksht Print Separately'!$C$70,'Pmt Calcs'!$A$35:$A$37,0))*M5,0)</f>
        <v>0</v>
      </c>
      <c r="N29" s="1542"/>
      <c r="O29" s="1526">
        <f>IFERROR(INDEX('Pmt Calcs'!$J$35:$J$37,MATCH('Wksht Print Separately'!$C$70,'Pmt Calcs'!$A$35:$A$37,0))*O5,0)</f>
        <v>0</v>
      </c>
      <c r="P29" s="1542"/>
      <c r="Q29" s="1526">
        <f>IFERROR(INDEX('Pmt Calcs'!$J$35:$J$37,MATCH('Wksht Print Separately'!$C$70,'Pmt Calcs'!$A$35:$A$37,0))*Q5,0)</f>
        <v>0</v>
      </c>
      <c r="R29" s="304"/>
    </row>
    <row r="30" spans="1:23" ht="17.5" customHeight="1">
      <c r="A30" s="278" t="s">
        <v>234</v>
      </c>
      <c r="B30" s="1057"/>
      <c r="C30" s="1529">
        <f>(UOP!$K$86+'UOP (2)'!$K$86)*C5</f>
        <v>0</v>
      </c>
      <c r="D30" s="1542"/>
      <c r="E30" s="1529">
        <f>(UOP!$K$86+'UOP (2)'!$K$86)*E5</f>
        <v>0</v>
      </c>
      <c r="F30" s="1542"/>
      <c r="G30" s="1529">
        <f>(UOP!$K$86+'UOP (2)'!$K$86)*G5</f>
        <v>0</v>
      </c>
      <c r="H30" s="1542"/>
      <c r="I30" s="1529" t="e">
        <f>(UOP!$K$86+'UOP (2)'!$K$86)*I5</f>
        <v>#REF!</v>
      </c>
      <c r="J30" s="1542"/>
      <c r="K30" s="1529">
        <f>(UOP!$K$86+'UOP (2)'!$K$86)*K5</f>
        <v>0</v>
      </c>
      <c r="L30" s="1542"/>
      <c r="M30" s="1529">
        <f>(UOP!$K$86+'UOP (2)'!$K$86)*M5</f>
        <v>0</v>
      </c>
      <c r="N30" s="1542"/>
      <c r="O30" s="1529">
        <f>(UOP!$K$86+'UOP (2)'!$K$86)*O5</f>
        <v>0</v>
      </c>
      <c r="P30" s="1542"/>
      <c r="Q30" s="1529">
        <f>(UOP!$K$86+'UOP (2)'!$K$86)*Q5</f>
        <v>0</v>
      </c>
      <c r="R30" s="304"/>
    </row>
    <row r="31" spans="1:23" ht="16">
      <c r="A31" s="274" t="s">
        <v>235</v>
      </c>
      <c r="B31" s="356"/>
      <c r="C31" s="1529">
        <f>(UOP!$K$89+'UOP (2)'!$K$89)*C5</f>
        <v>0</v>
      </c>
      <c r="D31" s="1543"/>
      <c r="E31" s="1529">
        <f>(UOP!$K$89+'UOP (2)'!$K$89)*E5</f>
        <v>0</v>
      </c>
      <c r="F31" s="1543"/>
      <c r="G31" s="1529">
        <f>(UOP!$K$89+'UOP (2)'!$K$89)*G5</f>
        <v>0</v>
      </c>
      <c r="H31" s="1543"/>
      <c r="I31" s="1529" t="e">
        <f>(UOP!$K$89+'UOP (2)'!$K$89)*I5</f>
        <v>#REF!</v>
      </c>
      <c r="J31" s="1543"/>
      <c r="K31" s="1529">
        <f>(UOP!$K$89+'UOP (2)'!$K$89)*K5</f>
        <v>0</v>
      </c>
      <c r="L31" s="1543"/>
      <c r="M31" s="1529">
        <f>(UOP!$K$89+'UOP (2)'!$K$89)*M5</f>
        <v>0</v>
      </c>
      <c r="N31" s="1543"/>
      <c r="O31" s="1529">
        <f>(UOP!$K$89+'UOP (2)'!$K$89)*O5</f>
        <v>0</v>
      </c>
      <c r="P31" s="1529"/>
      <c r="Q31" s="1529">
        <f>(UOP!$K$89+'UOP (2)'!$K$89)*Q5</f>
        <v>0</v>
      </c>
      <c r="R31" s="301"/>
    </row>
    <row r="32" spans="1:23" ht="16">
      <c r="A32" s="274" t="s">
        <v>236</v>
      </c>
      <c r="B32" s="356"/>
      <c r="C32" s="1529">
        <f>(UOP!$K$92+'UOP (2)'!$K$92)*C5</f>
        <v>0</v>
      </c>
      <c r="D32" s="1543"/>
      <c r="E32" s="1529">
        <f>(UOP!$K$92+'UOP (2)'!$K$92)*E5</f>
        <v>0</v>
      </c>
      <c r="F32" s="1543"/>
      <c r="G32" s="1529">
        <f>(UOP!$K$92+'UOP (2)'!$K$92)*G5</f>
        <v>0</v>
      </c>
      <c r="H32" s="1543"/>
      <c r="I32" s="1529" t="e">
        <f>(UOP!$K$92+'UOP (2)'!$K$92)*I5</f>
        <v>#REF!</v>
      </c>
      <c r="J32" s="1543"/>
      <c r="K32" s="1529">
        <f>(UOP!$K$92+'UOP (2)'!$K$92)*K5</f>
        <v>0</v>
      </c>
      <c r="L32" s="1543"/>
      <c r="M32" s="1529">
        <f>(UOP!$K$92+'UOP (2)'!$K$92)*M5</f>
        <v>0</v>
      </c>
      <c r="N32" s="1543"/>
      <c r="O32" s="1529">
        <f>(UOP!$K$92+'UOP (2)'!$K$92)*O5</f>
        <v>0</v>
      </c>
      <c r="P32" s="1529"/>
      <c r="Q32" s="1529">
        <f>(UOP!$K$92+'UOP (2)'!$K$92)*Q5</f>
        <v>0</v>
      </c>
      <c r="R32" s="301"/>
    </row>
    <row r="33" spans="1:23" ht="17" thickBot="1">
      <c r="A33" s="274" t="s">
        <v>228</v>
      </c>
      <c r="B33" s="356"/>
      <c r="C33" s="1544"/>
      <c r="D33" s="1543"/>
      <c r="E33" s="1544"/>
      <c r="F33" s="1543"/>
      <c r="G33" s="1544"/>
      <c r="H33" s="1543"/>
      <c r="I33" s="1544"/>
      <c r="J33" s="1543"/>
      <c r="K33" s="1544"/>
      <c r="L33" s="1543"/>
      <c r="M33" s="1544"/>
      <c r="N33" s="1543"/>
      <c r="O33" s="1544"/>
      <c r="P33" s="1545"/>
      <c r="Q33" s="1544"/>
      <c r="R33" s="48"/>
    </row>
    <row r="34" spans="1:23" ht="17" thickBot="1">
      <c r="A34" s="2903" t="s">
        <v>826</v>
      </c>
      <c r="B34" s="2904"/>
      <c r="C34" s="1546">
        <f>SUM(C27:C33)</f>
        <v>0</v>
      </c>
      <c r="D34" s="1547"/>
      <c r="E34" s="1536">
        <f>SUM(E27:E33)</f>
        <v>0</v>
      </c>
      <c r="F34" s="1547"/>
      <c r="G34" s="1536">
        <f>SUM(G27:G33)</f>
        <v>0</v>
      </c>
      <c r="H34" s="1547"/>
      <c r="I34" s="1536" t="e">
        <f>SUM(I27:I33)</f>
        <v>#REF!</v>
      </c>
      <c r="J34" s="1547"/>
      <c r="K34" s="1536">
        <f>SUM(K27:K33)</f>
        <v>0</v>
      </c>
      <c r="L34" s="1547"/>
      <c r="M34" s="1536">
        <f>SUM(M27:M33)</f>
        <v>0</v>
      </c>
      <c r="N34" s="1547"/>
      <c r="O34" s="1546">
        <f>SUM(O27:O33)</f>
        <v>0</v>
      </c>
      <c r="P34" s="1547"/>
      <c r="Q34" s="1536">
        <f>SUM(Q27:Q33)</f>
        <v>0</v>
      </c>
      <c r="R34" s="1206"/>
      <c r="U34" s="874"/>
      <c r="V34" s="874"/>
      <c r="W34" s="874"/>
    </row>
    <row r="35" spans="1:23" ht="16">
      <c r="A35" s="280" t="s">
        <v>827</v>
      </c>
      <c r="B35" s="1058"/>
      <c r="C35" s="1548">
        <f>+C26-C34</f>
        <v>0</v>
      </c>
      <c r="D35" s="1538"/>
      <c r="E35" s="1548">
        <f>+E26-E34</f>
        <v>0</v>
      </c>
      <c r="F35" s="1538"/>
      <c r="G35" s="1548">
        <f>+G26-G34</f>
        <v>0</v>
      </c>
      <c r="H35" s="1538"/>
      <c r="I35" s="1548" t="e">
        <f>+I26-I34</f>
        <v>#REF!</v>
      </c>
      <c r="J35" s="1538"/>
      <c r="K35" s="1548">
        <f>+K26-K34</f>
        <v>0</v>
      </c>
      <c r="L35" s="1538"/>
      <c r="M35" s="1548">
        <f>+M26-M34</f>
        <v>0</v>
      </c>
      <c r="N35" s="1549"/>
      <c r="O35" s="1548">
        <f>+O26-O34</f>
        <v>0</v>
      </c>
      <c r="P35" s="1538"/>
      <c r="Q35" s="1548">
        <f>+Q26-Q34</f>
        <v>0</v>
      </c>
      <c r="R35" s="1206"/>
    </row>
    <row r="36" spans="1:23" ht="15" customHeight="1">
      <c r="A36" s="236" t="s">
        <v>238</v>
      </c>
      <c r="B36" s="1053"/>
      <c r="C36" s="289">
        <f>IF(C$34=0,0,+C$26/C34)</f>
        <v>0</v>
      </c>
      <c r="D36" s="290"/>
      <c r="E36" s="289">
        <f>IF(E34=0,0,+E$26/E34)</f>
        <v>0</v>
      </c>
      <c r="F36" s="290"/>
      <c r="G36" s="289">
        <f>IF(G34=0,0,+G$26/G34)</f>
        <v>0</v>
      </c>
      <c r="H36" s="290"/>
      <c r="I36" s="289" t="e">
        <f>IF(I34=0,0,+I$26/I34)</f>
        <v>#REF!</v>
      </c>
      <c r="J36" s="290"/>
      <c r="K36" s="289">
        <f>IF(K34=0,0,+K$26/K34)</f>
        <v>0</v>
      </c>
      <c r="L36" s="290"/>
      <c r="M36" s="289">
        <f>IF(M34=0,0,+M$26/M34)</f>
        <v>0</v>
      </c>
      <c r="N36" s="290"/>
      <c r="O36" s="289">
        <f>IF(O34=0,0,+O$26/O34)</f>
        <v>0</v>
      </c>
      <c r="P36" s="290"/>
      <c r="Q36" s="289">
        <f>IF(Q34=0,0,+Q$26/Q34)</f>
        <v>0</v>
      </c>
      <c r="R36" s="1207"/>
    </row>
    <row r="37" spans="1:23" ht="15" customHeight="1" outlineLevel="1">
      <c r="A37" s="236"/>
      <c r="B37" s="1053"/>
      <c r="C37" s="306"/>
      <c r="D37" s="287"/>
      <c r="E37" s="306"/>
      <c r="F37" s="287"/>
      <c r="G37" s="306"/>
      <c r="H37" s="287"/>
      <c r="I37" s="306"/>
      <c r="J37" s="287"/>
      <c r="K37" s="306"/>
      <c r="L37" s="287"/>
      <c r="M37" s="306"/>
      <c r="N37" s="287"/>
      <c r="O37" s="306"/>
      <c r="P37" s="287"/>
      <c r="Q37" s="306"/>
      <c r="R37" s="1207"/>
    </row>
    <row r="38" spans="1:23" ht="15" customHeight="1" outlineLevel="1">
      <c r="A38" s="233" t="s">
        <v>828</v>
      </c>
      <c r="B38" s="246"/>
      <c r="C38" s="1550">
        <f>+C$26-C39-C40-C$27-C$30-C$31-C$32-C$33</f>
        <v>0</v>
      </c>
      <c r="D38" s="1526"/>
      <c r="E38" s="1550">
        <f>+E$26-E39-E40-E$27-E$30-E$31-E$32-E$33</f>
        <v>0</v>
      </c>
      <c r="F38" s="1526"/>
      <c r="G38" s="1550">
        <f>+G$26-G39-G40-G$27-G$30-G$31-G$32-G$33</f>
        <v>0</v>
      </c>
      <c r="H38" s="1526"/>
      <c r="I38" s="1550" t="e">
        <f>+I$26-I39-I40-I$27-I$30-I$31-I$32-I$33</f>
        <v>#REF!</v>
      </c>
      <c r="J38" s="1526"/>
      <c r="K38" s="1550">
        <f>+K$26-K39-K40-K$27-K$30-K$31-K$32-K$33</f>
        <v>0</v>
      </c>
      <c r="L38" s="1526"/>
      <c r="M38" s="1550">
        <f>+M$26-M39-M40-M$27-M$30-M$31-M$32-M$33</f>
        <v>0</v>
      </c>
      <c r="N38" s="1526"/>
      <c r="O38" s="1550">
        <f>+O$26-O39-O40-O$27-O$30-O$31-O$32-O$33</f>
        <v>0</v>
      </c>
      <c r="P38" s="1526"/>
      <c r="Q38" s="1550">
        <f>+Q$26-Q39-Q40-Q$27-Q$30-Q$31-Q$32-Q$33</f>
        <v>0</v>
      </c>
      <c r="R38" s="1206"/>
    </row>
    <row r="39" spans="1:23" ht="15" customHeight="1" outlineLevel="1">
      <c r="A39" s="233" t="s">
        <v>829</v>
      </c>
      <c r="B39" s="246"/>
      <c r="C39" s="1526">
        <f>IFERROR(INDEX('Pmt Calcs'!$J$10:$J$12,MATCH('Wksht Print Separately'!$C$25,'Pmt Calcs'!$A$10:$A$12,0))*C$5,0)</f>
        <v>0</v>
      </c>
      <c r="D39" s="1526"/>
      <c r="E39" s="1526">
        <f>IFERROR(INDEX('Pmt Calcs'!$J$10:$J$12,MATCH('Wksht Print Separately'!$C$25,'Pmt Calcs'!$A$10:$A$12,0))*E$5,0)</f>
        <v>0</v>
      </c>
      <c r="F39" s="1526"/>
      <c r="G39" s="1526">
        <f>IFERROR(INDEX('Pmt Calcs'!$J$10:$J$12,MATCH('Wksht Print Separately'!$C$25,'Pmt Calcs'!$A$10:$A$12,0))*G$5,0)</f>
        <v>0</v>
      </c>
      <c r="H39" s="1526"/>
      <c r="I39" s="1526">
        <f>IFERROR(INDEX('Pmt Calcs'!$J$10:$J$12,MATCH('Wksht Print Separately'!$C$25,'Pmt Calcs'!$A$10:$A$12,0))*I$5,0)</f>
        <v>0</v>
      </c>
      <c r="J39" s="1526"/>
      <c r="K39" s="1526">
        <f>IFERROR(INDEX('Pmt Calcs'!$J$10:$J$12,MATCH('Wksht Print Separately'!$C$25,'Pmt Calcs'!$A$10:$A$12,0))*K$5,0)</f>
        <v>0</v>
      </c>
      <c r="L39" s="1551"/>
      <c r="M39" s="1526">
        <f>IFERROR(INDEX('Pmt Calcs'!$J$10:$J$12,MATCH('Wksht Print Separately'!$C$25,'Pmt Calcs'!$A$10:$A$12,0))*M$5,0)</f>
        <v>0</v>
      </c>
      <c r="N39" s="1551"/>
      <c r="O39" s="1526">
        <f>IFERROR(INDEX('Pmt Calcs'!$J$10:$J$12,MATCH('Wksht Print Separately'!$C$25,'Pmt Calcs'!$A$10:$A$12,0))*O$5,0)</f>
        <v>0</v>
      </c>
      <c r="P39" s="1551"/>
      <c r="Q39" s="1526">
        <f>IFERROR(INDEX('Pmt Calcs'!$J$10:$J$12,MATCH('Wksht Print Separately'!$C$25,'Pmt Calcs'!$A$10:$A$12,0))*Q$5,0)</f>
        <v>0</v>
      </c>
      <c r="R39" s="1208"/>
    </row>
    <row r="40" spans="1:23" ht="15" customHeight="1" outlineLevel="1">
      <c r="A40" s="233" t="s">
        <v>830</v>
      </c>
      <c r="B40" s="246"/>
      <c r="C40" s="1526">
        <f>IFERROR(INDEX('Pmt Calcs'!$J$41:$J$43,MATCH('Wksht Print Separately'!$C$70,'Pmt Calcs'!$A$41:$A$43,0))*C$5,0)</f>
        <v>0</v>
      </c>
      <c r="D40" s="1526"/>
      <c r="E40" s="1526">
        <f>IFERROR(INDEX('Pmt Calcs'!$J$41:$J$43,MATCH('Wksht Print Separately'!$C$70,'Pmt Calcs'!$A$41:$A$43,0))*E$5,0)</f>
        <v>0</v>
      </c>
      <c r="F40" s="1526"/>
      <c r="G40" s="1526">
        <f>IFERROR(INDEX('Pmt Calcs'!$J$41:$J$43,MATCH('Wksht Print Separately'!$C$70,'Pmt Calcs'!$A$41:$A$43,0))*G$5,0)</f>
        <v>0</v>
      </c>
      <c r="H40" s="1526"/>
      <c r="I40" s="1526">
        <f>IFERROR(INDEX('Pmt Calcs'!$J$41:$J$43,MATCH('Wksht Print Separately'!$C$70,'Pmt Calcs'!$A$41:$A$43,0))*I$5,0)</f>
        <v>0</v>
      </c>
      <c r="J40" s="1526"/>
      <c r="K40" s="1526">
        <f>IFERROR(INDEX('Pmt Calcs'!$J$41:$J$43,MATCH('Wksht Print Separately'!$C$70,'Pmt Calcs'!$A$41:$A$43,0))*K$5,0)</f>
        <v>0</v>
      </c>
      <c r="L40" s="1551"/>
      <c r="M40" s="1526">
        <f>IFERROR(INDEX('Pmt Calcs'!$J$41:$J$43,MATCH('Wksht Print Separately'!$C$70,'Pmt Calcs'!$A$41:$A$43,0))*M$5,0)</f>
        <v>0</v>
      </c>
      <c r="N40" s="1551"/>
      <c r="O40" s="1526">
        <f>IFERROR(INDEX('Pmt Calcs'!$J$41:$J$43,MATCH('Wksht Print Separately'!$C$70,'Pmt Calcs'!$A$41:$A$43,0))*O$5,0)</f>
        <v>0</v>
      </c>
      <c r="P40" s="1551"/>
      <c r="Q40" s="1526">
        <f>IFERROR(INDEX('Pmt Calcs'!$J$41:$J$43,MATCH('Wksht Print Separately'!$C$70,'Pmt Calcs'!$A$41:$A$43,0))*Q$5,0)</f>
        <v>0</v>
      </c>
      <c r="R40" s="1208"/>
    </row>
    <row r="41" spans="1:23" ht="15" customHeight="1">
      <c r="A41" s="236" t="s">
        <v>239</v>
      </c>
      <c r="B41" s="246"/>
      <c r="C41" s="289">
        <f>IF(C$34=0,0,+C$26/(C$27+C$30+C$31+C$32+C$33+C39+C40))</f>
        <v>0</v>
      </c>
      <c r="D41" s="292"/>
      <c r="E41" s="289">
        <f>IF(E$34=0,0,+E$26/(E$27+E$30+E$31+E$32+E$33+E39+E40))</f>
        <v>0</v>
      </c>
      <c r="F41" s="292"/>
      <c r="G41" s="289">
        <f>IF(G$34=0,0,+G$26/(G$27+G$30+G$31+G$32+G$33+G39+G40))</f>
        <v>0</v>
      </c>
      <c r="H41" s="292"/>
      <c r="I41" s="289" t="e">
        <f>IF(I$34=0,0,+I$26/(I$27+I$30+I$31+I$32+I$33+I39+I40))</f>
        <v>#REF!</v>
      </c>
      <c r="J41" s="292"/>
      <c r="K41" s="289">
        <f>IF(K$34=0,0,+K$26/(K$27+K$30+K$31+K$32+K$33+K39+K40))</f>
        <v>0</v>
      </c>
      <c r="L41" s="292"/>
      <c r="M41" s="289">
        <f>IF(M$34=0,0,+M$26/(M$27+M$30+M$31+M$32+M$33+M39+M40))</f>
        <v>0</v>
      </c>
      <c r="N41" s="292"/>
      <c r="O41" s="289">
        <f>IF(O$34=0,0,+O$26/(O$27+O$30+O$31+O$32+O$33+O39+O40))</f>
        <v>0</v>
      </c>
      <c r="P41" s="292"/>
      <c r="Q41" s="289">
        <f>IF(Q$34=0,0,+Q$26/(Q$27+Q$30+Q$31+Q$32+Q$33+Q39+Q40))</f>
        <v>0</v>
      </c>
      <c r="R41" s="1209"/>
    </row>
    <row r="42" spans="1:23" ht="15" customHeight="1" outlineLevel="1">
      <c r="A42" s="233"/>
      <c r="B42" s="246"/>
      <c r="C42" s="307"/>
      <c r="D42" s="294"/>
      <c r="E42" s="307"/>
      <c r="F42" s="294"/>
      <c r="G42" s="307"/>
      <c r="H42" s="294"/>
      <c r="I42" s="307"/>
      <c r="J42" s="294"/>
      <c r="K42" s="307"/>
      <c r="L42" s="294"/>
      <c r="M42" s="307"/>
      <c r="N42" s="294"/>
      <c r="O42" s="307"/>
      <c r="P42" s="294"/>
      <c r="Q42" s="307"/>
      <c r="R42" s="1209"/>
    </row>
    <row r="43" spans="1:23" ht="15" customHeight="1" outlineLevel="1">
      <c r="A43" s="233" t="s">
        <v>831</v>
      </c>
      <c r="B43" s="246"/>
      <c r="C43" s="1550">
        <f>+C$26-C44-C45-C$27-C$30-C$31-C$32-C$33</f>
        <v>0</v>
      </c>
      <c r="D43" s="1526"/>
      <c r="E43" s="1550">
        <f>+E$26-E44-E45-E$27-E$30-E$31-E$32-E$33</f>
        <v>0</v>
      </c>
      <c r="F43" s="1526"/>
      <c r="G43" s="1550">
        <f>+G$26-G44-G45-G$27-G$30-G$31-G$32-G$33</f>
        <v>0</v>
      </c>
      <c r="H43" s="1526"/>
      <c r="I43" s="1550" t="e">
        <f>+I$26-I44-I45-I$27-I$30-I$31-I$32-I$33</f>
        <v>#REF!</v>
      </c>
      <c r="J43" s="1526"/>
      <c r="K43" s="1550">
        <f>+K$26-K44-K45-K$27-K$30-K$31-K$32-K$33</f>
        <v>0</v>
      </c>
      <c r="L43" s="1526"/>
      <c r="M43" s="1550">
        <f>+M$26-M44-M45-M$27-M$30-M$31-M$32-M$33</f>
        <v>0</v>
      </c>
      <c r="N43" s="1526"/>
      <c r="O43" s="1550">
        <f>+O$26-O44-O45-O$27-O$30-O$31-O$32-O$33</f>
        <v>0</v>
      </c>
      <c r="P43" s="1526"/>
      <c r="Q43" s="1550">
        <f>+Q$26-Q44-Q45-Q$27-Q$30-Q$31-Q$32-Q$33</f>
        <v>0</v>
      </c>
      <c r="R43" s="1206"/>
    </row>
    <row r="44" spans="1:23" ht="15" customHeight="1" outlineLevel="1">
      <c r="A44" s="233" t="s">
        <v>832</v>
      </c>
      <c r="B44" s="246"/>
      <c r="C44" s="1526">
        <f>IFERROR(INDEX('Pmt Calcs'!$J$16:$J$18,MATCH('Wksht Print Separately'!$C$25,'Pmt Calcs'!$A$16:$A$18,0))*C$5,0)</f>
        <v>0</v>
      </c>
      <c r="D44" s="1526"/>
      <c r="E44" s="1526">
        <f>IFERROR(INDEX('Pmt Calcs'!$J$16:$J$18,MATCH('Wksht Print Separately'!$C$25,'Pmt Calcs'!$A$16:$A$18,0))*E$5,0)</f>
        <v>0</v>
      </c>
      <c r="F44" s="1526"/>
      <c r="G44" s="1526">
        <f>IFERROR(INDEX('Pmt Calcs'!$J$16:$J$18,MATCH('Wksht Print Separately'!$C$25,'Pmt Calcs'!$A$16:$A$18,0))*G$5,0)</f>
        <v>0</v>
      </c>
      <c r="H44" s="1526"/>
      <c r="I44" s="1526">
        <f>IFERROR(INDEX('Pmt Calcs'!$J$16:$J$18,MATCH('Wksht Print Separately'!$C$25,'Pmt Calcs'!$A$16:$A$18,0))*I$5,0)</f>
        <v>0</v>
      </c>
      <c r="J44" s="1526"/>
      <c r="K44" s="1526">
        <f>IFERROR(INDEX('Pmt Calcs'!$J$16:$J$18,MATCH('Wksht Print Separately'!$C$25,'Pmt Calcs'!$A$16:$A$18,0))*K$5,0)</f>
        <v>0</v>
      </c>
      <c r="L44" s="1526"/>
      <c r="M44" s="1526">
        <f>IFERROR(INDEX('Pmt Calcs'!$J$16:$J$18,MATCH('Wksht Print Separately'!$C$25,'Pmt Calcs'!$A$16:$A$18,0))*M$5,0)</f>
        <v>0</v>
      </c>
      <c r="N44" s="1526"/>
      <c r="O44" s="1526">
        <f>IFERROR(INDEX('Pmt Calcs'!$J$16:$J$18,MATCH('Wksht Print Separately'!$C$25,'Pmt Calcs'!$A$16:$A$18,0))*O$5,0)</f>
        <v>0</v>
      </c>
      <c r="P44" s="1526"/>
      <c r="Q44" s="1526">
        <f>IFERROR(INDEX('Pmt Calcs'!$J$16:$J$18,MATCH('Wksht Print Separately'!$C$25,'Pmt Calcs'!$A$16:$A$18,0))*Q$5,0)</f>
        <v>0</v>
      </c>
      <c r="R44" s="1209"/>
    </row>
    <row r="45" spans="1:23" ht="15" customHeight="1" outlineLevel="1">
      <c r="A45" s="233" t="s">
        <v>833</v>
      </c>
      <c r="B45" s="246"/>
      <c r="C45" s="1526">
        <f>IFERROR(INDEX('Pmt Calcs'!$J$47:$J$49,MATCH('Wksht Print Separately'!$C$70,'Pmt Calcs'!$A$47:$A$49,0))*C$5,0)</f>
        <v>0</v>
      </c>
      <c r="D45" s="1526"/>
      <c r="E45" s="1526">
        <f>IFERROR(INDEX('Pmt Calcs'!$J$47:$J$49,MATCH('Wksht Print Separately'!$C$70,'Pmt Calcs'!$A$47:$A$49,0))*E$5,0)</f>
        <v>0</v>
      </c>
      <c r="F45" s="1526"/>
      <c r="G45" s="1526">
        <f>IFERROR(INDEX('Pmt Calcs'!$J$47:$J$49,MATCH('Wksht Print Separately'!$C$70,'Pmt Calcs'!$A$47:$A$49,0))*G$5,0)</f>
        <v>0</v>
      </c>
      <c r="H45" s="1526"/>
      <c r="I45" s="1526">
        <f>IFERROR(INDEX('Pmt Calcs'!$J$47:$J$49,MATCH('Wksht Print Separately'!$C$70,'Pmt Calcs'!$A$47:$A$49,0))*I$5,0)</f>
        <v>0</v>
      </c>
      <c r="J45" s="1526"/>
      <c r="K45" s="1526">
        <f>IFERROR(INDEX('Pmt Calcs'!$J$47:$J$49,MATCH('Wksht Print Separately'!$C$70,'Pmt Calcs'!$A$47:$A$49,0))*K$5,0)</f>
        <v>0</v>
      </c>
      <c r="L45" s="1526"/>
      <c r="M45" s="1526">
        <f>IFERROR(INDEX('Pmt Calcs'!$J$47:$J$49,MATCH('Wksht Print Separately'!$C$70,'Pmt Calcs'!$A$47:$A$49,0))*M$5,0)</f>
        <v>0</v>
      </c>
      <c r="N45" s="1526"/>
      <c r="O45" s="1526">
        <f>IFERROR(INDEX('Pmt Calcs'!$J$47:$J$49,MATCH('Wksht Print Separately'!$C$70,'Pmt Calcs'!$A$47:$A$49,0))*O$5,0)</f>
        <v>0</v>
      </c>
      <c r="P45" s="1526"/>
      <c r="Q45" s="1526">
        <f>IFERROR(INDEX('Pmt Calcs'!$J$47:$J$49,MATCH('Wksht Print Separately'!$C$70,'Pmt Calcs'!$A$47:$A$49,0))*Q$5,0)</f>
        <v>0</v>
      </c>
      <c r="R45" s="1209"/>
    </row>
    <row r="46" spans="1:23" ht="15" customHeight="1">
      <c r="A46" s="236" t="s">
        <v>240</v>
      </c>
      <c r="B46" s="246"/>
      <c r="C46" s="289">
        <f>IF(C$34=0,0,+C$26/(C$27+C$30+C$31+C$32+C$33+C44+C45))</f>
        <v>0</v>
      </c>
      <c r="D46" s="292"/>
      <c r="E46" s="289">
        <f>IF(E$34=0,0,+E$26/(E$27+E$30+E$31+E$32+E$33+E44+E45))</f>
        <v>0</v>
      </c>
      <c r="F46" s="292"/>
      <c r="G46" s="289">
        <f>IF(G$34=0,0,+G$26/(G$27+G$30+G$31+G$32+G$33+G44+G45))</f>
        <v>0</v>
      </c>
      <c r="H46" s="292"/>
      <c r="I46" s="289" t="e">
        <f>IF(I$34=0,0,+I$26/(I$27+I$30+I$31+I$32+I$33+I44+I45))</f>
        <v>#REF!</v>
      </c>
      <c r="J46" s="292"/>
      <c r="K46" s="289">
        <f>IF(K$34=0,0,+K$26/(K$27+K$30+K$31+K$32+K$33+K44+K45))</f>
        <v>0</v>
      </c>
      <c r="L46" s="292"/>
      <c r="M46" s="289">
        <f>IF(M$34=0,0,+M$26/(M$27+M$30+M$31+M$32+M$33+M44+M45))</f>
        <v>0</v>
      </c>
      <c r="N46" s="292"/>
      <c r="O46" s="289">
        <f>IF(O$34=0,0,+O$26/(O$27+O$30+O$31+O$32+O$33+O44+O45))</f>
        <v>0</v>
      </c>
      <c r="P46" s="292"/>
      <c r="Q46" s="289">
        <f>IF(Q$34=0,0,+Q$26/(Q$27+Q$30+Q$31+Q$32+Q$33+Q44+Q45))</f>
        <v>0</v>
      </c>
      <c r="R46" s="1209"/>
    </row>
    <row r="47" spans="1:23" ht="15" customHeight="1" outlineLevel="1">
      <c r="A47" s="233"/>
      <c r="B47" s="246"/>
      <c r="C47" s="307"/>
      <c r="D47" s="294"/>
      <c r="E47" s="307"/>
      <c r="F47" s="294"/>
      <c r="G47" s="307"/>
      <c r="H47" s="294"/>
      <c r="I47" s="307"/>
      <c r="J47" s="294"/>
      <c r="K47" s="307"/>
      <c r="L47" s="294"/>
      <c r="M47" s="307"/>
      <c r="N47" s="294"/>
      <c r="O47" s="307"/>
      <c r="P47" s="294"/>
      <c r="Q47" s="307"/>
      <c r="R47" s="1209"/>
    </row>
    <row r="48" spans="1:23" ht="15" customHeight="1" outlineLevel="1">
      <c r="A48" s="233" t="s">
        <v>834</v>
      </c>
      <c r="B48" s="246"/>
      <c r="C48" s="1550">
        <f>+C$26-C49-C50-C$27-C$30-C$31-C$32-C$33</f>
        <v>0</v>
      </c>
      <c r="D48" s="1526"/>
      <c r="E48" s="1550">
        <f>+E$26-E49-E50-E$27-E$30-E$31-E$32-E$33</f>
        <v>0</v>
      </c>
      <c r="F48" s="1526"/>
      <c r="G48" s="1550">
        <f>+G$26-G49-G50-G$27-G$30-G$31-G$32-G$33</f>
        <v>0</v>
      </c>
      <c r="H48" s="1526"/>
      <c r="I48" s="1550" t="e">
        <f>+I$26-I49-I50-I$27-I$30-I$31-I$32-I$33</f>
        <v>#REF!</v>
      </c>
      <c r="J48" s="1526"/>
      <c r="K48" s="1550">
        <f>+K$26-K49-K50-K$27-K$30-K$31-K$32-K$33</f>
        <v>0</v>
      </c>
      <c r="L48" s="1526"/>
      <c r="M48" s="1550">
        <f>+M$26-M49-M50-M$27-M$30-M$31-M$32-M$33</f>
        <v>0</v>
      </c>
      <c r="N48" s="1526"/>
      <c r="O48" s="1550">
        <f>+O$26-O49-O50-O$27-O$30-O$31-O$32-O$33</f>
        <v>0</v>
      </c>
      <c r="P48" s="1526"/>
      <c r="Q48" s="1550">
        <f>+Q$26-Q49-Q50-Q$27-Q$30-Q$31-Q$32-Q$33</f>
        <v>0</v>
      </c>
      <c r="R48" s="1209"/>
    </row>
    <row r="49" spans="1:18" ht="15" customHeight="1" outlineLevel="1">
      <c r="A49" s="233" t="s">
        <v>835</v>
      </c>
      <c r="B49" s="246"/>
      <c r="C49" s="1526">
        <f>IFERROR(INDEX('Pmt Calcs'!$J$22:$J$24,MATCH('Wksht Print Separately'!$C$25,'Pmt Calcs'!$A$22:$A$24,0))*C$5,0)</f>
        <v>0</v>
      </c>
      <c r="D49" s="1526"/>
      <c r="E49" s="1526">
        <f>IFERROR(INDEX('Pmt Calcs'!$J$22:$J$24,MATCH('Wksht Print Separately'!$C$25,'Pmt Calcs'!$A$22:$A$24,0))*E$5,0)</f>
        <v>0</v>
      </c>
      <c r="F49" s="1526"/>
      <c r="G49" s="1526">
        <f>IFERROR(INDEX('Pmt Calcs'!$J$22:$J$24,MATCH('Wksht Print Separately'!$C$25,'Pmt Calcs'!$A$22:$A$24,0))*G$5,0)</f>
        <v>0</v>
      </c>
      <c r="H49" s="1526"/>
      <c r="I49" s="1526">
        <f>IFERROR(INDEX('Pmt Calcs'!$J$22:$J$24,MATCH('Wksht Print Separately'!$C$25,'Pmt Calcs'!$A$22:$A$24,0))*I$5,0)</f>
        <v>0</v>
      </c>
      <c r="J49" s="1526"/>
      <c r="K49" s="1526">
        <f>IFERROR(INDEX('Pmt Calcs'!$J$22:$J$24,MATCH('Wksht Print Separately'!$C$25,'Pmt Calcs'!$A$22:$A$24,0))*K$5,0)</f>
        <v>0</v>
      </c>
      <c r="L49" s="1526"/>
      <c r="M49" s="1526">
        <f>IFERROR(INDEX('Pmt Calcs'!$J$22:$J$24,MATCH('Wksht Print Separately'!$C$25,'Pmt Calcs'!$A$22:$A$24,0))*M$5,0)</f>
        <v>0</v>
      </c>
      <c r="N49" s="1526"/>
      <c r="O49" s="1526">
        <f>IFERROR(INDEX('Pmt Calcs'!$J$22:$J$24,MATCH('Wksht Print Separately'!$C$25,'Pmt Calcs'!$A$22:$A$24,0))*O$5,0)</f>
        <v>0</v>
      </c>
      <c r="P49" s="1526"/>
      <c r="Q49" s="1526">
        <f>IFERROR(INDEX('Pmt Calcs'!$J$22:$J$24,MATCH('Wksht Print Separately'!$C$25,'Pmt Calcs'!$A$22:$A$24,0))*Q$5,0)</f>
        <v>0</v>
      </c>
      <c r="R49" s="1209"/>
    </row>
    <row r="50" spans="1:18" ht="15" customHeight="1" outlineLevel="1">
      <c r="A50" s="233" t="s">
        <v>836</v>
      </c>
      <c r="B50" s="246"/>
      <c r="C50" s="1526">
        <f>IFERROR(INDEX('Pmt Calcs'!$J$53:$J$55,MATCH('Wksht Print Separately'!$C$70,'Pmt Calcs'!$A$53:$A$55,0))*C$5,0)</f>
        <v>0</v>
      </c>
      <c r="D50" s="1526"/>
      <c r="E50" s="1526">
        <f>IFERROR(INDEX('Pmt Calcs'!$J$53:$J$55,MATCH('Wksht Print Separately'!$C$70,'Pmt Calcs'!$A$53:$A$55,0))*E$5,0)</f>
        <v>0</v>
      </c>
      <c r="F50" s="1526"/>
      <c r="G50" s="1526">
        <f>IFERROR(INDEX('Pmt Calcs'!$J$53:$J$55,MATCH('Wksht Print Separately'!$C$70,'Pmt Calcs'!$A$53:$A$55,0))*G$5,0)</f>
        <v>0</v>
      </c>
      <c r="H50" s="1526"/>
      <c r="I50" s="1526">
        <f>IFERROR(INDEX('Pmt Calcs'!$J$53:$J$55,MATCH('Wksht Print Separately'!$C$70,'Pmt Calcs'!$A$53:$A$55,0))*I$5,0)</f>
        <v>0</v>
      </c>
      <c r="J50" s="1526"/>
      <c r="K50" s="1526">
        <f>IFERROR(INDEX('Pmt Calcs'!$J$53:$J$55,MATCH('Wksht Print Separately'!$C$70,'Pmt Calcs'!$A$53:$A$55,0))*K$5,0)</f>
        <v>0</v>
      </c>
      <c r="L50" s="1526"/>
      <c r="M50" s="1526">
        <f>IFERROR(INDEX('Pmt Calcs'!$J$53:$J$55,MATCH('Wksht Print Separately'!$C$70,'Pmt Calcs'!$A$53:$A$55,0))*M$5,0)</f>
        <v>0</v>
      </c>
      <c r="N50" s="1526"/>
      <c r="O50" s="1526">
        <f>IFERROR(INDEX('Pmt Calcs'!$J$53:$J$55,MATCH('Wksht Print Separately'!$C$70,'Pmt Calcs'!$A$53:$A$55,0))*O$5,0)</f>
        <v>0</v>
      </c>
      <c r="P50" s="1526"/>
      <c r="Q50" s="1526">
        <f>IFERROR(INDEX('Pmt Calcs'!$J$53:$J$55,MATCH('Wksht Print Separately'!$C$70,'Pmt Calcs'!$A$53:$A$55,0))*Q$5,0)</f>
        <v>0</v>
      </c>
      <c r="R50" s="1209"/>
    </row>
    <row r="51" spans="1:18" ht="15" customHeight="1" thickBot="1">
      <c r="A51" s="236" t="s">
        <v>241</v>
      </c>
      <c r="B51" s="1101"/>
      <c r="C51" s="289">
        <f>IF(C$34=0,0,+C$26/(C$27+C$30+C$31+C$32+C$33+C49+C50))</f>
        <v>0</v>
      </c>
      <c r="D51" s="292"/>
      <c r="E51" s="289">
        <f>IF(E$34=0,0,+E$26/(E$27+E$30+E$31+E$32+E$33+E49+E50))</f>
        <v>0</v>
      </c>
      <c r="F51" s="292"/>
      <c r="G51" s="289">
        <f>IF(G$34=0,0,+G$26/(G$27+G$30+G$31+G$32+G$33+G49+G50))</f>
        <v>0</v>
      </c>
      <c r="H51" s="292"/>
      <c r="I51" s="289" t="e">
        <f>IF(I$34=0,0,+I$26/(I$27+I$30+I$31+I$32+I$33+I49+I50))</f>
        <v>#REF!</v>
      </c>
      <c r="J51" s="292"/>
      <c r="K51" s="289">
        <f>IF(K$34=0,0,+K$26/(K$27+K$30+K$31+K$32+K$33+K49+K50))</f>
        <v>0</v>
      </c>
      <c r="L51" s="292"/>
      <c r="M51" s="289">
        <f>IF(M$34=0,0,+M$26/(M$27+M$30+M$31+M$32+M$33+M49+M50))</f>
        <v>0</v>
      </c>
      <c r="N51" s="292"/>
      <c r="O51" s="289">
        <f>IF(O$34=0,0,+O$26/(O$27+O$30+O$31+O$32+O$33+O49+O50))</f>
        <v>0</v>
      </c>
      <c r="P51" s="292"/>
      <c r="Q51" s="289">
        <f>IF(Q$34=0,0,+Q$26/(Q$27+Q$30+Q$31+Q$32+Q$33+Q49+Q50))</f>
        <v>0</v>
      </c>
      <c r="R51" s="1209"/>
    </row>
    <row r="52" spans="1:18" ht="15" hidden="1" customHeight="1" outlineLevel="1">
      <c r="A52" s="233"/>
      <c r="B52" s="246"/>
      <c r="C52" s="307"/>
      <c r="D52" s="294"/>
      <c r="E52" s="307"/>
      <c r="F52" s="294"/>
      <c r="G52" s="307"/>
      <c r="H52" s="294"/>
      <c r="I52" s="307"/>
      <c r="J52" s="294"/>
      <c r="K52" s="307"/>
      <c r="L52" s="294"/>
      <c r="M52" s="307"/>
      <c r="N52" s="294"/>
      <c r="O52" s="307"/>
      <c r="P52" s="294"/>
      <c r="Q52" s="1210"/>
      <c r="R52" s="1211"/>
    </row>
    <row r="53" spans="1:18" ht="15" hidden="1" customHeight="1" outlineLevel="1">
      <c r="A53" s="233" t="s">
        <v>837</v>
      </c>
      <c r="B53" s="246"/>
      <c r="C53" s="1550">
        <f>+C$26-C54-C55-C$27-C$30-C$31-C$32-C$33</f>
        <v>0</v>
      </c>
      <c r="D53" s="1526"/>
      <c r="E53" s="1550">
        <f>+E$26-E54-E55-E$27-E$30-E$31-E$32-E$33</f>
        <v>0</v>
      </c>
      <c r="F53" s="1526"/>
      <c r="G53" s="1550">
        <f>+G$26-G54-G55-G$27-G$30-G$31-G$32-G$33</f>
        <v>0</v>
      </c>
      <c r="H53" s="1526"/>
      <c r="I53" s="1550" t="e">
        <f>+I$26-I54-I55-I$27-I$30-I$31-I$32-I$33</f>
        <v>#REF!</v>
      </c>
      <c r="J53" s="1526"/>
      <c r="K53" s="1550">
        <f>+K$26-K54-K55-K$27-K$30-K$31-K$32-K$33</f>
        <v>0</v>
      </c>
      <c r="L53" s="1526"/>
      <c r="M53" s="1550">
        <f>+M$26-M54-M55-M$27-M$30-M$31-M$32-M$33</f>
        <v>0</v>
      </c>
      <c r="N53" s="1526"/>
      <c r="O53" s="1550">
        <f>+O$26-O54-O55-O$27-O$30-O$31-O$32-O$33</f>
        <v>0</v>
      </c>
      <c r="P53" s="1526"/>
      <c r="Q53" s="1550">
        <f>+Q$26-Q54-Q55-Q$27-Q$30-Q$31-Q$32-Q$33</f>
        <v>0</v>
      </c>
      <c r="R53" s="1211"/>
    </row>
    <row r="54" spans="1:18" ht="15" hidden="1" customHeight="1" outlineLevel="1">
      <c r="A54" s="233" t="s">
        <v>838</v>
      </c>
      <c r="B54" s="246"/>
      <c r="C54" s="1526">
        <f>IFERROR(INDEX('Pmt Calcs'!$J$28:$J$30,MATCH('Wksht Print Separately'!$C$25,'Pmt Calcs'!$A$28:$A$30,0))*C$5,0)</f>
        <v>0</v>
      </c>
      <c r="D54" s="1526"/>
      <c r="E54" s="1526">
        <f>IFERROR(INDEX('Pmt Calcs'!$J$28:$J$30,MATCH('Wksht Print Separately'!$C$25,'Pmt Calcs'!$A$28:$A$30,0))*E$5,0)</f>
        <v>0</v>
      </c>
      <c r="F54" s="1526"/>
      <c r="G54" s="1526">
        <f>IFERROR(INDEX('Pmt Calcs'!$J$28:$J$30,MATCH('Wksht Print Separately'!$C$25,'Pmt Calcs'!$A$28:$A$30,0))*G$5,0)</f>
        <v>0</v>
      </c>
      <c r="H54" s="1526"/>
      <c r="I54" s="1526">
        <f>IFERROR(INDEX('Pmt Calcs'!$J$28:$J$30,MATCH('Wksht Print Separately'!$C$25,'Pmt Calcs'!$A$28:$A$30,0))*I$5,0)</f>
        <v>0</v>
      </c>
      <c r="J54" s="1526"/>
      <c r="K54" s="1526">
        <f>IFERROR(INDEX('Pmt Calcs'!$J$28:$J$30,MATCH('Wksht Print Separately'!$C$25,'Pmt Calcs'!$A$28:$A$30,0))*K$5,0)</f>
        <v>0</v>
      </c>
      <c r="L54" s="1526"/>
      <c r="M54" s="1526">
        <f>IFERROR(INDEX('Pmt Calcs'!$J$28:$J$30,MATCH('Wksht Print Separately'!$C$25,'Pmt Calcs'!$A$28:$A$30,0))*M$5,0)</f>
        <v>0</v>
      </c>
      <c r="N54" s="1526"/>
      <c r="O54" s="1526">
        <f>IFERROR(INDEX('Pmt Calcs'!$J$28:$J$30,MATCH('Wksht Print Separately'!$C$25,'Pmt Calcs'!$A$28:$A$30,0))*O$5,0)</f>
        <v>0</v>
      </c>
      <c r="P54" s="1526"/>
      <c r="Q54" s="1526">
        <f>IFERROR(INDEX('Pmt Calcs'!$J$28:$J$30,MATCH('Wksht Print Separately'!$C$25,'Pmt Calcs'!$A$28:$A$30,0))*Q$5,0)</f>
        <v>0</v>
      </c>
      <c r="R54" s="1211"/>
    </row>
    <row r="55" spans="1:18" ht="15" hidden="1" customHeight="1" outlineLevel="1">
      <c r="A55" s="233" t="s">
        <v>839</v>
      </c>
      <c r="B55" s="246"/>
      <c r="C55" s="1526">
        <f>IFERROR(INDEX('Pmt Calcs'!$J$59:$J$61,MATCH('Wksht Print Separately'!$C$70,'Pmt Calcs'!$A$59:$A$61,0))*C$5,0)</f>
        <v>0</v>
      </c>
      <c r="D55" s="1526"/>
      <c r="E55" s="1526">
        <f>IFERROR(INDEX('Pmt Calcs'!$J$59:$J$61,MATCH('Wksht Print Separately'!$C$70,'Pmt Calcs'!$A$59:$A$61,0))*E$5,0)</f>
        <v>0</v>
      </c>
      <c r="F55" s="1526"/>
      <c r="G55" s="1526">
        <f>IFERROR(INDEX('Pmt Calcs'!$J$59:$J$61,MATCH('Wksht Print Separately'!$C$70,'Pmt Calcs'!$A$59:$A$61,0))*G$5,0)</f>
        <v>0</v>
      </c>
      <c r="H55" s="1526"/>
      <c r="I55" s="1526">
        <f>IFERROR(INDEX('Pmt Calcs'!$J$59:$J$61,MATCH('Wksht Print Separately'!$C$70,'Pmt Calcs'!$A$59:$A$61,0))*I$5,0)</f>
        <v>0</v>
      </c>
      <c r="J55" s="1526"/>
      <c r="K55" s="1526">
        <f>IFERROR(INDEX('Pmt Calcs'!$J$59:$J$61,MATCH('Wksht Print Separately'!$C$70,'Pmt Calcs'!$A$59:$A$61,0))*K$5,0)</f>
        <v>0</v>
      </c>
      <c r="L55" s="1526"/>
      <c r="M55" s="1526">
        <f>IFERROR(INDEX('Pmt Calcs'!$J$59:$J$61,MATCH('Wksht Print Separately'!$C$70,'Pmt Calcs'!$A$59:$A$61,0))*M$5,0)</f>
        <v>0</v>
      </c>
      <c r="N55" s="1526"/>
      <c r="O55" s="1526">
        <f>IFERROR(INDEX('Pmt Calcs'!$J$59:$J$61,MATCH('Wksht Print Separately'!$C$70,'Pmt Calcs'!$A$59:$A$61,0))*O$5,0)</f>
        <v>0</v>
      </c>
      <c r="P55" s="1526"/>
      <c r="Q55" s="1526">
        <f>IFERROR(INDEX('Pmt Calcs'!$J$59:$J$61,MATCH('Wksht Print Separately'!$C$70,'Pmt Calcs'!$A$59:$A$61,0))*Q$5,0)</f>
        <v>0</v>
      </c>
      <c r="R55" s="1211"/>
    </row>
    <row r="56" spans="1:18" ht="17" hidden="1" collapsed="1" thickBot="1">
      <c r="A56" s="236" t="s">
        <v>840</v>
      </c>
      <c r="B56" s="1101"/>
      <c r="C56" s="289">
        <f>IF(C$34=0,0,+C$26/(C$27+C$30+C$31+C$32+C$33+C54+C55))</f>
        <v>0</v>
      </c>
      <c r="D56" s="292"/>
      <c r="E56" s="289">
        <f>IF(E$34=0,0,+E$26/(E$27+E$30+E$31+E$32+E$33+E54+E55))</f>
        <v>0</v>
      </c>
      <c r="F56" s="292"/>
      <c r="G56" s="289">
        <f>IF(G$34=0,0,+G$26/(G$27+G$30+G$31+G$32+G$33+G54+G55))</f>
        <v>0</v>
      </c>
      <c r="H56" s="292"/>
      <c r="I56" s="289" t="e">
        <f>IF(I$34=0,0,+I$26/(I$27+I$30+I$31+I$32+I$33+I54+I55))</f>
        <v>#REF!</v>
      </c>
      <c r="J56" s="292"/>
      <c r="K56" s="289">
        <f>IF(K$34=0,0,+K$26/(K$27+K$30+K$31+K$32+K$33+K54+K55))</f>
        <v>0</v>
      </c>
      <c r="L56" s="292"/>
      <c r="M56" s="289">
        <f>IF(M$34=0,0,+M$26/(M$27+M$30+M$31+M$32+M$33+M54+M55))</f>
        <v>0</v>
      </c>
      <c r="N56" s="292"/>
      <c r="O56" s="289">
        <f>IF(O$34=0,0,+O$26/(O$27+O$30+O$31+O$32+O$33+O54+O55))</f>
        <v>0</v>
      </c>
      <c r="P56" s="292"/>
      <c r="Q56" s="289">
        <f>IF(Q$34=0,0,+Q$26/(Q$27+Q$30+Q$31+Q$32+Q$33+Q54+Q55))</f>
        <v>0</v>
      </c>
      <c r="R56" s="1212"/>
    </row>
    <row r="57" spans="1:18" ht="17" thickBot="1">
      <c r="A57" s="2905" t="s">
        <v>841</v>
      </c>
      <c r="B57" s="2906"/>
      <c r="C57" s="2906"/>
      <c r="D57" s="2906"/>
      <c r="E57" s="2906"/>
      <c r="F57" s="2906"/>
      <c r="G57" s="2906"/>
      <c r="H57" s="2906"/>
      <c r="I57" s="2906"/>
      <c r="J57" s="2906"/>
      <c r="K57" s="2906"/>
      <c r="L57" s="2906"/>
      <c r="M57" s="2906"/>
      <c r="N57" s="2906"/>
      <c r="O57" s="2906"/>
      <c r="P57" s="2906"/>
      <c r="Q57" s="2906"/>
      <c r="R57" s="2907"/>
    </row>
    <row r="58" spans="1:18"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sheetData>
  <sheetProtection algorithmName="SHA-512" hashValue="isK/JXBv3HuM4m2tQuMmcYcmw1Kc47+pkqxdKB6qSUk+bGwZEYtKrdaAjb1ta2tvFyh6QYkly7yrh8HoLlckFA==" saltValue="XRvDCP9rNIbeBGxaoAAHEw==" spinCount="100000" sheet="1" scenarios="1" formatCells="0" formatColumns="0" formatRows="0"/>
  <customSheetViews>
    <customSheetView guid="{EDC0EC15-0264-48C8-A990-093960AE8EF3}" scale="85" showPageBreaks="1" showGridLines="0" printArea="1" hiddenRows="1">
      <selection activeCell="C6" sqref="C6"/>
      <rowBreaks count="1" manualBreakCount="1">
        <brk id="49" max="17" man="1"/>
      </rowBreaks>
      <pageMargins left="0" right="0" top="0" bottom="0" header="0" footer="0"/>
      <printOptions horizontalCentered="1"/>
      <pageSetup scale="65" orientation="portrait" r:id="rId1"/>
      <headerFooter differentFirst="1">
        <firstHeader>&amp;L&amp;G&amp;C&amp;8
&amp;18Credit Memo</firstHeader>
      </headerFooter>
    </customSheetView>
    <customSheetView guid="{6E1FDEE6-49D0-4876-8C7C-09893145D2CE}" scale="85" showPageBreaks="1" showGridLines="0" printArea="1" hiddenRows="1">
      <selection activeCell="C6" sqref="C6"/>
      <rowBreaks count="1" manualBreakCount="1">
        <brk id="49" max="17" man="1"/>
      </rowBreaks>
      <pageMargins left="0" right="0" top="0" bottom="0" header="0" footer="0"/>
      <printOptions horizontalCentered="1"/>
      <pageSetup scale="65" orientation="portrait" r:id="rId2"/>
      <headerFooter differentFirst="1">
        <firstHeader>&amp;L&amp;G&amp;C&amp;8
&amp;18Credit Memo</firstHeader>
      </headerFooter>
    </customSheetView>
    <customSheetView guid="{DB1F6E98-7FCC-445F-9DA6-47D8BF8BE969}" scale="85" showPageBreaks="1" showGridLines="0" printArea="1" hiddenRows="1">
      <selection activeCell="U1" sqref="U1:W1"/>
      <rowBreaks count="1" manualBreakCount="1">
        <brk id="49" max="17" man="1"/>
      </rowBreaks>
      <pageMargins left="0" right="0" top="0" bottom="0" header="0" footer="0"/>
      <printOptions horizontalCentered="1"/>
      <pageSetup scale="65" orientation="portrait" r:id="rId3"/>
      <headerFooter differentFirst="1">
        <firstHeader>&amp;L&amp;G&amp;C&amp;8
&amp;18Credit Memo</firstHeader>
      </headerFooter>
    </customSheetView>
    <customSheetView guid="{C02CA8E5-5D4C-45E5-BC4A-4C9BE481059B}" scale="85" showPageBreaks="1" showGridLines="0" printArea="1" hiddenRows="1" topLeftCell="A49">
      <selection activeCell="C51" sqref="C51"/>
      <rowBreaks count="1" manualBreakCount="1">
        <brk id="49" max="17" man="1"/>
      </rowBreaks>
      <pageMargins left="0" right="0" top="0" bottom="0" header="0" footer="0"/>
      <printOptions horizontalCentered="1"/>
      <pageSetup scale="65" orientation="portrait" r:id="rId4"/>
      <headerFooter differentFirst="1">
        <firstHeader>&amp;L&amp;G&amp;C&amp;8
&amp;18Credit Memo</firstHeader>
      </headerFooter>
    </customSheetView>
  </customSheetViews>
  <mergeCells count="25">
    <mergeCell ref="A1:R1"/>
    <mergeCell ref="A2:R2"/>
    <mergeCell ref="U7:W7"/>
    <mergeCell ref="U8:W8"/>
    <mergeCell ref="U9:W9"/>
    <mergeCell ref="U2:W2"/>
    <mergeCell ref="U3:W3"/>
    <mergeCell ref="C3:C4"/>
    <mergeCell ref="E3:E4"/>
    <mergeCell ref="G3:G4"/>
    <mergeCell ref="I3:I4"/>
    <mergeCell ref="K3:K4"/>
    <mergeCell ref="U5:W5"/>
    <mergeCell ref="M3:M4"/>
    <mergeCell ref="O3:O4"/>
    <mergeCell ref="Q3:Q4"/>
    <mergeCell ref="U6:W6"/>
    <mergeCell ref="U10:W10"/>
    <mergeCell ref="U11:W11"/>
    <mergeCell ref="A58:R58"/>
    <mergeCell ref="A17:B17"/>
    <mergeCell ref="A26:B26"/>
    <mergeCell ref="A34:B34"/>
    <mergeCell ref="U12:W12"/>
    <mergeCell ref="A57:R57"/>
  </mergeCells>
  <printOptions horizontalCentered="1"/>
  <pageMargins left="0.25" right="0.25" top="0.75" bottom="0.75" header="0.3" footer="0.3"/>
  <pageSetup scale="61" orientation="portrait" r:id="rId5"/>
  <headerFooter differentFirst="1">
    <firstHeader>&amp;L&amp;G&amp;C&amp;8
&amp;18Credit Memo</firstHeader>
  </headerFooter>
  <rowBreaks count="1" manualBreakCount="1">
    <brk id="79" max="17" man="1"/>
  </rowBreaks>
  <drawing r:id="rId6"/>
  <legacyDrawing r:id="rId7"/>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autoPageBreaks="0"/>
  </sheetPr>
  <dimension ref="A1:R71"/>
  <sheetViews>
    <sheetView showGridLines="0" topLeftCell="F1" zoomScale="82" zoomScaleNormal="82" workbookViewId="0">
      <selection activeCell="F18" sqref="F18"/>
    </sheetView>
  </sheetViews>
  <sheetFormatPr baseColWidth="10" defaultColWidth="8.83203125" defaultRowHeight="15"/>
  <cols>
    <col min="1" max="1" width="5.6640625" customWidth="1"/>
    <col min="2" max="2" width="56.33203125" customWidth="1"/>
    <col min="3" max="3" width="21.1640625" bestFit="1" customWidth="1"/>
    <col min="4" max="4" width="36" customWidth="1"/>
    <col min="5" max="5" width="21.1640625" bestFit="1" customWidth="1"/>
    <col min="6" max="6" width="18.1640625" bestFit="1" customWidth="1"/>
    <col min="7" max="7" width="18.33203125" bestFit="1" customWidth="1"/>
    <col min="8" max="8" width="27.5" bestFit="1" customWidth="1"/>
    <col min="9" max="9" width="15.33203125" customWidth="1"/>
    <col min="10" max="10" width="23" bestFit="1" customWidth="1"/>
    <col min="11" max="11" width="9.5" bestFit="1" customWidth="1"/>
    <col min="12" max="12" width="13.5" bestFit="1" customWidth="1"/>
    <col min="13" max="13" width="12.5" customWidth="1"/>
    <col min="14" max="14" width="12.6640625" bestFit="1" customWidth="1"/>
    <col min="15" max="15" width="14.5" bestFit="1" customWidth="1"/>
    <col min="16" max="16" width="15.5" bestFit="1" customWidth="1"/>
    <col min="17" max="17" width="17.5" bestFit="1" customWidth="1"/>
  </cols>
  <sheetData>
    <row r="1" spans="2:18" ht="16">
      <c r="B1" s="2929" t="s">
        <v>842</v>
      </c>
      <c r="C1" s="2930"/>
      <c r="D1" s="2930"/>
      <c r="E1" s="2930"/>
      <c r="F1" s="2930"/>
      <c r="G1" s="2930"/>
      <c r="H1" s="2930"/>
      <c r="I1" s="2930"/>
      <c r="J1" s="2930"/>
      <c r="K1" s="2930"/>
      <c r="L1" s="2930"/>
      <c r="M1" s="2930"/>
      <c r="N1" s="2930"/>
      <c r="O1" s="2931"/>
      <c r="P1" s="793"/>
      <c r="Q1" s="793"/>
    </row>
    <row r="2" spans="2:18" ht="16">
      <c r="B2" s="2927" t="str">
        <f>'Hist IS and Proj'!B2</f>
        <v>{Insert business name which represents PSOR}</v>
      </c>
      <c r="C2" s="2928"/>
      <c r="D2" s="2928"/>
      <c r="E2" s="2928"/>
      <c r="F2" s="2928"/>
      <c r="G2" s="2928"/>
      <c r="H2" s="2928"/>
      <c r="I2" s="781"/>
      <c r="J2" s="781"/>
      <c r="K2" s="781"/>
      <c r="L2" s="781"/>
      <c r="M2" s="781"/>
      <c r="N2" s="781"/>
      <c r="O2" s="899"/>
      <c r="P2" s="794"/>
      <c r="Q2" s="794"/>
    </row>
    <row r="3" spans="2:18" ht="16">
      <c r="B3" s="327" t="s">
        <v>165</v>
      </c>
      <c r="C3" s="879"/>
      <c r="D3" s="328"/>
      <c r="E3" s="328"/>
      <c r="F3" s="224"/>
      <c r="G3" s="329"/>
      <c r="H3" s="329"/>
      <c r="I3" s="329"/>
      <c r="J3" s="329"/>
      <c r="K3" s="224"/>
      <c r="L3" s="224"/>
      <c r="M3" s="224"/>
      <c r="N3" s="224"/>
      <c r="O3" s="821"/>
      <c r="R3" s="87"/>
    </row>
    <row r="4" spans="2:18" ht="17" thickBot="1">
      <c r="B4" s="880"/>
      <c r="C4" s="822">
        <f>IF(B4="Request 1",UOP!D59,'UOP (2)'!D59)</f>
        <v>0</v>
      </c>
      <c r="D4" s="823" t="s">
        <v>843</v>
      </c>
      <c r="E4" s="824">
        <f>IF(B4="Request 1",UOP!P12,'UOP (2)'!P12)</f>
        <v>0</v>
      </c>
      <c r="F4" s="823" t="s">
        <v>844</v>
      </c>
      <c r="G4" s="823">
        <f>IF(B4="Request 1",UOP!P19,'UOP (2)'!P19)</f>
        <v>0</v>
      </c>
      <c r="H4" s="823" t="s">
        <v>845</v>
      </c>
      <c r="I4" s="825">
        <f>SUMIF(Table1[Refi?],"Yes",Table1[Balance Due])</f>
        <v>0</v>
      </c>
      <c r="J4" s="2932" t="s">
        <v>846</v>
      </c>
      <c r="K4" s="2932"/>
      <c r="L4" s="826">
        <f>IF(C4=0,0,I4/C4)</f>
        <v>0</v>
      </c>
      <c r="M4" s="827"/>
      <c r="N4" s="124"/>
      <c r="O4" s="491"/>
      <c r="R4" s="87"/>
    </row>
    <row r="5" spans="2:18" ht="16">
      <c r="B5" s="636"/>
      <c r="C5" s="815"/>
      <c r="D5" s="816"/>
      <c r="E5" s="817"/>
      <c r="F5" s="816"/>
      <c r="G5" s="816"/>
      <c r="H5" s="816"/>
      <c r="I5" s="818"/>
      <c r="J5" s="819"/>
      <c r="K5" s="819"/>
      <c r="L5" s="820"/>
      <c r="R5" s="87"/>
    </row>
    <row r="6" spans="2:18" ht="16">
      <c r="B6" s="783" t="s">
        <v>847</v>
      </c>
      <c r="C6" s="790" t="s">
        <v>848</v>
      </c>
      <c r="D6" s="790" t="s">
        <v>849</v>
      </c>
      <c r="E6" s="790" t="s">
        <v>850</v>
      </c>
      <c r="F6" s="790" t="s">
        <v>851</v>
      </c>
      <c r="G6" s="790" t="s">
        <v>487</v>
      </c>
      <c r="H6" s="790" t="s">
        <v>852</v>
      </c>
      <c r="I6" s="790" t="s">
        <v>853</v>
      </c>
      <c r="J6" s="790" t="s">
        <v>854</v>
      </c>
      <c r="K6" s="790" t="s">
        <v>855</v>
      </c>
      <c r="L6" s="790" t="s">
        <v>268</v>
      </c>
      <c r="M6" s="790" t="s">
        <v>269</v>
      </c>
      <c r="N6" s="791" t="s">
        <v>856</v>
      </c>
      <c r="O6" s="792" t="s">
        <v>271</v>
      </c>
      <c r="P6" s="795"/>
    </row>
    <row r="7" spans="2:18" ht="16">
      <c r="B7" s="881"/>
      <c r="C7" s="882"/>
      <c r="D7" s="883"/>
      <c r="E7" s="884"/>
      <c r="F7" s="885"/>
      <c r="G7" s="886"/>
      <c r="H7" s="887"/>
      <c r="I7" s="888"/>
      <c r="J7" s="254"/>
      <c r="K7" s="889"/>
      <c r="L7" s="779">
        <f>IFERROR(Table1[[#This Row],[Balance Due]]/$C$4,0)</f>
        <v>0</v>
      </c>
      <c r="M7" s="780">
        <f>IFERROR(IF(Table1[[#This Row],[Refi?]]="Yes",PMT($E$4/12,$G$4,-Table1[[#This Row],[Balance Due]]),0),0)</f>
        <v>0</v>
      </c>
      <c r="N7" s="779">
        <f>IFERROR((Table1[[#This Row],[Monthly Payment]]-Table1[[#This Row],[Refi Pmt]])/Table1[[#This Row],[Monthly Payment]],0)</f>
        <v>0</v>
      </c>
      <c r="O7" s="789">
        <f>IF(Table1[[#This Row],[Refi?]]="Yes",0,Table1[[#This Row],[Monthly Payment]])</f>
        <v>0</v>
      </c>
      <c r="P7" s="78"/>
    </row>
    <row r="8" spans="2:18" ht="16">
      <c r="B8" s="881"/>
      <c r="C8" s="882"/>
      <c r="D8" s="883"/>
      <c r="E8" s="884"/>
      <c r="F8" s="885"/>
      <c r="G8" s="886"/>
      <c r="H8" s="887"/>
      <c r="I8" s="888"/>
      <c r="J8" s="254"/>
      <c r="K8" s="889"/>
      <c r="L8" s="779">
        <f>IFERROR(Table1[[#This Row],[Balance Due]]/$C$4,0)</f>
        <v>0</v>
      </c>
      <c r="M8" s="780">
        <f>IFERROR(IF(Table1[[#This Row],[Refi?]]="Yes",PMT($E$4/12,$G$4,-Table1[[#This Row],[Balance Due]]),0),0)</f>
        <v>0</v>
      </c>
      <c r="N8" s="779">
        <f>IFERROR((Table1[[#This Row],[Monthly Payment]]-Table1[[#This Row],[Refi Pmt]])/Table1[[#This Row],[Monthly Payment]],0)</f>
        <v>0</v>
      </c>
      <c r="O8" s="789">
        <f>IF(Table1[[#This Row],[Refi?]]="Yes",0,Table1[[#This Row],[Monthly Payment]])</f>
        <v>0</v>
      </c>
      <c r="P8" s="78"/>
    </row>
    <row r="9" spans="2:18" ht="16">
      <c r="B9" s="881"/>
      <c r="C9" s="882"/>
      <c r="D9" s="883"/>
      <c r="E9" s="884"/>
      <c r="F9" s="885"/>
      <c r="G9" s="886"/>
      <c r="H9" s="887"/>
      <c r="I9" s="888"/>
      <c r="J9" s="254"/>
      <c r="K9" s="889"/>
      <c r="L9" s="779">
        <f>IFERROR(Table1[[#This Row],[Balance Due]]/$C$4,0)</f>
        <v>0</v>
      </c>
      <c r="M9" s="780">
        <f>IFERROR(IF(Table1[[#This Row],[Refi?]]="Yes",PMT($E$4/12,$G$4,-Table1[[#This Row],[Balance Due]]),0),0)</f>
        <v>0</v>
      </c>
      <c r="N9" s="779">
        <f>IFERROR((Table1[[#This Row],[Monthly Payment]]-Table1[[#This Row],[Refi Pmt]])/Table1[[#This Row],[Monthly Payment]],0)</f>
        <v>0</v>
      </c>
      <c r="O9" s="789">
        <f>IF(Table1[[#This Row],[Refi?]]="Yes",0,Table1[[#This Row],[Monthly Payment]])</f>
        <v>0</v>
      </c>
      <c r="P9" s="78"/>
    </row>
    <row r="10" spans="2:18" ht="16">
      <c r="B10" s="881"/>
      <c r="C10" s="882"/>
      <c r="D10" s="883"/>
      <c r="E10" s="884"/>
      <c r="F10" s="885"/>
      <c r="G10" s="886"/>
      <c r="H10" s="887"/>
      <c r="I10" s="888"/>
      <c r="J10" s="254"/>
      <c r="K10" s="889"/>
      <c r="L10" s="779">
        <f>IFERROR(Table1[[#This Row],[Balance Due]]/$C$4,0)</f>
        <v>0</v>
      </c>
      <c r="M10" s="780">
        <f>IFERROR(IF(Table1[[#This Row],[Refi?]]="Yes",PMT($E$4/12,$G$4,-Table1[[#This Row],[Balance Due]]),0),0)</f>
        <v>0</v>
      </c>
      <c r="N10" s="779">
        <f>IFERROR((Table1[[#This Row],[Monthly Payment]]-Table1[[#This Row],[Refi Pmt]])/Table1[[#This Row],[Monthly Payment]],0)</f>
        <v>0</v>
      </c>
      <c r="O10" s="789">
        <f>IF(Table1[[#This Row],[Refi?]]="Yes",0,Table1[[#This Row],[Monthly Payment]])</f>
        <v>0</v>
      </c>
      <c r="P10" s="78"/>
    </row>
    <row r="11" spans="2:18" ht="16">
      <c r="B11" s="881"/>
      <c r="C11" s="882"/>
      <c r="D11" s="883"/>
      <c r="E11" s="884"/>
      <c r="F11" s="885"/>
      <c r="G11" s="886"/>
      <c r="H11" s="887"/>
      <c r="I11" s="888"/>
      <c r="J11" s="254"/>
      <c r="K11" s="889"/>
      <c r="L11" s="779">
        <f>IFERROR(Table1[[#This Row],[Balance Due]]/$C$4,0)</f>
        <v>0</v>
      </c>
      <c r="M11" s="780">
        <f>IFERROR(IF(Table1[[#This Row],[Refi?]]="Yes",PMT($E$4/12,$G$4,-Table1[[#This Row],[Balance Due]]),0),0)</f>
        <v>0</v>
      </c>
      <c r="N11" s="779">
        <f>IFERROR((Table1[[#This Row],[Monthly Payment]]-Table1[[#This Row],[Refi Pmt]])/Table1[[#This Row],[Monthly Payment]],0)</f>
        <v>0</v>
      </c>
      <c r="O11" s="789">
        <f>IF(Table1[[#This Row],[Refi?]]="Yes",0,Table1[[#This Row],[Monthly Payment]])</f>
        <v>0</v>
      </c>
      <c r="P11" s="6"/>
    </row>
    <row r="12" spans="2:18" ht="16">
      <c r="B12" s="881"/>
      <c r="C12" s="882"/>
      <c r="D12" s="883"/>
      <c r="E12" s="884"/>
      <c r="F12" s="885"/>
      <c r="G12" s="886"/>
      <c r="H12" s="887"/>
      <c r="I12" s="888"/>
      <c r="J12" s="254"/>
      <c r="K12" s="889"/>
      <c r="L12" s="779">
        <f>IFERROR(Table1[[#This Row],[Balance Due]]/$C$4,0)</f>
        <v>0</v>
      </c>
      <c r="M12" s="780">
        <f>IFERROR(IF(Table1[[#This Row],[Refi?]]="Yes",PMT($E$4/12,$G$4,-Table1[[#This Row],[Balance Due]]),0),0)</f>
        <v>0</v>
      </c>
      <c r="N12" s="779">
        <f>IFERROR((Table1[[#This Row],[Monthly Payment]]-Table1[[#This Row],[Refi Pmt]])/Table1[[#This Row],[Monthly Payment]],0)</f>
        <v>0</v>
      </c>
      <c r="O12" s="789">
        <f>IF(Table1[[#This Row],[Refi?]]="Yes",0,Table1[[#This Row],[Monthly Payment]])</f>
        <v>0</v>
      </c>
      <c r="P12" s="6"/>
    </row>
    <row r="13" spans="2:18" ht="16">
      <c r="B13" s="881"/>
      <c r="C13" s="882"/>
      <c r="D13" s="883"/>
      <c r="E13" s="884"/>
      <c r="F13" s="885"/>
      <c r="G13" s="886"/>
      <c r="H13" s="887"/>
      <c r="I13" s="888"/>
      <c r="J13" s="254"/>
      <c r="K13" s="889"/>
      <c r="L13" s="779">
        <f>IFERROR(Table1[[#This Row],[Balance Due]]/$C$4,0)</f>
        <v>0</v>
      </c>
      <c r="M13" s="780">
        <f>IFERROR(IF(Table1[[#This Row],[Refi?]]="Yes",PMT($E$4/12,$G$4,-Table1[[#This Row],[Balance Due]]),0),0)</f>
        <v>0</v>
      </c>
      <c r="N13" s="779">
        <f>IFERROR((Table1[[#This Row],[Monthly Payment]]-Table1[[#This Row],[Refi Pmt]])/Table1[[#This Row],[Monthly Payment]],0)</f>
        <v>0</v>
      </c>
      <c r="O13" s="789">
        <f>IF(Table1[[#This Row],[Refi?]]="Yes",0,Table1[[#This Row],[Monthly Payment]])</f>
        <v>0</v>
      </c>
      <c r="P13" s="6"/>
    </row>
    <row r="14" spans="2:18" ht="16">
      <c r="B14" s="881"/>
      <c r="C14" s="882"/>
      <c r="D14" s="883"/>
      <c r="E14" s="884"/>
      <c r="F14" s="885"/>
      <c r="G14" s="886"/>
      <c r="H14" s="887"/>
      <c r="I14" s="888"/>
      <c r="J14" s="254"/>
      <c r="K14" s="889"/>
      <c r="L14" s="779">
        <f>IFERROR(Table1[[#This Row],[Balance Due]]/$C$4,0)</f>
        <v>0</v>
      </c>
      <c r="M14" s="780">
        <f>IFERROR(IF(Table1[[#This Row],[Refi?]]="Yes",PMT($E$4/12,$G$4,-Table1[[#This Row],[Balance Due]]),0),0)</f>
        <v>0</v>
      </c>
      <c r="N14" s="779">
        <f>IFERROR((Table1[[#This Row],[Monthly Payment]]-Table1[[#This Row],[Refi Pmt]])/Table1[[#This Row],[Monthly Payment]],0)</f>
        <v>0</v>
      </c>
      <c r="O14" s="789">
        <f>IF(Table1[[#This Row],[Refi?]]="Yes",0,Table1[[#This Row],[Monthly Payment]])</f>
        <v>0</v>
      </c>
      <c r="P14" s="6"/>
    </row>
    <row r="15" spans="2:18" ht="16">
      <c r="B15" s="881"/>
      <c r="C15" s="882"/>
      <c r="D15" s="883"/>
      <c r="E15" s="884"/>
      <c r="F15" s="885"/>
      <c r="G15" s="886"/>
      <c r="H15" s="887"/>
      <c r="I15" s="888"/>
      <c r="J15" s="254"/>
      <c r="K15" s="889"/>
      <c r="L15" s="779">
        <f>IFERROR(Table1[[#This Row],[Balance Due]]/$C$4,0)</f>
        <v>0</v>
      </c>
      <c r="M15" s="780">
        <f>IFERROR(IF(Table1[[#This Row],[Refi?]]="Yes",PMT($E$4/12,$G$4,-Table1[[#This Row],[Balance Due]]),0),0)</f>
        <v>0</v>
      </c>
      <c r="N15" s="779">
        <f>IFERROR((Table1[[#This Row],[Monthly Payment]]-Table1[[#This Row],[Refi Pmt]])/Table1[[#This Row],[Monthly Payment]],0)</f>
        <v>0</v>
      </c>
      <c r="O15" s="789">
        <f>IF(Table1[[#This Row],[Refi?]]="Yes",0,Table1[[#This Row],[Monthly Payment]])</f>
        <v>0</v>
      </c>
      <c r="P15" s="6"/>
    </row>
    <row r="16" spans="2:18" ht="16">
      <c r="B16" s="881"/>
      <c r="C16" s="882"/>
      <c r="D16" s="883"/>
      <c r="E16" s="884"/>
      <c r="F16" s="885"/>
      <c r="G16" s="886"/>
      <c r="H16" s="887"/>
      <c r="I16" s="888"/>
      <c r="J16" s="254"/>
      <c r="K16" s="889"/>
      <c r="L16" s="779">
        <f>IFERROR(Table1[[#This Row],[Balance Due]]/$C$4,0)</f>
        <v>0</v>
      </c>
      <c r="M16" s="780">
        <f>IFERROR(IF(Table1[[#This Row],[Refi?]]="Yes",PMT($E$4/12,$G$4,-Table1[[#This Row],[Balance Due]]),0),0)</f>
        <v>0</v>
      </c>
      <c r="N16" s="779">
        <f>IFERROR((Table1[[#This Row],[Monthly Payment]]-Table1[[#This Row],[Refi Pmt]])/Table1[[#This Row],[Monthly Payment]],0)</f>
        <v>0</v>
      </c>
      <c r="O16" s="789">
        <f>IF(Table1[[#This Row],[Refi?]]="Yes",0,Table1[[#This Row],[Monthly Payment]])</f>
        <v>0</v>
      </c>
      <c r="P16" s="6"/>
    </row>
    <row r="17" spans="2:18" ht="16">
      <c r="B17" s="881"/>
      <c r="C17" s="882"/>
      <c r="D17" s="883"/>
      <c r="E17" s="884"/>
      <c r="F17" s="885"/>
      <c r="G17" s="884"/>
      <c r="H17" s="887"/>
      <c r="I17" s="888"/>
      <c r="J17" s="254"/>
      <c r="K17" s="889"/>
      <c r="L17" s="779">
        <f>IFERROR(Table1[[#This Row],[Balance Due]]/$C$4,0)</f>
        <v>0</v>
      </c>
      <c r="M17" s="780">
        <f>IFERROR(IF(Table1[[#This Row],[Refi?]]="Yes",PMT($E$4/12,$G$4,-Table1[[#This Row],[Balance Due]]),0),0)</f>
        <v>0</v>
      </c>
      <c r="N17" s="779">
        <f>IFERROR((Table1[[#This Row],[Monthly Payment]]-Table1[[#This Row],[Refi Pmt]])/Table1[[#This Row],[Monthly Payment]],0)</f>
        <v>0</v>
      </c>
      <c r="O17" s="789">
        <f>IF(Table1[[#This Row],[Refi?]]="Yes",0,Table1[[#This Row],[Monthly Payment]])</f>
        <v>0</v>
      </c>
      <c r="P17" s="6"/>
    </row>
    <row r="18" spans="2:18" ht="16">
      <c r="B18" s="881"/>
      <c r="C18" s="882"/>
      <c r="D18" s="883"/>
      <c r="E18" s="884"/>
      <c r="F18" s="885"/>
      <c r="G18" s="884"/>
      <c r="H18" s="887"/>
      <c r="I18" s="888"/>
      <c r="J18" s="254"/>
      <c r="K18" s="889"/>
      <c r="L18" s="779">
        <f>IFERROR(Table1[[#This Row],[Balance Due]]/$C$4,0)</f>
        <v>0</v>
      </c>
      <c r="M18" s="780">
        <f>IFERROR(IF(Table1[[#This Row],[Refi?]]="Yes",PMT($E$4/12,$G$4,-Table1[[#This Row],[Balance Due]]),0),0)</f>
        <v>0</v>
      </c>
      <c r="N18" s="779">
        <f>IFERROR((Table1[[#This Row],[Monthly Payment]]-Table1[[#This Row],[Refi Pmt]])/Table1[[#This Row],[Monthly Payment]],0)</f>
        <v>0</v>
      </c>
      <c r="O18" s="789">
        <f>IF(Table1[[#This Row],[Refi?]]="Yes",0,Table1[[#This Row],[Monthly Payment]])</f>
        <v>0</v>
      </c>
      <c r="P18" s="6"/>
    </row>
    <row r="19" spans="2:18" ht="16">
      <c r="B19" s="881"/>
      <c r="C19" s="882"/>
      <c r="D19" s="883"/>
      <c r="E19" s="884"/>
      <c r="F19" s="885"/>
      <c r="G19" s="884"/>
      <c r="H19" s="887"/>
      <c r="I19" s="888"/>
      <c r="J19" s="254"/>
      <c r="K19" s="889"/>
      <c r="L19" s="779">
        <f>IFERROR(Table1[[#This Row],[Balance Due]]/$C$4,0)</f>
        <v>0</v>
      </c>
      <c r="M19" s="780">
        <f>IFERROR(IF(Table1[[#This Row],[Refi?]]="Yes",PMT($E$4/12,$G$4,-Table1[[#This Row],[Balance Due]]),0),0)</f>
        <v>0</v>
      </c>
      <c r="N19" s="779">
        <f>IFERROR((Table1[[#This Row],[Monthly Payment]]-Table1[[#This Row],[Refi Pmt]])/Table1[[#This Row],[Monthly Payment]],0)</f>
        <v>0</v>
      </c>
      <c r="O19" s="789">
        <f>IF(Table1[[#This Row],[Refi?]]="Yes",0,Table1[[#This Row],[Monthly Payment]])</f>
        <v>0</v>
      </c>
      <c r="P19" s="6"/>
    </row>
    <row r="20" spans="2:18" ht="16">
      <c r="B20" s="881"/>
      <c r="C20" s="882"/>
      <c r="D20" s="883"/>
      <c r="E20" s="884"/>
      <c r="F20" s="885"/>
      <c r="G20" s="884"/>
      <c r="H20" s="887"/>
      <c r="I20" s="888"/>
      <c r="J20" s="254"/>
      <c r="K20" s="889"/>
      <c r="L20" s="779">
        <f>IFERROR(Table1[[#This Row],[Balance Due]]/$C$4,0)</f>
        <v>0</v>
      </c>
      <c r="M20" s="780">
        <f>IFERROR(IF(Table1[[#This Row],[Refi?]]="Yes",PMT($E$4/12,$G$4,-Table1[[#This Row],[Balance Due]]),0),0)</f>
        <v>0</v>
      </c>
      <c r="N20" s="779">
        <f>IFERROR((Table1[[#This Row],[Monthly Payment]]-Table1[[#This Row],[Refi Pmt]])/Table1[[#This Row],[Monthly Payment]],0)</f>
        <v>0</v>
      </c>
      <c r="O20" s="789">
        <f>IF(Table1[[#This Row],[Refi?]]="Yes",0,Table1[[#This Row],[Monthly Payment]])</f>
        <v>0</v>
      </c>
      <c r="P20" s="6"/>
    </row>
    <row r="21" spans="2:18" ht="16">
      <c r="B21" s="881"/>
      <c r="C21" s="882"/>
      <c r="D21" s="883"/>
      <c r="E21" s="884"/>
      <c r="F21" s="885"/>
      <c r="G21" s="884"/>
      <c r="H21" s="887"/>
      <c r="I21" s="888"/>
      <c r="J21" s="254"/>
      <c r="K21" s="889"/>
      <c r="L21" s="779">
        <f>IFERROR(Table1[[#This Row],[Balance Due]]/$C$4,0)</f>
        <v>0</v>
      </c>
      <c r="M21" s="780">
        <f>IFERROR(IF(Table1[[#This Row],[Refi?]]="Yes",PMT($E$4/12,$G$4,-Table1[[#This Row],[Balance Due]]),0),0)</f>
        <v>0</v>
      </c>
      <c r="N21" s="779">
        <f>IFERROR((Table1[[#This Row],[Monthly Payment]]-Table1[[#This Row],[Refi Pmt]])/Table1[[#This Row],[Monthly Payment]],0)</f>
        <v>0</v>
      </c>
      <c r="O21" s="789">
        <f>IF(Table1[[#This Row],[Refi?]]="Yes",0,Table1[[#This Row],[Monthly Payment]])</f>
        <v>0</v>
      </c>
      <c r="P21" s="6"/>
    </row>
    <row r="22" spans="2:18" ht="16">
      <c r="B22" s="881"/>
      <c r="C22" s="882"/>
      <c r="D22" s="883"/>
      <c r="E22" s="884"/>
      <c r="F22" s="885"/>
      <c r="G22" s="884"/>
      <c r="H22" s="887"/>
      <c r="I22" s="888"/>
      <c r="J22" s="254"/>
      <c r="K22" s="889"/>
      <c r="L22" s="779">
        <f>IFERROR(Table1[[#This Row],[Balance Due]]/$C$4,0)</f>
        <v>0</v>
      </c>
      <c r="M22" s="780">
        <f>IFERROR(IF(Table1[[#This Row],[Refi?]]="Yes",PMT($E$4/12,$G$4,-Table1[[#This Row],[Balance Due]]),0),0)</f>
        <v>0</v>
      </c>
      <c r="N22" s="779">
        <f>IFERROR((Table1[[#This Row],[Monthly Payment]]-Table1[[#This Row],[Refi Pmt]])/Table1[[#This Row],[Monthly Payment]],0)</f>
        <v>0</v>
      </c>
      <c r="O22" s="789">
        <f>IF(Table1[[#This Row],[Refi?]]="Yes",0,Table1[[#This Row],[Monthly Payment]])</f>
        <v>0</v>
      </c>
      <c r="P22" s="6"/>
    </row>
    <row r="23" spans="2:18" ht="16">
      <c r="B23" s="881"/>
      <c r="C23" s="882"/>
      <c r="D23" s="883"/>
      <c r="E23" s="884"/>
      <c r="F23" s="885"/>
      <c r="G23" s="884"/>
      <c r="H23" s="887"/>
      <c r="I23" s="888"/>
      <c r="J23" s="254"/>
      <c r="K23" s="889"/>
      <c r="L23" s="779">
        <f>IFERROR(Table1[[#This Row],[Balance Due]]/$C$4,0)</f>
        <v>0</v>
      </c>
      <c r="M23" s="780">
        <f>IFERROR(IF(Table1[[#This Row],[Refi?]]="Yes",PMT($E$4/12,$G$4,-Table1[[#This Row],[Balance Due]]),0),0)</f>
        <v>0</v>
      </c>
      <c r="N23" s="779">
        <f>IFERROR((Table1[[#This Row],[Monthly Payment]]-Table1[[#This Row],[Refi Pmt]])/Table1[[#This Row],[Monthly Payment]],0)</f>
        <v>0</v>
      </c>
      <c r="O23" s="789">
        <f>IF(Table1[[#This Row],[Refi?]]="Yes",0,Table1[[#This Row],[Monthly Payment]])</f>
        <v>0</v>
      </c>
      <c r="P23" s="6"/>
    </row>
    <row r="24" spans="2:18" ht="16">
      <c r="B24" s="881"/>
      <c r="C24" s="882"/>
      <c r="D24" s="883"/>
      <c r="E24" s="884"/>
      <c r="F24" s="885"/>
      <c r="G24" s="884"/>
      <c r="H24" s="887"/>
      <c r="I24" s="888"/>
      <c r="J24" s="254"/>
      <c r="K24" s="889"/>
      <c r="L24" s="779">
        <f>IFERROR(Table1[[#This Row],[Balance Due]]/$C$4,0)</f>
        <v>0</v>
      </c>
      <c r="M24" s="780">
        <f>IFERROR(IF(Table1[[#This Row],[Refi?]]="Yes",PMT($E$4/12,$G$4,-Table1[[#This Row],[Balance Due]]),0),0)</f>
        <v>0</v>
      </c>
      <c r="N24" s="779">
        <f>IFERROR((Table1[[#This Row],[Monthly Payment]]-Table1[[#This Row],[Refi Pmt]])/Table1[[#This Row],[Monthly Payment]],0)</f>
        <v>0</v>
      </c>
      <c r="O24" s="789">
        <f>IF(Table1[[#This Row],[Refi?]]="Yes",0,Table1[[#This Row],[Monthly Payment]])</f>
        <v>0</v>
      </c>
      <c r="P24" s="6"/>
    </row>
    <row r="25" spans="2:18" ht="16">
      <c r="B25" s="881"/>
      <c r="C25" s="882"/>
      <c r="D25" s="883"/>
      <c r="E25" s="884"/>
      <c r="F25" s="885"/>
      <c r="G25" s="884"/>
      <c r="H25" s="887"/>
      <c r="I25" s="888"/>
      <c r="J25" s="254"/>
      <c r="K25" s="889"/>
      <c r="L25" s="779">
        <f>IFERROR(Table1[[#This Row],[Balance Due]]/$C$4,0)</f>
        <v>0</v>
      </c>
      <c r="M25" s="780">
        <f>IFERROR(IF(Table1[[#This Row],[Refi?]]="Yes",PMT($E$4/12,$G$4,-Table1[[#This Row],[Balance Due]]),0),0)</f>
        <v>0</v>
      </c>
      <c r="N25" s="779">
        <f>IFERROR((Table1[[#This Row],[Monthly Payment]]-Table1[[#This Row],[Refi Pmt]])/Table1[[#This Row],[Monthly Payment]],0)</f>
        <v>0</v>
      </c>
      <c r="O25" s="789">
        <f>IF(Table1[[#This Row],[Refi?]]="Yes",0,Table1[[#This Row],[Monthly Payment]])</f>
        <v>0</v>
      </c>
      <c r="P25" s="6"/>
    </row>
    <row r="26" spans="2:18" ht="16">
      <c r="B26" s="890"/>
      <c r="C26" s="891"/>
      <c r="D26" s="892"/>
      <c r="E26" s="893"/>
      <c r="F26" s="894"/>
      <c r="G26" s="893"/>
      <c r="H26" s="895"/>
      <c r="I26" s="19"/>
      <c r="J26" s="896"/>
      <c r="K26" s="897"/>
      <c r="L26" s="779">
        <f>IFERROR(Table1[[#This Row],[Balance Due]]/$C$4,0)</f>
        <v>0</v>
      </c>
      <c r="M26" s="780">
        <f>IFERROR(IF(Table1[[#This Row],[Refi?]]="Yes",PMT($E$4/12,$G$4,-Table1[[#This Row],[Balance Due]]),0),0)</f>
        <v>0</v>
      </c>
      <c r="N26" s="784">
        <f>IFERROR((Table1[[#This Row],[Monthly Payment]]-Table1[[#This Row],[Refi Pmt]])/Table1[[#This Row],[Monthly Payment]],0)</f>
        <v>0</v>
      </c>
      <c r="O26" s="796">
        <f>IF(Table1[[#This Row],[Refi?]]="Yes",0,Table1[[#This Row],[Monthly Payment]])</f>
        <v>0</v>
      </c>
      <c r="P26" s="6"/>
    </row>
    <row r="27" spans="2:18" ht="17" thickBot="1">
      <c r="B27" s="881"/>
      <c r="C27" s="882"/>
      <c r="D27" s="883"/>
      <c r="E27" s="884"/>
      <c r="F27" s="885"/>
      <c r="G27" s="884"/>
      <c r="H27" s="887"/>
      <c r="I27" s="888"/>
      <c r="J27" s="254"/>
      <c r="K27" s="889"/>
      <c r="L27" s="779">
        <f>IFERROR(Table1[[#This Row],[Balance Due]]/$C$4,0)</f>
        <v>0</v>
      </c>
      <c r="M27" s="780">
        <f>IFERROR(IF(Table1[[#This Row],[Refi?]]="Yes",PMT($E$4/12,$G$4,-Table1[[#This Row],[Balance Due]]),0),0)</f>
        <v>0</v>
      </c>
      <c r="N27" s="779">
        <f>IFERROR((Table1[[#This Row],[Monthly Payment]]-Table1[[#This Row],[Refi Pmt]])/Table1[[#This Row],[Monthly Payment]],0)</f>
        <v>0</v>
      </c>
      <c r="O27" s="789">
        <f>IF(Table1[[#This Row],[Refi?]]="Yes",0,Table1[[#This Row],[Monthly Payment]])</f>
        <v>0</v>
      </c>
      <c r="P27" s="6"/>
    </row>
    <row r="28" spans="2:18" ht="17" thickBot="1">
      <c r="B28" s="797" t="s">
        <v>104</v>
      </c>
      <c r="C28" s="798"/>
      <c r="D28" s="798"/>
      <c r="E28" s="799">
        <f>SUBTOTAL(109,Table1[Balance Due])</f>
        <v>0</v>
      </c>
      <c r="F28" s="798"/>
      <c r="G28" s="798"/>
      <c r="H28" s="800">
        <f>SUBTOTAL(109,Table1[Monthly Payment])</f>
        <v>0</v>
      </c>
      <c r="I28" s="801"/>
      <c r="J28" s="802"/>
      <c r="K28" s="803"/>
      <c r="L28" s="804"/>
      <c r="M28" s="898">
        <f>SUBTOTAL(109,Table1[Refi Pmt])</f>
        <v>0</v>
      </c>
      <c r="N28" s="805"/>
      <c r="O28" s="806">
        <f>SUBTOTAL(109,Table1[CF Debt Svc])</f>
        <v>0</v>
      </c>
      <c r="P28" s="788"/>
      <c r="Q28" s="782"/>
      <c r="R28" s="6"/>
    </row>
    <row r="29" spans="2:18" ht="17" thickBot="1">
      <c r="B29" s="785"/>
      <c r="C29" s="785"/>
      <c r="D29" s="786"/>
      <c r="E29" s="810"/>
      <c r="F29" s="811"/>
      <c r="G29" s="810"/>
      <c r="H29" s="812"/>
      <c r="I29" s="787"/>
      <c r="J29" s="813"/>
      <c r="K29" s="813"/>
      <c r="L29" s="813"/>
      <c r="M29" s="26"/>
      <c r="N29" s="814"/>
      <c r="O29" s="760"/>
      <c r="P29" s="788"/>
      <c r="Q29" s="782"/>
      <c r="R29" s="6"/>
    </row>
    <row r="30" spans="2:18" ht="20" thickBot="1">
      <c r="B30" s="807" t="s">
        <v>857</v>
      </c>
      <c r="C30" s="808" t="str">
        <f>IFERROR(IF(H30&lt;10%,"No","Yes"),"N/A")</f>
        <v>No</v>
      </c>
      <c r="D30" s="2925" t="s">
        <v>858</v>
      </c>
      <c r="E30" s="2926"/>
      <c r="F30" s="830">
        <f>SUMIF(Table1[Refi?],"Yes",Table1[Monthly Payment])</f>
        <v>0</v>
      </c>
      <c r="G30" s="831" t="s">
        <v>859</v>
      </c>
      <c r="H30" s="832">
        <f>IFERROR((F30-Table1[[#Totals],[Refi Pmt]])/F30,0)</f>
        <v>0</v>
      </c>
      <c r="I30" s="809"/>
      <c r="J30" s="809"/>
      <c r="K30" s="494"/>
      <c r="L30" s="494"/>
      <c r="M30" s="494"/>
      <c r="N30" s="494"/>
      <c r="O30" s="495"/>
      <c r="P30" s="6"/>
      <c r="Q30" s="6"/>
      <c r="R30" s="6"/>
    </row>
    <row r="31" spans="2:18" ht="106.5" customHeight="1" thickBot="1">
      <c r="B31" s="2933" t="s">
        <v>447</v>
      </c>
      <c r="C31" s="2934"/>
      <c r="D31" s="2934"/>
      <c r="E31" s="2934"/>
      <c r="F31" s="2934"/>
      <c r="G31" s="2934"/>
      <c r="H31" s="2934"/>
      <c r="I31" s="2934"/>
      <c r="J31" s="2934"/>
      <c r="K31" s="2934"/>
      <c r="L31" s="2934"/>
      <c r="M31" s="2934"/>
      <c r="N31" s="2934"/>
      <c r="O31" s="2935"/>
    </row>
    <row r="37" spans="1:15" ht="16" thickBot="1"/>
    <row r="38" spans="1:15" ht="16">
      <c r="A38" s="2922" t="s">
        <v>860</v>
      </c>
      <c r="B38" s="2923"/>
      <c r="C38" s="2923"/>
      <c r="D38" s="2923"/>
      <c r="E38" s="2923"/>
      <c r="F38" s="2923"/>
      <c r="G38" s="2923"/>
      <c r="H38" s="2923"/>
      <c r="I38" s="2923"/>
      <c r="J38" s="2923"/>
      <c r="K38" s="2923"/>
      <c r="L38" s="2923"/>
      <c r="M38" s="2923"/>
      <c r="N38" s="2923"/>
      <c r="O38" s="2924"/>
    </row>
    <row r="39" spans="1:15">
      <c r="A39" s="828"/>
      <c r="O39" s="829"/>
    </row>
    <row r="40" spans="1:15" ht="19">
      <c r="A40" s="1575" t="s">
        <v>861</v>
      </c>
      <c r="D40" s="1576"/>
      <c r="E40" s="1576"/>
      <c r="F40" s="1576"/>
      <c r="G40" s="1576"/>
      <c r="H40" s="1576"/>
      <c r="I40" s="28"/>
      <c r="J40" s="28"/>
      <c r="O40" s="829"/>
    </row>
    <row r="41" spans="1:15" ht="19">
      <c r="A41" s="1577">
        <v>1</v>
      </c>
      <c r="B41" s="1578" t="s">
        <v>862</v>
      </c>
      <c r="C41" s="1576"/>
      <c r="D41" s="1576"/>
      <c r="E41" s="1576"/>
      <c r="F41" s="1576"/>
      <c r="I41" s="28"/>
      <c r="J41" s="28"/>
      <c r="O41" s="829"/>
    </row>
    <row r="42" spans="1:15" ht="19">
      <c r="A42" s="1579"/>
      <c r="B42" s="1576" t="s">
        <v>863</v>
      </c>
      <c r="C42" s="1576"/>
      <c r="D42" s="889"/>
      <c r="E42" s="1576"/>
      <c r="I42" s="28"/>
      <c r="J42" s="28"/>
      <c r="O42" s="829"/>
    </row>
    <row r="43" spans="1:15" ht="19">
      <c r="A43" s="1579"/>
      <c r="B43" s="1580" t="s">
        <v>864</v>
      </c>
      <c r="C43" s="1578"/>
      <c r="D43" s="1581"/>
      <c r="E43" s="1576"/>
      <c r="F43" s="1576"/>
      <c r="I43" s="28"/>
      <c r="J43" s="28"/>
      <c r="O43" s="829"/>
    </row>
    <row r="44" spans="1:15" ht="19">
      <c r="A44" s="1579"/>
      <c r="B44" s="1581" t="s">
        <v>865</v>
      </c>
      <c r="C44" s="1576"/>
      <c r="D44" s="1576"/>
      <c r="E44" s="1576"/>
      <c r="F44" s="1576"/>
      <c r="I44" s="28"/>
      <c r="J44" s="28"/>
      <c r="O44" s="829"/>
    </row>
    <row r="45" spans="1:15" ht="19">
      <c r="A45" s="1579"/>
      <c r="B45" s="1581" t="s">
        <v>866</v>
      </c>
      <c r="C45" s="1576"/>
      <c r="D45" s="1576"/>
      <c r="E45" s="1576"/>
      <c r="F45" s="1576"/>
      <c r="I45" s="28"/>
      <c r="J45" s="28"/>
      <c r="O45" s="829"/>
    </row>
    <row r="46" spans="1:15" ht="19">
      <c r="A46" s="1577">
        <v>2</v>
      </c>
      <c r="B46" s="1578" t="s">
        <v>867</v>
      </c>
      <c r="E46" s="1576"/>
      <c r="F46" s="1576"/>
      <c r="G46" s="1576"/>
      <c r="H46" s="1576"/>
      <c r="I46" s="28"/>
      <c r="J46" s="28"/>
      <c r="O46" s="829"/>
    </row>
    <row r="47" spans="1:15" ht="19">
      <c r="A47" s="1579"/>
      <c r="D47" s="1576"/>
      <c r="E47" s="1576"/>
      <c r="F47" s="1576"/>
      <c r="G47" s="1576"/>
      <c r="H47" s="1576"/>
      <c r="I47" s="28"/>
      <c r="J47" s="28"/>
      <c r="O47" s="829"/>
    </row>
    <row r="48" spans="1:15" ht="20">
      <c r="A48" s="1579"/>
      <c r="B48" s="1507" t="s">
        <v>263</v>
      </c>
      <c r="C48" s="1508" t="s">
        <v>264</v>
      </c>
      <c r="D48" s="1508" t="s">
        <v>868</v>
      </c>
      <c r="G48" s="28"/>
      <c r="H48" s="28"/>
      <c r="I48" s="28"/>
      <c r="J48" s="28"/>
      <c r="O48" s="829"/>
    </row>
    <row r="49" spans="1:15" ht="19">
      <c r="A49" s="1579"/>
      <c r="B49" s="1500" t="s">
        <v>869</v>
      </c>
      <c r="C49" s="1501"/>
      <c r="D49" s="1501"/>
      <c r="G49" s="28"/>
      <c r="H49" s="28"/>
      <c r="I49" s="28"/>
      <c r="J49" s="28"/>
      <c r="O49" s="829"/>
    </row>
    <row r="50" spans="1:15" ht="19">
      <c r="A50" s="1579"/>
      <c r="B50" s="1509" t="s">
        <v>870</v>
      </c>
      <c r="C50" s="1502"/>
      <c r="D50" s="1510" t="s">
        <v>327</v>
      </c>
      <c r="G50" s="28"/>
      <c r="H50" s="28"/>
      <c r="I50" s="28"/>
      <c r="J50" s="28"/>
      <c r="O50" s="829"/>
    </row>
    <row r="51" spans="1:15" ht="19">
      <c r="A51" s="1579"/>
      <c r="B51" s="1511" t="s">
        <v>871</v>
      </c>
      <c r="C51" s="1494">
        <f>SUM(C49:C50)</f>
        <v>0</v>
      </c>
      <c r="D51" s="1495">
        <f>D49</f>
        <v>0</v>
      </c>
      <c r="G51" s="28"/>
      <c r="H51" s="28"/>
      <c r="I51" s="28"/>
      <c r="J51" s="28"/>
      <c r="O51" s="829"/>
    </row>
    <row r="52" spans="1:15" ht="19">
      <c r="A52" s="1579"/>
      <c r="D52" s="1576"/>
      <c r="E52" s="1576"/>
      <c r="F52" s="1576"/>
      <c r="G52" s="1576"/>
      <c r="H52" s="1576"/>
      <c r="I52" s="28"/>
      <c r="J52" s="28"/>
      <c r="O52" s="829"/>
    </row>
    <row r="53" spans="1:15" ht="19">
      <c r="A53" s="1577">
        <v>3</v>
      </c>
      <c r="B53" s="1578" t="s">
        <v>872</v>
      </c>
      <c r="C53" s="1576"/>
      <c r="D53" s="1576"/>
      <c r="E53" s="1576"/>
      <c r="H53" s="1576"/>
      <c r="I53" s="28"/>
      <c r="J53" s="28"/>
      <c r="O53" s="829"/>
    </row>
    <row r="54" spans="1:15" ht="19">
      <c r="A54" s="1579"/>
      <c r="B54" s="1576"/>
      <c r="C54" s="1576"/>
      <c r="D54" s="1576"/>
      <c r="E54" s="1576"/>
      <c r="H54" s="1576"/>
      <c r="I54" s="28"/>
      <c r="J54" s="28"/>
      <c r="O54" s="829"/>
    </row>
    <row r="55" spans="1:15" ht="20">
      <c r="A55" s="1579"/>
      <c r="B55" s="1507" t="s">
        <v>873</v>
      </c>
      <c r="C55" s="1508" t="s">
        <v>164</v>
      </c>
      <c r="D55" s="1508" t="s">
        <v>874</v>
      </c>
      <c r="E55" s="1508" t="s">
        <v>875</v>
      </c>
      <c r="H55" s="28"/>
      <c r="I55" s="28"/>
      <c r="J55" s="28"/>
      <c r="O55" s="829"/>
    </row>
    <row r="56" spans="1:15" ht="19">
      <c r="A56" s="1579"/>
      <c r="B56" s="1509" t="s">
        <v>876</v>
      </c>
      <c r="C56" s="1503"/>
      <c r="D56" s="1516">
        <f>IFERROR(C56/C59,0)</f>
        <v>0</v>
      </c>
      <c r="E56" s="1496">
        <f>IFERROR(D56/(D56+D57),0)</f>
        <v>0</v>
      </c>
      <c r="H56" s="28"/>
      <c r="I56" s="28"/>
      <c r="J56" s="28"/>
      <c r="O56" s="829"/>
    </row>
    <row r="57" spans="1:15" ht="19">
      <c r="A57" s="1579"/>
      <c r="B57" s="1509" t="s">
        <v>877</v>
      </c>
      <c r="C57" s="1503"/>
      <c r="D57" s="1516">
        <f>IFERROR(C57/C59,0)</f>
        <v>0</v>
      </c>
      <c r="E57" s="1496">
        <f>IFERROR(D57/(D56+D57),0)</f>
        <v>0</v>
      </c>
      <c r="H57" s="28"/>
      <c r="I57" s="28"/>
      <c r="J57" s="28"/>
      <c r="O57" s="829"/>
    </row>
    <row r="58" spans="1:15" ht="19">
      <c r="A58" s="1579"/>
      <c r="B58" s="1509" t="s">
        <v>878</v>
      </c>
      <c r="C58" s="1503"/>
      <c r="D58" s="1517">
        <f>IFERROR(C58/C59,0)</f>
        <v>0</v>
      </c>
      <c r="E58" s="1497" t="s">
        <v>327</v>
      </c>
      <c r="H58" s="28"/>
      <c r="I58" s="28"/>
      <c r="J58" s="28"/>
      <c r="O58" s="829"/>
    </row>
    <row r="59" spans="1:15" ht="19">
      <c r="A59" s="1579"/>
      <c r="B59" s="1511" t="s">
        <v>879</v>
      </c>
      <c r="C59" s="1499">
        <f>SUM(C56:C58)</f>
        <v>0</v>
      </c>
      <c r="D59" s="1518">
        <f>SUM(D56:D58)</f>
        <v>0</v>
      </c>
      <c r="E59" s="1498">
        <f>E56+E57</f>
        <v>0</v>
      </c>
      <c r="H59" s="28"/>
      <c r="I59" s="28"/>
      <c r="J59" s="28"/>
      <c r="O59" s="829"/>
    </row>
    <row r="60" spans="1:15" ht="19">
      <c r="A60" s="1579"/>
      <c r="D60" s="1576"/>
      <c r="E60" s="1576"/>
      <c r="F60" s="1576"/>
      <c r="G60" s="1576"/>
      <c r="H60" s="1576"/>
      <c r="I60" s="28"/>
      <c r="J60" s="28"/>
      <c r="O60" s="829"/>
    </row>
    <row r="61" spans="1:15" ht="19">
      <c r="A61" s="1577">
        <v>4</v>
      </c>
      <c r="B61" s="1578" t="s">
        <v>880</v>
      </c>
      <c r="C61" s="1576"/>
      <c r="D61" s="1576"/>
      <c r="E61" s="1576"/>
      <c r="F61" s="1576"/>
      <c r="I61" s="28"/>
      <c r="J61" s="28"/>
      <c r="O61" s="829"/>
    </row>
    <row r="62" spans="1:15" ht="40">
      <c r="A62" s="1577"/>
      <c r="B62" s="1507" t="s">
        <v>881</v>
      </c>
      <c r="C62" s="1512" t="s">
        <v>164</v>
      </c>
      <c r="D62" s="1512" t="s">
        <v>169</v>
      </c>
      <c r="E62" s="1508" t="s">
        <v>882</v>
      </c>
      <c r="F62" s="1508" t="s">
        <v>852</v>
      </c>
      <c r="I62" s="28"/>
      <c r="J62" s="28"/>
      <c r="O62" s="829"/>
    </row>
    <row r="63" spans="1:15" ht="19">
      <c r="A63" s="1577"/>
      <c r="B63" s="1509" t="s">
        <v>883</v>
      </c>
      <c r="C63" s="1513">
        <f>C51*E56</f>
        <v>0</v>
      </c>
      <c r="D63" s="1504"/>
      <c r="E63" s="1505"/>
      <c r="F63" s="1506">
        <f>IFERROR(-PMT(D63/12,E63*12,C63),0)</f>
        <v>0</v>
      </c>
      <c r="I63" s="28"/>
      <c r="J63" s="28"/>
      <c r="O63" s="829"/>
    </row>
    <row r="64" spans="1:15" ht="19">
      <c r="A64" s="1577"/>
      <c r="B64" s="1509" t="s">
        <v>884</v>
      </c>
      <c r="C64" s="1513">
        <f>C51*E57</f>
        <v>0</v>
      </c>
      <c r="D64" s="1504"/>
      <c r="E64" s="1505"/>
      <c r="F64" s="1506">
        <f>IFERROR(-PMT(D64/12,E64*12,C64),0)</f>
        <v>0</v>
      </c>
      <c r="I64" s="28"/>
      <c r="J64" s="28"/>
      <c r="O64" s="829"/>
    </row>
    <row r="65" spans="1:15" ht="19">
      <c r="A65" s="1577"/>
      <c r="B65" s="1511" t="s">
        <v>885</v>
      </c>
      <c r="C65" s="1514">
        <f>SUM(C63:C64)</f>
        <v>0</v>
      </c>
      <c r="D65" s="1515"/>
      <c r="E65" s="1509"/>
      <c r="F65" s="1514">
        <f>SUM(F63:F64)</f>
        <v>0</v>
      </c>
      <c r="I65" s="28"/>
      <c r="J65" s="28"/>
      <c r="O65" s="829"/>
    </row>
    <row r="66" spans="1:15" ht="19">
      <c r="A66" s="1577"/>
      <c r="B66" s="1578"/>
      <c r="C66" s="1576"/>
      <c r="D66" s="1576"/>
      <c r="E66" s="1576"/>
      <c r="F66" s="1576"/>
      <c r="I66" s="28"/>
      <c r="J66" s="28"/>
      <c r="O66" s="829"/>
    </row>
    <row r="67" spans="1:15" ht="19">
      <c r="A67" s="1579"/>
      <c r="B67" s="1578" t="s">
        <v>886</v>
      </c>
      <c r="C67" s="1576"/>
      <c r="D67" s="1576"/>
      <c r="E67" s="1576"/>
      <c r="F67" s="1582">
        <f>D51</f>
        <v>0</v>
      </c>
      <c r="I67" s="28"/>
      <c r="J67" s="28"/>
      <c r="O67" s="829"/>
    </row>
    <row r="68" spans="1:15" ht="19">
      <c r="A68" s="1579"/>
      <c r="B68" s="1576" t="s">
        <v>887</v>
      </c>
      <c r="C68" s="1576"/>
      <c r="D68" s="1576"/>
      <c r="E68" s="1576"/>
      <c r="F68" s="1583">
        <f>F67-F65</f>
        <v>0</v>
      </c>
      <c r="I68" s="28"/>
      <c r="J68" s="28"/>
      <c r="O68" s="829"/>
    </row>
    <row r="69" spans="1:15" ht="20" thickBot="1">
      <c r="A69" s="1579"/>
      <c r="B69" s="1576"/>
      <c r="C69" s="1576"/>
      <c r="D69" s="1576"/>
      <c r="E69" s="1576"/>
      <c r="F69" s="1576"/>
      <c r="I69" s="28"/>
      <c r="J69" s="28"/>
      <c r="O69" s="829"/>
    </row>
    <row r="70" spans="1:15" ht="20" thickBot="1">
      <c r="A70" s="828"/>
      <c r="B70" s="1519" t="s">
        <v>888</v>
      </c>
      <c r="C70" s="1493">
        <f>IFERROR(F68/F67,0)</f>
        <v>0</v>
      </c>
      <c r="D70" s="2920" t="str">
        <f>IF(C70&lt;0.1,"savings less than 10%, NOT ELIGIBLE","savings at least 10%, ELIGIBLE")</f>
        <v>savings less than 10%, NOT ELIGIBLE</v>
      </c>
      <c r="E70" s="2920"/>
      <c r="F70" s="2921"/>
      <c r="I70" s="28"/>
      <c r="J70" s="28"/>
      <c r="O70" s="829"/>
    </row>
    <row r="71" spans="1:15" ht="20" thickBot="1">
      <c r="A71" s="1574"/>
      <c r="B71" s="523"/>
      <c r="C71" s="1584"/>
      <c r="D71" s="1585"/>
      <c r="E71" s="1585"/>
      <c r="F71" s="1585"/>
      <c r="G71" s="1585"/>
      <c r="H71" s="1585"/>
      <c r="I71" s="1586"/>
      <c r="J71" s="1586"/>
      <c r="K71" s="523"/>
      <c r="L71" s="523"/>
      <c r="M71" s="523"/>
      <c r="N71" s="523"/>
      <c r="O71" s="1573"/>
    </row>
  </sheetData>
  <sheetProtection algorithmName="SHA-512" hashValue="yp8rJkzNbo9jeHxbxbvRLhz85jlaeyF/VZjA2EUGyIYEYPjIuelBLTA2ZUng28mquviMZRqfta9IYql1MUNWYA==" saltValue="sZVHKnQSoqSYOTt5+BvTzQ==" spinCount="100000" sheet="1" scenarios="1" formatCells="0" formatColumns="0" formatRows="0"/>
  <customSheetViews>
    <customSheetView guid="{EDC0EC15-0264-48C8-A990-093960AE8EF3}" scale="85" showGridLines="0" printArea="1" hiddenRows="1" topLeftCell="B1">
      <selection activeCell="B3" sqref="B3"/>
      <pageMargins left="0" right="0" top="0" bottom="0" header="0" footer="0"/>
      <printOptions horizontalCentered="1"/>
      <pageSetup scale="61" orientation="landscape" r:id="rId1"/>
      <headerFooter differentFirst="1">
        <firstHeader>&amp;L&amp;G&amp;C&amp;8
&amp;18Credit Memo</firstHeader>
      </headerFooter>
    </customSheetView>
    <customSheetView guid="{6E1FDEE6-49D0-4876-8C7C-09893145D2CE}" scale="85" showGridLines="0" printArea="1" hiddenRows="1" topLeftCell="B1">
      <selection activeCell="B3" sqref="B3"/>
      <pageMargins left="0" right="0" top="0" bottom="0" header="0" footer="0"/>
      <printOptions horizontalCentered="1"/>
      <pageSetup scale="61" orientation="landscape" r:id="rId2"/>
      <headerFooter differentFirst="1">
        <firstHeader>&amp;L&amp;G&amp;C&amp;8
&amp;18Credit Memo</firstHeader>
      </headerFooter>
    </customSheetView>
    <customSheetView guid="{DB1F6E98-7FCC-445F-9DA6-47D8BF8BE969}" scale="85" showGridLines="0" printArea="1" hiddenRows="1" topLeftCell="B1">
      <selection activeCell="B3" sqref="B3"/>
      <pageMargins left="0" right="0" top="0" bottom="0" header="0" footer="0"/>
      <printOptions horizontalCentered="1"/>
      <pageSetup scale="61" orientation="landscape" r:id="rId3"/>
      <headerFooter differentFirst="1">
        <firstHeader>&amp;L&amp;G&amp;C&amp;8
&amp;18Credit Memo</firstHeader>
      </headerFooter>
    </customSheetView>
    <customSheetView guid="{C02CA8E5-5D4C-45E5-BC4A-4C9BE481059B}" scale="85" showGridLines="0" printArea="1" hiddenColumns="1" topLeftCell="D1">
      <selection activeCell="M1" sqref="M1:O1"/>
      <pageMargins left="0" right="0" top="0" bottom="0" header="0" footer="0"/>
      <printOptions horizontalCentered="1"/>
      <pageSetup scale="61" orientation="landscape" r:id="rId4"/>
      <headerFooter differentFirst="1">
        <firstHeader>&amp;L&amp;G&amp;C&amp;8
&amp;18Credit Memo</firstHeader>
      </headerFooter>
    </customSheetView>
  </customSheetViews>
  <mergeCells count="7">
    <mergeCell ref="D70:F70"/>
    <mergeCell ref="A38:O38"/>
    <mergeCell ref="D30:E30"/>
    <mergeCell ref="B2:H2"/>
    <mergeCell ref="B1:O1"/>
    <mergeCell ref="J4:K4"/>
    <mergeCell ref="B31:O31"/>
  </mergeCells>
  <conditionalFormatting sqref="C30">
    <cfRule type="cellIs" dxfId="28" priority="3" operator="equal">
      <formula>"Yes"</formula>
    </cfRule>
    <cfRule type="cellIs" dxfId="27" priority="4" operator="equal">
      <formula>"No"</formula>
    </cfRule>
  </conditionalFormatting>
  <conditionalFormatting sqref="C70">
    <cfRule type="cellIs" dxfId="26" priority="2" operator="lessThan">
      <formula>0.1</formula>
    </cfRule>
  </conditionalFormatting>
  <conditionalFormatting sqref="D70:F70">
    <cfRule type="cellIs" dxfId="25" priority="1" operator="lessThan">
      <formula>C70&lt;10%</formula>
    </cfRule>
  </conditionalFormatting>
  <printOptions horizontalCentered="1"/>
  <pageMargins left="0.7" right="0.7" top="0.75" bottom="0.75" header="0.3" footer="0.3"/>
  <pageSetup scale="40" orientation="landscape" r:id="rId5"/>
  <headerFooter differentFirst="1">
    <firstHeader>&amp;L&amp;G&amp;C&amp;8
&amp;18Credit Memo</firstHeader>
  </headerFooter>
  <drawing r:id="rId6"/>
  <legacyDrawing r:id="rId7"/>
  <mc:AlternateContent xmlns:mc="http://schemas.openxmlformats.org/markup-compatibility/2006">
    <mc:Choice Requires="x14">
      <controls>
        <mc:AlternateContent xmlns:mc="http://schemas.openxmlformats.org/markup-compatibility/2006">
          <mc:Choice Requires="x14">
            <control shapeId="15374" r:id="rId8" name="Button 14">
              <controlPr defaultSize="0" print="0" autoFill="0" autoPict="0" macro="[0]!UW_Debt_Sch_Insert_Row" altText="This will add an additional row to the table_x000a_">
                <anchor>
                  <from>
                    <xdr:col>6</xdr:col>
                    <xdr:colOff>800100</xdr:colOff>
                    <xdr:row>1</xdr:row>
                    <xdr:rowOff>63500</xdr:rowOff>
                  </from>
                  <to>
                    <xdr:col>8</xdr:col>
                    <xdr:colOff>660400</xdr:colOff>
                    <xdr:row>2</xdr:row>
                    <xdr:rowOff>177800</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F00-000001000000}">
          <x14:formula1>
            <xm:f>Lists!$A$54:$A$56</xm:f>
          </x14:formula1>
          <xm:sqref>B4</xm:sqref>
        </x14:dataValidation>
        <x14:dataValidation type="list" allowBlank="1" showInputMessage="1" showErrorMessage="1" xr:uid="{C2833FB9-A575-4CC9-A59D-1C7A28082A0C}">
          <x14:formula1>
            <xm:f>Lists!$C$2:$C$4</xm:f>
          </x14:formula1>
          <xm:sqref>M29 K7:K27 D42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4008C-D43B-41B9-B5CE-64DCBB5B8B5D}">
  <sheetPr codeName="Sheet67">
    <tabColor rgb="FF00B050"/>
    <pageSetUpPr autoPageBreaks="0"/>
  </sheetPr>
  <dimension ref="B1:AB111"/>
  <sheetViews>
    <sheetView showGridLines="0" zoomScale="85" zoomScaleNormal="85" workbookViewId="0">
      <selection activeCell="B6" sqref="B6"/>
    </sheetView>
  </sheetViews>
  <sheetFormatPr baseColWidth="10" defaultColWidth="8.83203125" defaultRowHeight="15" outlineLevelRow="1"/>
  <cols>
    <col min="1" max="1" width="5.6640625" customWidth="1"/>
    <col min="2" max="2" width="36" bestFit="1" customWidth="1"/>
    <col min="3" max="3" width="4.6640625" bestFit="1" customWidth="1"/>
    <col min="4" max="4" width="13.6640625" customWidth="1"/>
    <col min="5" max="5" width="8" bestFit="1" customWidth="1"/>
    <col min="6" max="6" width="13.6640625" customWidth="1"/>
    <col min="7" max="7" width="8" bestFit="1" customWidth="1"/>
    <col min="8" max="8" width="13.6640625" customWidth="1"/>
    <col min="9" max="9" width="8" customWidth="1"/>
    <col min="10" max="10" width="14.5" bestFit="1" customWidth="1"/>
    <col min="11" max="11" width="8" bestFit="1" customWidth="1"/>
    <col min="12" max="12" width="14.1640625" customWidth="1"/>
    <col min="13" max="13" width="8" customWidth="1"/>
    <col min="14" max="14" width="1.6640625" customWidth="1"/>
    <col min="15" max="15" width="5.6640625" customWidth="1"/>
    <col min="16" max="17" width="10.6640625" customWidth="1"/>
    <col min="18" max="19" width="17" customWidth="1"/>
  </cols>
  <sheetData>
    <row r="1" spans="2:21" ht="17" thickBot="1">
      <c r="B1" s="2880" t="s">
        <v>889</v>
      </c>
      <c r="C1" s="2881"/>
      <c r="D1" s="2881"/>
      <c r="E1" s="2881"/>
      <c r="F1" s="2881"/>
      <c r="G1" s="2881"/>
      <c r="H1" s="2881"/>
      <c r="I1" s="2881"/>
      <c r="J1" s="2881"/>
      <c r="K1" s="2881"/>
      <c r="L1" s="2881"/>
      <c r="M1" s="2881"/>
      <c r="N1" s="2882"/>
      <c r="Q1" s="1741"/>
      <c r="R1" s="1741"/>
      <c r="S1" s="1741"/>
    </row>
    <row r="2" spans="2:21" ht="17" thickBot="1">
      <c r="B2" s="2883" t="str">
        <f>'Hist IS and Proj'!B2</f>
        <v>{Insert business name which represents PSOR}</v>
      </c>
      <c r="C2" s="2884"/>
      <c r="D2" s="2884"/>
      <c r="E2" s="2884"/>
      <c r="F2" s="2884"/>
      <c r="G2" s="2884"/>
      <c r="H2" s="2884"/>
      <c r="I2" s="2884"/>
      <c r="J2" s="2884"/>
      <c r="K2" s="2884"/>
      <c r="L2" s="2884"/>
      <c r="M2" s="2884"/>
      <c r="N2" s="2885"/>
      <c r="P2" s="2936" t="s">
        <v>890</v>
      </c>
      <c r="Q2" s="2937"/>
      <c r="R2" s="2938"/>
      <c r="S2" s="2936" t="s">
        <v>891</v>
      </c>
      <c r="T2" s="2937"/>
      <c r="U2" s="2938"/>
    </row>
    <row r="3" spans="2:21" ht="16">
      <c r="B3" s="334"/>
      <c r="C3" s="335"/>
      <c r="D3" s="335"/>
      <c r="E3" s="335"/>
      <c r="F3" s="335"/>
      <c r="G3" s="335"/>
      <c r="H3" s="335"/>
      <c r="I3" s="335"/>
      <c r="J3" s="335"/>
      <c r="K3" s="335"/>
      <c r="L3" s="335"/>
      <c r="M3" s="335"/>
      <c r="N3" s="336"/>
      <c r="P3" s="982"/>
      <c r="Q3" s="983"/>
      <c r="R3" s="984"/>
      <c r="S3" s="985"/>
      <c r="T3" s="986"/>
      <c r="U3" s="987"/>
    </row>
    <row r="4" spans="2:21" ht="31.5" customHeight="1" thickBot="1">
      <c r="B4" s="312" t="s">
        <v>892</v>
      </c>
      <c r="C4" s="270"/>
      <c r="D4" s="1778">
        <v>45657</v>
      </c>
      <c r="E4" s="239"/>
      <c r="F4" s="989" t="str">
        <f>'Hist IS and Proj'!T4</f>
        <v>Borrower 
Year 1</v>
      </c>
      <c r="G4" s="239"/>
      <c r="H4" s="990" t="str">
        <f>'Hist IS and Proj'!X4</f>
        <v>Appraisal Proj</v>
      </c>
      <c r="I4" s="239"/>
      <c r="J4" s="989" t="str">
        <f>'Hist IS and Proj'!Z4</f>
        <v>Bank 
Adjusted</v>
      </c>
      <c r="K4" s="239"/>
      <c r="L4" s="988" t="s">
        <v>893</v>
      </c>
      <c r="M4" s="296"/>
      <c r="N4" s="235"/>
      <c r="P4" s="991"/>
      <c r="Q4" s="992"/>
      <c r="R4" s="993"/>
      <c r="S4" s="991"/>
      <c r="T4" s="992"/>
      <c r="U4" s="993"/>
    </row>
    <row r="5" spans="2:21" ht="16" hidden="1">
      <c r="B5" s="312"/>
      <c r="C5" s="270"/>
      <c r="D5" s="994">
        <f>'Hist IS and Proj'!H5</f>
        <v>12</v>
      </c>
      <c r="E5" s="316"/>
      <c r="F5" s="994">
        <v>12</v>
      </c>
      <c r="G5" s="316"/>
      <c r="H5" s="994">
        <v>12</v>
      </c>
      <c r="I5" s="316"/>
      <c r="J5" s="994">
        <v>12</v>
      </c>
      <c r="K5" s="316"/>
      <c r="L5" s="639">
        <v>1</v>
      </c>
      <c r="M5" s="296"/>
      <c r="N5" s="322"/>
    </row>
    <row r="6" spans="2:21" ht="16">
      <c r="B6" s="1764">
        <f>'Hist IS and Proj'!H4</f>
        <v>45291</v>
      </c>
      <c r="C6" s="270"/>
      <c r="D6" s="995"/>
      <c r="E6" s="316"/>
      <c r="F6" s="995"/>
      <c r="G6" s="316"/>
      <c r="H6" s="995"/>
      <c r="I6" s="316"/>
      <c r="J6" s="995"/>
      <c r="K6" s="316"/>
      <c r="L6" s="995"/>
      <c r="M6" s="296"/>
      <c r="N6" s="322"/>
    </row>
    <row r="7" spans="2:21" ht="17" thickBot="1">
      <c r="B7" s="1764">
        <f>'Hist IS and Proj'!J4</f>
        <v>45657</v>
      </c>
      <c r="C7" s="270"/>
      <c r="D7" s="995"/>
      <c r="E7" s="316"/>
      <c r="F7" s="995"/>
      <c r="G7" s="316"/>
      <c r="H7" s="995"/>
      <c r="I7" s="316"/>
      <c r="J7" s="995"/>
      <c r="K7" s="316"/>
      <c r="L7" s="2956" t="str">
        <f>IF(L$5=1,"",IF(L$5=2,D4,IF(L$5=3,F4,IF(L$5=4,H4,IF(L$5=5,J4,0)))))</f>
        <v/>
      </c>
      <c r="M7" s="296"/>
      <c r="N7" s="322"/>
    </row>
    <row r="8" spans="2:21" ht="17" thickBot="1">
      <c r="B8" s="236" t="s">
        <v>189</v>
      </c>
      <c r="C8" s="234" t="s">
        <v>795</v>
      </c>
      <c r="D8" s="314"/>
      <c r="E8" s="315"/>
      <c r="F8" s="314"/>
      <c r="G8" s="315"/>
      <c r="H8" s="314"/>
      <c r="I8" s="315"/>
      <c r="J8" s="314"/>
      <c r="K8" s="315"/>
      <c r="L8" s="2956"/>
      <c r="M8" s="314"/>
      <c r="N8" s="323"/>
      <c r="P8" s="2943" t="s">
        <v>894</v>
      </c>
      <c r="Q8" s="2944"/>
      <c r="R8" s="2944"/>
      <c r="S8" s="2944"/>
      <c r="T8" s="2944"/>
      <c r="U8" s="2945"/>
    </row>
    <row r="9" spans="2:21" ht="16">
      <c r="B9" s="233" t="s">
        <v>796</v>
      </c>
      <c r="C9" s="1052"/>
      <c r="D9" s="1756">
        <f>IF($D$4='Hist IS and Proj'!$H$4,'Hist IS and Proj'!H9,IF('Break Even'!$D$4='Hist IS and Proj'!$J$4,'Hist IS and Proj'!J9))</f>
        <v>0</v>
      </c>
      <c r="E9" s="634">
        <f>IF($D$18=0,0,D9/$D$18)</f>
        <v>0</v>
      </c>
      <c r="F9" s="996">
        <f>'Hist IS and Proj'!T9</f>
        <v>0</v>
      </c>
      <c r="G9" s="634">
        <f>IF($F$18=0,0,F9/$F$18)</f>
        <v>0</v>
      </c>
      <c r="H9" s="996">
        <f>'Hist IS and Proj'!X9</f>
        <v>0</v>
      </c>
      <c r="I9" s="634">
        <f>IF($H$18=0,0,H9/$H$18)</f>
        <v>0</v>
      </c>
      <c r="J9" s="996">
        <f>'Hist IS and Proj'!Z9</f>
        <v>0</v>
      </c>
      <c r="K9" s="637">
        <f>IF($J$18=0,0,J9/$J$18)</f>
        <v>0</v>
      </c>
      <c r="L9" s="997"/>
      <c r="M9" s="637">
        <f>IF($L$18=0,0,L9/$L$18)</f>
        <v>0</v>
      </c>
      <c r="N9" s="324"/>
      <c r="P9" s="636"/>
      <c r="Q9" s="636"/>
      <c r="R9" s="636"/>
      <c r="S9" s="636"/>
      <c r="T9" s="636"/>
      <c r="U9" s="636"/>
    </row>
    <row r="10" spans="2:21" ht="16">
      <c r="B10" s="233" t="s">
        <v>797</v>
      </c>
      <c r="C10" s="246"/>
      <c r="D10" s="1757">
        <f>IF($D$4='Hist IS and Proj'!$H$4,'Hist IS and Proj'!H10,IF('Break Even'!$D$4='Hist IS and Proj'!$J$4,'Hist IS and Proj'!J10))</f>
        <v>0</v>
      </c>
      <c r="E10" s="634">
        <f t="shared" ref="E10:E23" si="0">IF($D$18=0,0,D10/$D$18)</f>
        <v>0</v>
      </c>
      <c r="F10" s="998">
        <f>'Hist IS and Proj'!T10</f>
        <v>0</v>
      </c>
      <c r="G10" s="634">
        <f t="shared" ref="G10:G23" si="1">IF($F$18=0,0,F10/$F$18)</f>
        <v>0</v>
      </c>
      <c r="H10" s="999">
        <f>'Hist IS and Proj'!X10</f>
        <v>0</v>
      </c>
      <c r="I10" s="634">
        <f t="shared" ref="I10:I23" si="2">IF($H$18=0,0,H10/$H$18)</f>
        <v>0</v>
      </c>
      <c r="J10" s="999">
        <f>'Hist IS and Proj'!Z10</f>
        <v>0</v>
      </c>
      <c r="K10" s="637">
        <f t="shared" ref="K10:K23" si="3">IF($J$18=0,0,J10/$J$18)</f>
        <v>0</v>
      </c>
      <c r="L10" s="1000"/>
      <c r="M10" s="637">
        <f t="shared" ref="M10:M23" si="4">IF($L$18=0,0,L10/$L$18)</f>
        <v>0</v>
      </c>
      <c r="N10" s="324"/>
      <c r="P10" s="2946" t="s">
        <v>889</v>
      </c>
      <c r="Q10" s="2947"/>
      <c r="R10" s="2947"/>
      <c r="S10" s="2947"/>
      <c r="T10" s="2947"/>
      <c r="U10" s="2948"/>
    </row>
    <row r="11" spans="2:21" ht="17" thickBot="1">
      <c r="B11" s="233" t="s">
        <v>798</v>
      </c>
      <c r="C11" s="246"/>
      <c r="D11" s="642">
        <f>D9-D10</f>
        <v>0</v>
      </c>
      <c r="E11" s="634">
        <f t="shared" si="0"/>
        <v>0</v>
      </c>
      <c r="F11" s="642">
        <f>F9-F10</f>
        <v>0</v>
      </c>
      <c r="G11" s="634">
        <f t="shared" si="1"/>
        <v>0</v>
      </c>
      <c r="H11" s="642">
        <f>H9-H10</f>
        <v>0</v>
      </c>
      <c r="I11" s="634">
        <f t="shared" si="2"/>
        <v>0</v>
      </c>
      <c r="J11" s="642">
        <f>J9-J10</f>
        <v>0</v>
      </c>
      <c r="K11" s="637">
        <f t="shared" si="3"/>
        <v>0</v>
      </c>
      <c r="L11" s="1000"/>
      <c r="M11" s="637">
        <f t="shared" si="4"/>
        <v>0</v>
      </c>
      <c r="N11" s="324"/>
      <c r="P11" s="2951" t="s">
        <v>895</v>
      </c>
      <c r="Q11" s="2952"/>
      <c r="R11" s="2952"/>
      <c r="S11" s="2949" t="str">
        <f>L7</f>
        <v/>
      </c>
      <c r="T11" s="2949"/>
      <c r="U11" s="2950"/>
    </row>
    <row r="12" spans="2:21" ht="16">
      <c r="B12" s="233" t="s">
        <v>799</v>
      </c>
      <c r="C12" s="246"/>
      <c r="D12" s="1756">
        <f>IF($D$4='Hist IS and Proj'!$H$4,'Hist IS and Proj'!H12,IF('Break Even'!$D$4='Hist IS and Proj'!$J$4,'Hist IS and Proj'!J12))</f>
        <v>0</v>
      </c>
      <c r="E12" s="634">
        <f t="shared" si="0"/>
        <v>0</v>
      </c>
      <c r="F12" s="996">
        <f>'Hist IS and Proj'!T12</f>
        <v>0</v>
      </c>
      <c r="G12" s="634">
        <f t="shared" si="1"/>
        <v>0</v>
      </c>
      <c r="H12" s="996">
        <f>'Hist IS and Proj'!X12</f>
        <v>0</v>
      </c>
      <c r="I12" s="634">
        <f t="shared" si="2"/>
        <v>0</v>
      </c>
      <c r="J12" s="996">
        <f>'Hist IS and Proj'!Z12</f>
        <v>0</v>
      </c>
      <c r="K12" s="637">
        <f t="shared" si="3"/>
        <v>0</v>
      </c>
      <c r="L12" s="1000"/>
      <c r="M12" s="637">
        <f t="shared" si="4"/>
        <v>0</v>
      </c>
      <c r="N12" s="324"/>
      <c r="P12" s="2939" t="s">
        <v>896</v>
      </c>
      <c r="Q12" s="2940"/>
      <c r="R12" s="2940"/>
      <c r="S12" s="1001">
        <f>L22</f>
        <v>0</v>
      </c>
      <c r="T12" s="1002"/>
      <c r="U12" s="1003"/>
    </row>
    <row r="13" spans="2:21" ht="16">
      <c r="B13" s="233" t="s">
        <v>800</v>
      </c>
      <c r="C13" s="246"/>
      <c r="D13" s="1757">
        <f>IF($D$4='Hist IS and Proj'!$H$4,'Hist IS and Proj'!H13,IF('Break Even'!$D$4='Hist IS and Proj'!$J$4,'Hist IS and Proj'!J13))</f>
        <v>0</v>
      </c>
      <c r="E13" s="634">
        <f t="shared" si="0"/>
        <v>0</v>
      </c>
      <c r="F13" s="998">
        <f>'Hist IS and Proj'!T13</f>
        <v>0</v>
      </c>
      <c r="G13" s="634">
        <f t="shared" si="1"/>
        <v>0</v>
      </c>
      <c r="H13" s="999">
        <f>'Hist IS and Proj'!X13</f>
        <v>0</v>
      </c>
      <c r="I13" s="634">
        <f t="shared" si="2"/>
        <v>0</v>
      </c>
      <c r="J13" s="999">
        <f>'Hist IS and Proj'!Z13</f>
        <v>0</v>
      </c>
      <c r="K13" s="637">
        <f t="shared" si="3"/>
        <v>0</v>
      </c>
      <c r="L13" s="1000"/>
      <c r="M13" s="637">
        <f t="shared" si="4"/>
        <v>0</v>
      </c>
      <c r="N13" s="324"/>
      <c r="P13" s="2941" t="s">
        <v>897</v>
      </c>
      <c r="Q13" s="2942"/>
      <c r="R13" s="2942"/>
      <c r="S13" s="1004">
        <f>L23</f>
        <v>0</v>
      </c>
      <c r="T13" s="244"/>
      <c r="U13" s="251"/>
    </row>
    <row r="14" spans="2:21" ht="16">
      <c r="B14" s="233" t="s">
        <v>801</v>
      </c>
      <c r="C14" s="246"/>
      <c r="D14" s="642">
        <f>D12-D13</f>
        <v>0</v>
      </c>
      <c r="E14" s="634">
        <f t="shared" si="0"/>
        <v>0</v>
      </c>
      <c r="F14" s="642">
        <f>F12-F13</f>
        <v>0</v>
      </c>
      <c r="G14" s="634">
        <f t="shared" si="1"/>
        <v>0</v>
      </c>
      <c r="H14" s="642">
        <f>H12-H13</f>
        <v>0</v>
      </c>
      <c r="I14" s="634">
        <f t="shared" si="2"/>
        <v>0</v>
      </c>
      <c r="J14" s="642">
        <f>J12-J13</f>
        <v>0</v>
      </c>
      <c r="K14" s="637">
        <f t="shared" si="3"/>
        <v>0</v>
      </c>
      <c r="L14" s="1000"/>
      <c r="M14" s="637">
        <f t="shared" si="4"/>
        <v>0</v>
      </c>
      <c r="N14" s="324"/>
      <c r="P14" s="2941" t="s">
        <v>898</v>
      </c>
      <c r="Q14" s="2942"/>
      <c r="R14" s="2942"/>
      <c r="S14" s="1004">
        <f>L93</f>
        <v>0</v>
      </c>
      <c r="T14" s="244"/>
      <c r="U14" s="251"/>
    </row>
    <row r="15" spans="2:21" ht="16">
      <c r="B15" s="233" t="s">
        <v>802</v>
      </c>
      <c r="C15" s="246"/>
      <c r="D15" s="1756">
        <f>IF($D$4='Hist IS and Proj'!$H$4,'Hist IS and Proj'!H15,IF('Break Even'!$D$4='Hist IS and Proj'!$J$4,'Hist IS and Proj'!J15))</f>
        <v>0</v>
      </c>
      <c r="E15" s="634">
        <f t="shared" si="0"/>
        <v>0</v>
      </c>
      <c r="F15" s="996">
        <f>'Hist IS and Proj'!T15</f>
        <v>0</v>
      </c>
      <c r="G15" s="634">
        <f t="shared" si="1"/>
        <v>0</v>
      </c>
      <c r="H15" s="996">
        <f>'Hist IS and Proj'!X15</f>
        <v>0</v>
      </c>
      <c r="I15" s="634">
        <f t="shared" si="2"/>
        <v>0</v>
      </c>
      <c r="J15" s="996">
        <f>'Hist IS and Proj'!Z15</f>
        <v>0</v>
      </c>
      <c r="K15" s="637">
        <f t="shared" si="3"/>
        <v>0</v>
      </c>
      <c r="L15" s="1000"/>
      <c r="M15" s="637">
        <f t="shared" si="4"/>
        <v>0</v>
      </c>
      <c r="N15" s="324"/>
      <c r="P15" s="2941" t="s">
        <v>899</v>
      </c>
      <c r="Q15" s="2942"/>
      <c r="R15" s="2942"/>
      <c r="S15" s="1005">
        <f>L80</f>
        <v>0</v>
      </c>
      <c r="T15" s="244"/>
      <c r="U15" s="251"/>
    </row>
    <row r="16" spans="2:21" ht="16">
      <c r="B16" s="233" t="s">
        <v>803</v>
      </c>
      <c r="C16" s="246"/>
      <c r="D16" s="1757">
        <f>IF($D$4='Hist IS and Proj'!$H$4,'Hist IS and Proj'!H16,IF('Break Even'!$D$4='Hist IS and Proj'!$J$4,'Hist IS and Proj'!J16))</f>
        <v>0</v>
      </c>
      <c r="E16" s="634">
        <f t="shared" si="0"/>
        <v>0</v>
      </c>
      <c r="F16" s="998">
        <f>'Hist IS and Proj'!T16</f>
        <v>0</v>
      </c>
      <c r="G16" s="634">
        <f t="shared" si="1"/>
        <v>0</v>
      </c>
      <c r="H16" s="999">
        <f>'Hist IS and Proj'!X16</f>
        <v>0</v>
      </c>
      <c r="I16" s="634">
        <f t="shared" si="2"/>
        <v>0</v>
      </c>
      <c r="J16" s="999">
        <f>'Hist IS and Proj'!Z16</f>
        <v>0</v>
      </c>
      <c r="K16" s="637">
        <f t="shared" si="3"/>
        <v>0</v>
      </c>
      <c r="L16" s="1000"/>
      <c r="M16" s="637">
        <f t="shared" si="4"/>
        <v>0</v>
      </c>
      <c r="N16" s="324"/>
      <c r="P16" s="2941" t="s">
        <v>900</v>
      </c>
      <c r="Q16" s="2942"/>
      <c r="R16" s="2942"/>
      <c r="S16" s="1005">
        <f>L76</f>
        <v>0</v>
      </c>
      <c r="T16" s="244"/>
      <c r="U16" s="251"/>
    </row>
    <row r="17" spans="2:21" ht="17" thickBot="1">
      <c r="B17" s="233" t="s">
        <v>804</v>
      </c>
      <c r="C17" s="246"/>
      <c r="D17" s="642">
        <f>D15-D16</f>
        <v>0</v>
      </c>
      <c r="E17" s="634">
        <f t="shared" si="0"/>
        <v>0</v>
      </c>
      <c r="F17" s="642">
        <f>F15-F16</f>
        <v>0</v>
      </c>
      <c r="G17" s="634">
        <f t="shared" si="1"/>
        <v>0</v>
      </c>
      <c r="H17" s="642">
        <f>H15-H16</f>
        <v>0</v>
      </c>
      <c r="I17" s="634">
        <f t="shared" si="2"/>
        <v>0</v>
      </c>
      <c r="J17" s="642">
        <f>J15-J16</f>
        <v>0</v>
      </c>
      <c r="K17" s="637">
        <f t="shared" si="3"/>
        <v>0</v>
      </c>
      <c r="L17" s="1006"/>
      <c r="M17" s="637">
        <f t="shared" si="4"/>
        <v>0</v>
      </c>
      <c r="N17" s="324"/>
      <c r="P17" s="2941" t="s">
        <v>901</v>
      </c>
      <c r="Q17" s="2942"/>
      <c r="R17" s="2942"/>
      <c r="S17" s="1004">
        <f>L85</f>
        <v>0</v>
      </c>
      <c r="T17" s="244"/>
      <c r="U17" s="251"/>
    </row>
    <row r="18" spans="2:21" ht="17" thickBot="1">
      <c r="B18" s="236" t="s">
        <v>194</v>
      </c>
      <c r="C18" s="1053"/>
      <c r="D18" s="643">
        <f>D9+D12+D15</f>
        <v>0</v>
      </c>
      <c r="E18" s="634">
        <f t="shared" si="0"/>
        <v>0</v>
      </c>
      <c r="F18" s="643">
        <f>F9+F12+F15</f>
        <v>0</v>
      </c>
      <c r="G18" s="634">
        <f t="shared" si="1"/>
        <v>0</v>
      </c>
      <c r="H18" s="643">
        <f>H9+H12+H15</f>
        <v>0</v>
      </c>
      <c r="I18" s="634">
        <f t="shared" si="2"/>
        <v>0</v>
      </c>
      <c r="J18" s="643">
        <f>J9+J12+J15</f>
        <v>0</v>
      </c>
      <c r="K18" s="637">
        <f t="shared" si="3"/>
        <v>0</v>
      </c>
      <c r="L18" s="1467">
        <v>0</v>
      </c>
      <c r="M18" s="1008">
        <f t="shared" si="4"/>
        <v>0</v>
      </c>
      <c r="N18" s="324"/>
      <c r="P18" s="248"/>
      <c r="Q18" s="244"/>
      <c r="R18" s="244"/>
      <c r="S18" s="244"/>
      <c r="T18" s="244"/>
      <c r="U18" s="251"/>
    </row>
    <row r="19" spans="2:21" ht="17" thickBot="1">
      <c r="B19" s="236" t="s">
        <v>195</v>
      </c>
      <c r="C19" s="1053"/>
      <c r="D19" s="644">
        <f>D10+D13+D16</f>
        <v>0</v>
      </c>
      <c r="E19" s="634">
        <f t="shared" si="0"/>
        <v>0</v>
      </c>
      <c r="F19" s="644">
        <f>F10+F13+F16</f>
        <v>0</v>
      </c>
      <c r="G19" s="634">
        <f t="shared" si="1"/>
        <v>0</v>
      </c>
      <c r="H19" s="644">
        <f>H10+H13+H16</f>
        <v>0</v>
      </c>
      <c r="I19" s="634">
        <f t="shared" si="2"/>
        <v>0</v>
      </c>
      <c r="J19" s="644">
        <f>J10+J13+J16</f>
        <v>0</v>
      </c>
      <c r="K19" s="637">
        <f t="shared" si="3"/>
        <v>0</v>
      </c>
      <c r="L19" s="1009">
        <f>IF(L$5=2,L$18*E19,IF(L$5=3,L$18*G19,IF(L$5=4,L$18*I19,IF(L$5=5,L$18*K19,0))))</f>
        <v>0</v>
      </c>
      <c r="M19" s="1008">
        <f t="shared" si="4"/>
        <v>0</v>
      </c>
      <c r="N19" s="324"/>
      <c r="P19" s="248"/>
      <c r="Q19" s="244"/>
      <c r="R19" s="244"/>
      <c r="S19" s="244"/>
      <c r="T19" s="244"/>
      <c r="U19" s="251"/>
    </row>
    <row r="20" spans="2:21" ht="16">
      <c r="B20" s="236" t="s">
        <v>196</v>
      </c>
      <c r="C20" s="1053"/>
      <c r="D20" s="645">
        <f>D18-D19</f>
        <v>0</v>
      </c>
      <c r="E20" s="634">
        <f t="shared" si="0"/>
        <v>0</v>
      </c>
      <c r="F20" s="645">
        <f>F18-F19</f>
        <v>0</v>
      </c>
      <c r="G20" s="634">
        <f t="shared" si="1"/>
        <v>0</v>
      </c>
      <c r="H20" s="645">
        <f>H18-H19</f>
        <v>0</v>
      </c>
      <c r="I20" s="634">
        <f t="shared" si="2"/>
        <v>0</v>
      </c>
      <c r="J20" s="645">
        <f>J18-J19</f>
        <v>0</v>
      </c>
      <c r="K20" s="637">
        <f t="shared" si="3"/>
        <v>0</v>
      </c>
      <c r="L20" s="645">
        <f>L18-L19</f>
        <v>0</v>
      </c>
      <c r="M20" s="637">
        <f t="shared" si="4"/>
        <v>0</v>
      </c>
      <c r="N20" s="324"/>
      <c r="P20" s="248" t="s">
        <v>740</v>
      </c>
      <c r="Q20" s="244"/>
      <c r="R20" s="244"/>
      <c r="S20" s="1007">
        <f>M20</f>
        <v>0</v>
      </c>
      <c r="T20" s="244"/>
      <c r="U20" s="251"/>
    </row>
    <row r="21" spans="2:21" ht="16">
      <c r="B21" s="236"/>
      <c r="C21" s="1053"/>
      <c r="D21" s="644"/>
      <c r="E21" s="634"/>
      <c r="F21" s="644"/>
      <c r="G21" s="634"/>
      <c r="H21" s="644"/>
      <c r="I21" s="634"/>
      <c r="J21" s="644"/>
      <c r="K21" s="637"/>
      <c r="L21" s="644"/>
      <c r="M21" s="637"/>
      <c r="N21" s="324"/>
      <c r="P21" s="248" t="s">
        <v>902</v>
      </c>
      <c r="Q21" s="244"/>
      <c r="R21" s="244"/>
      <c r="S21" s="1004">
        <f>L18</f>
        <v>0</v>
      </c>
      <c r="T21" s="244"/>
      <c r="U21" s="251"/>
    </row>
    <row r="22" spans="2:21" ht="16">
      <c r="B22" s="236" t="s">
        <v>805</v>
      </c>
      <c r="C22" s="1053"/>
      <c r="D22" s="653">
        <f>+D27+D35+D36+D38</f>
        <v>0</v>
      </c>
      <c r="E22" s="634">
        <f t="shared" si="0"/>
        <v>0</v>
      </c>
      <c r="F22" s="646">
        <f>'Hist IS and Proj'!T22</f>
        <v>0</v>
      </c>
      <c r="G22" s="634">
        <f t="shared" si="1"/>
        <v>0</v>
      </c>
      <c r="H22" s="646">
        <f>'Hist IS and Proj'!X22</f>
        <v>0</v>
      </c>
      <c r="I22" s="634">
        <f t="shared" si="2"/>
        <v>0</v>
      </c>
      <c r="J22" s="646">
        <f>'Hist IS and Proj'!Z22</f>
        <v>0</v>
      </c>
      <c r="K22" s="637">
        <f t="shared" si="3"/>
        <v>0</v>
      </c>
      <c r="L22" s="646">
        <f>IF(L$5=2,L$18*E22,IF(L$5=3,L$18*G22,IF(L$5=4,L$18*I22,IF(L$5=5,L$18*K22,0))))</f>
        <v>0</v>
      </c>
      <c r="M22" s="637">
        <f t="shared" si="4"/>
        <v>0</v>
      </c>
      <c r="N22" s="324"/>
      <c r="P22" s="248"/>
      <c r="Q22" s="244"/>
      <c r="R22" s="244"/>
      <c r="S22" s="244"/>
      <c r="T22" s="244"/>
      <c r="U22" s="251"/>
    </row>
    <row r="23" spans="2:21" ht="15.75" customHeight="1">
      <c r="B23" s="236" t="s">
        <v>806</v>
      </c>
      <c r="C23" s="1053"/>
      <c r="D23" s="647">
        <f>+D50-D22</f>
        <v>0</v>
      </c>
      <c r="E23" s="634">
        <f t="shared" si="0"/>
        <v>0</v>
      </c>
      <c r="F23" s="648">
        <f>'Hist IS and Proj'!T23</f>
        <v>0</v>
      </c>
      <c r="G23" s="634">
        <f t="shared" si="1"/>
        <v>0</v>
      </c>
      <c r="H23" s="648">
        <f>'Hist IS and Proj'!X23</f>
        <v>0</v>
      </c>
      <c r="I23" s="634">
        <f t="shared" si="2"/>
        <v>0</v>
      </c>
      <c r="J23" s="648">
        <f>'Hist IS and Proj'!Z23</f>
        <v>0</v>
      </c>
      <c r="K23" s="637">
        <f t="shared" si="3"/>
        <v>0</v>
      </c>
      <c r="L23" s="648">
        <f>IF(L$5=2,D23,IF(L$5=3,F23,IF(L$5=4,H23,IF(L$5=5,J23,0))))</f>
        <v>0</v>
      </c>
      <c r="M23" s="637">
        <f t="shared" si="4"/>
        <v>0</v>
      </c>
      <c r="N23" s="324"/>
      <c r="P23" s="248" t="s">
        <v>903</v>
      </c>
      <c r="Q23" s="244"/>
      <c r="R23" s="244"/>
      <c r="S23" s="1007">
        <f>IFERROR(L18/D18,0)</f>
        <v>0</v>
      </c>
      <c r="T23" s="244"/>
      <c r="U23" s="251"/>
    </row>
    <row r="24" spans="2:21" ht="16">
      <c r="B24" s="236"/>
      <c r="C24" s="1053"/>
      <c r="D24" s="643"/>
      <c r="E24" s="634"/>
      <c r="F24" s="643"/>
      <c r="G24" s="634"/>
      <c r="H24" s="643"/>
      <c r="I24" s="634"/>
      <c r="J24" s="643"/>
      <c r="K24" s="637"/>
      <c r="L24" s="643"/>
      <c r="M24" s="638"/>
      <c r="N24" s="325"/>
      <c r="P24" s="248" t="s">
        <v>904</v>
      </c>
      <c r="Q24" s="244"/>
      <c r="R24" s="244"/>
      <c r="S24" s="1007">
        <f>IFERROR(L18/F18,0)</f>
        <v>0</v>
      </c>
      <c r="T24" s="244"/>
      <c r="U24" s="251"/>
    </row>
    <row r="25" spans="2:21" ht="16">
      <c r="B25" s="236" t="s">
        <v>197</v>
      </c>
      <c r="C25" s="1053"/>
      <c r="D25" s="1010"/>
      <c r="E25" s="634"/>
      <c r="F25" s="1010"/>
      <c r="G25" s="634"/>
      <c r="H25" s="1010"/>
      <c r="I25" s="634"/>
      <c r="J25" s="1010"/>
      <c r="K25" s="637"/>
      <c r="L25" s="1010"/>
      <c r="M25" s="637"/>
      <c r="N25" s="324"/>
      <c r="P25" s="248" t="s">
        <v>905</v>
      </c>
      <c r="Q25" s="244"/>
      <c r="R25" s="244"/>
      <c r="S25" s="1007">
        <f>IFERROR(L18/J18,0)</f>
        <v>0</v>
      </c>
      <c r="T25" s="244"/>
      <c r="U25" s="251"/>
    </row>
    <row r="26" spans="2:21" ht="16">
      <c r="B26" s="233" t="s">
        <v>198</v>
      </c>
      <c r="C26" s="246"/>
      <c r="D26" s="1757">
        <f>IF($D$4='Hist IS and Proj'!$H$4,'Hist IS and Proj'!H26,IF('Break Even'!$D$4='Hist IS and Proj'!$J$4,'Hist IS and Proj'!J26))</f>
        <v>0</v>
      </c>
      <c r="E26" s="634">
        <f t="shared" ref="E26:E60" si="5">IF($D$18=0,0,D26/$D$18)</f>
        <v>0</v>
      </c>
      <c r="F26" s="996">
        <f>'Hist IS and Proj'!T26</f>
        <v>0</v>
      </c>
      <c r="G26" s="634">
        <f t="shared" ref="G26:G60" si="6">IF($F$18=0,0,F26/$F$18)</f>
        <v>0</v>
      </c>
      <c r="H26" s="996">
        <f>'Hist IS and Proj'!X26</f>
        <v>0</v>
      </c>
      <c r="I26" s="634">
        <f t="shared" ref="I26:I50" si="7">IF($H$18=0,0,H26/$H$18)</f>
        <v>0</v>
      </c>
      <c r="J26" s="996">
        <f>'Hist IS and Proj'!Z26</f>
        <v>0</v>
      </c>
      <c r="K26" s="637">
        <f t="shared" ref="K26:K50" si="8">IF($J$18=0,0,J26/$J$18)</f>
        <v>0</v>
      </c>
      <c r="L26" s="1000"/>
      <c r="M26" s="637">
        <f t="shared" ref="M26:M63" si="9">IF($L$18=0,0,L26/$L$18)</f>
        <v>0</v>
      </c>
      <c r="N26" s="324"/>
      <c r="P26" s="248" t="s">
        <v>906</v>
      </c>
      <c r="Q26" s="244"/>
      <c r="R26" s="244"/>
      <c r="S26" s="1007">
        <f>-100%+S23</f>
        <v>-1</v>
      </c>
      <c r="T26" s="244"/>
      <c r="U26" s="251"/>
    </row>
    <row r="27" spans="2:21" ht="16">
      <c r="B27" s="233" t="s">
        <v>200</v>
      </c>
      <c r="C27" s="246"/>
      <c r="D27" s="1757">
        <f>IF($D$4='Hist IS and Proj'!$H$4,'Hist IS and Proj'!H27,IF('Break Even'!$D$4='Hist IS and Proj'!$J$4,'Hist IS and Proj'!J27))</f>
        <v>0</v>
      </c>
      <c r="E27" s="634">
        <f t="shared" si="5"/>
        <v>0</v>
      </c>
      <c r="F27" s="998">
        <f>'Hist IS and Proj'!T27</f>
        <v>0</v>
      </c>
      <c r="G27" s="634">
        <f t="shared" si="6"/>
        <v>0</v>
      </c>
      <c r="H27" s="998">
        <f>'Hist IS and Proj'!X27</f>
        <v>0</v>
      </c>
      <c r="I27" s="634">
        <f t="shared" si="7"/>
        <v>0</v>
      </c>
      <c r="J27" s="998">
        <f>'Hist IS and Proj'!Z27</f>
        <v>0</v>
      </c>
      <c r="K27" s="637">
        <f t="shared" si="8"/>
        <v>0</v>
      </c>
      <c r="L27" s="1000"/>
      <c r="M27" s="637">
        <f t="shared" si="9"/>
        <v>0</v>
      </c>
      <c r="N27" s="324"/>
      <c r="P27" s="2957" t="s">
        <v>907</v>
      </c>
      <c r="Q27" s="2958"/>
      <c r="R27" s="2958"/>
      <c r="S27" s="2958"/>
      <c r="T27" s="2958"/>
      <c r="U27" s="2959"/>
    </row>
    <row r="28" spans="2:21" ht="17" thickBot="1">
      <c r="B28" s="233" t="s">
        <v>201</v>
      </c>
      <c r="C28" s="246"/>
      <c r="D28" s="1757">
        <f>IF($D$4='Hist IS and Proj'!$H$4,'Hist IS and Proj'!H28,IF('Break Even'!$D$4='Hist IS and Proj'!$J$4,'Hist IS and Proj'!J28))</f>
        <v>0</v>
      </c>
      <c r="E28" s="634">
        <f t="shared" si="5"/>
        <v>0</v>
      </c>
      <c r="F28" s="998">
        <f>'Hist IS and Proj'!T28</f>
        <v>0</v>
      </c>
      <c r="G28" s="634">
        <f t="shared" si="6"/>
        <v>0</v>
      </c>
      <c r="H28" s="998">
        <f>'Hist IS and Proj'!X28</f>
        <v>0</v>
      </c>
      <c r="I28" s="634">
        <f t="shared" si="7"/>
        <v>0</v>
      </c>
      <c r="J28" s="998">
        <f>'Hist IS and Proj'!Z28</f>
        <v>0</v>
      </c>
      <c r="K28" s="637">
        <f t="shared" si="8"/>
        <v>0</v>
      </c>
      <c r="L28" s="1000"/>
      <c r="M28" s="637">
        <f t="shared" si="9"/>
        <v>0</v>
      </c>
      <c r="N28" s="324"/>
      <c r="P28" s="2960"/>
      <c r="Q28" s="2961"/>
      <c r="R28" s="2961"/>
      <c r="S28" s="2961"/>
      <c r="T28" s="2961"/>
      <c r="U28" s="2962"/>
    </row>
    <row r="29" spans="2:21" ht="17" thickBot="1">
      <c r="B29" s="233" t="s">
        <v>202</v>
      </c>
      <c r="C29" s="246"/>
      <c r="D29" s="1757">
        <f>IF($D$4='Hist IS and Proj'!$H$4,'Hist IS and Proj'!H29,IF('Break Even'!$D$4='Hist IS and Proj'!$J$4,'Hist IS and Proj'!J29))</f>
        <v>0</v>
      </c>
      <c r="E29" s="634">
        <f t="shared" si="5"/>
        <v>0</v>
      </c>
      <c r="F29" s="998">
        <f>'Hist IS and Proj'!T29</f>
        <v>0</v>
      </c>
      <c r="G29" s="634">
        <f t="shared" si="6"/>
        <v>0</v>
      </c>
      <c r="H29" s="998">
        <f>'Hist IS and Proj'!X29</f>
        <v>0</v>
      </c>
      <c r="I29" s="634">
        <f t="shared" si="7"/>
        <v>0</v>
      </c>
      <c r="J29" s="998">
        <f>'Hist IS and Proj'!Z29</f>
        <v>0</v>
      </c>
      <c r="K29" s="637">
        <f t="shared" si="8"/>
        <v>0</v>
      </c>
      <c r="L29" s="1000"/>
      <c r="M29" s="637">
        <f t="shared" si="9"/>
        <v>0</v>
      </c>
      <c r="N29" s="324"/>
      <c r="P29" s="1011"/>
      <c r="Q29" s="1011"/>
      <c r="R29" s="1011"/>
      <c r="S29" s="1011"/>
      <c r="T29" s="1011"/>
      <c r="U29" s="1011"/>
    </row>
    <row r="30" spans="2:21" ht="16">
      <c r="B30" s="233" t="s">
        <v>203</v>
      </c>
      <c r="C30" s="246"/>
      <c r="D30" s="1757">
        <f>IF($D$4='Hist IS and Proj'!$H$4,'Hist IS and Proj'!H30,IF('Break Even'!$D$4='Hist IS and Proj'!$J$4,'Hist IS and Proj'!J30))</f>
        <v>0</v>
      </c>
      <c r="E30" s="634">
        <f t="shared" si="5"/>
        <v>0</v>
      </c>
      <c r="F30" s="998">
        <f>'Hist IS and Proj'!T30</f>
        <v>0</v>
      </c>
      <c r="G30" s="634">
        <f t="shared" si="6"/>
        <v>0</v>
      </c>
      <c r="H30" s="998">
        <f>'Hist IS and Proj'!X30</f>
        <v>0</v>
      </c>
      <c r="I30" s="634">
        <f t="shared" si="7"/>
        <v>0</v>
      </c>
      <c r="J30" s="998">
        <f>'Hist IS and Proj'!Z30</f>
        <v>0</v>
      </c>
      <c r="K30" s="637">
        <f t="shared" si="8"/>
        <v>0</v>
      </c>
      <c r="L30" s="1000"/>
      <c r="M30" s="637">
        <f t="shared" si="9"/>
        <v>0</v>
      </c>
      <c r="N30" s="324"/>
      <c r="P30" s="1012"/>
      <c r="Q30" s="1002"/>
      <c r="R30" s="1002"/>
      <c r="S30" s="1002"/>
      <c r="T30" s="1002"/>
      <c r="U30" s="1003"/>
    </row>
    <row r="31" spans="2:21" ht="16">
      <c r="B31" s="233" t="s">
        <v>204</v>
      </c>
      <c r="C31" s="246"/>
      <c r="D31" s="1757">
        <f>IF($D$4='Hist IS and Proj'!$H$4,'Hist IS and Proj'!H31,IF('Break Even'!$D$4='Hist IS and Proj'!$J$4,'Hist IS and Proj'!J31))</f>
        <v>0</v>
      </c>
      <c r="E31" s="634">
        <f t="shared" si="5"/>
        <v>0</v>
      </c>
      <c r="F31" s="998">
        <f>'Hist IS and Proj'!T31</f>
        <v>0</v>
      </c>
      <c r="G31" s="634">
        <f t="shared" si="6"/>
        <v>0</v>
      </c>
      <c r="H31" s="998">
        <f>'Hist IS and Proj'!X31</f>
        <v>0</v>
      </c>
      <c r="I31" s="634">
        <f t="shared" si="7"/>
        <v>0</v>
      </c>
      <c r="J31" s="998">
        <f>'Hist IS and Proj'!Z31</f>
        <v>0</v>
      </c>
      <c r="K31" s="637">
        <f t="shared" si="8"/>
        <v>0</v>
      </c>
      <c r="L31" s="1000"/>
      <c r="M31" s="637">
        <f t="shared" si="9"/>
        <v>0</v>
      </c>
      <c r="N31" s="324"/>
      <c r="P31" s="247" t="s">
        <v>908</v>
      </c>
      <c r="Q31" s="244"/>
      <c r="R31" s="244"/>
      <c r="S31" s="244"/>
      <c r="T31" s="244"/>
      <c r="U31" s="251"/>
    </row>
    <row r="32" spans="2:21" ht="16">
      <c r="B32" s="233" t="s">
        <v>205</v>
      </c>
      <c r="C32" s="246"/>
      <c r="D32" s="1757">
        <f>IF($D$4='Hist IS and Proj'!$H$4,'Hist IS and Proj'!H32,IF('Break Even'!$D$4='Hist IS and Proj'!$J$4,'Hist IS and Proj'!J32))</f>
        <v>0</v>
      </c>
      <c r="E32" s="634">
        <f t="shared" si="5"/>
        <v>0</v>
      </c>
      <c r="F32" s="998">
        <f>'Hist IS and Proj'!T32</f>
        <v>0</v>
      </c>
      <c r="G32" s="634">
        <f t="shared" si="6"/>
        <v>0</v>
      </c>
      <c r="H32" s="998">
        <f>'Hist IS and Proj'!X32</f>
        <v>0</v>
      </c>
      <c r="I32" s="634">
        <f t="shared" si="7"/>
        <v>0</v>
      </c>
      <c r="J32" s="998">
        <f>'Hist IS and Proj'!Z32</f>
        <v>0</v>
      </c>
      <c r="K32" s="637">
        <f t="shared" si="8"/>
        <v>0</v>
      </c>
      <c r="L32" s="1000"/>
      <c r="M32" s="637">
        <f t="shared" si="9"/>
        <v>0</v>
      </c>
      <c r="N32" s="324"/>
      <c r="P32" s="248" t="s">
        <v>909</v>
      </c>
      <c r="Q32" s="244"/>
      <c r="R32" s="244"/>
      <c r="S32" s="1466">
        <f>D50-D26-D32-D33</f>
        <v>0</v>
      </c>
      <c r="T32" s="244"/>
      <c r="U32" s="251"/>
    </row>
    <row r="33" spans="2:28" ht="16">
      <c r="B33" s="233" t="s">
        <v>206</v>
      </c>
      <c r="C33" s="246"/>
      <c r="D33" s="1757">
        <f>IF($D$4='Hist IS and Proj'!$H$4,'Hist IS and Proj'!H33,IF('Break Even'!$D$4='Hist IS and Proj'!$J$4,'Hist IS and Proj'!J33))</f>
        <v>0</v>
      </c>
      <c r="E33" s="634">
        <f t="shared" si="5"/>
        <v>0</v>
      </c>
      <c r="F33" s="998">
        <f>'Hist IS and Proj'!T33</f>
        <v>0</v>
      </c>
      <c r="G33" s="634">
        <f t="shared" si="6"/>
        <v>0</v>
      </c>
      <c r="H33" s="998">
        <f>'Hist IS and Proj'!X33</f>
        <v>0</v>
      </c>
      <c r="I33" s="634">
        <f t="shared" si="7"/>
        <v>0</v>
      </c>
      <c r="J33" s="998">
        <f>'Hist IS and Proj'!Z33</f>
        <v>0</v>
      </c>
      <c r="K33" s="637">
        <f t="shared" si="8"/>
        <v>0</v>
      </c>
      <c r="L33" s="1000"/>
      <c r="M33" s="637">
        <f t="shared" si="9"/>
        <v>0</v>
      </c>
      <c r="N33" s="324"/>
      <c r="P33" s="248" t="s">
        <v>910</v>
      </c>
      <c r="Q33" s="244"/>
      <c r="R33" s="244"/>
      <c r="S33" s="1013" t="e">
        <f>D80</f>
        <v>#REF!</v>
      </c>
      <c r="T33" s="244"/>
      <c r="U33" s="251"/>
    </row>
    <row r="34" spans="2:28" ht="16">
      <c r="B34" s="233" t="s">
        <v>207</v>
      </c>
      <c r="C34" s="246"/>
      <c r="D34" s="1757">
        <f>IF($D$4='Hist IS and Proj'!$H$4,'Hist IS and Proj'!H34,IF('Break Even'!$D$4='Hist IS and Proj'!$J$4,'Hist IS and Proj'!J34))</f>
        <v>0</v>
      </c>
      <c r="E34" s="634">
        <f t="shared" si="5"/>
        <v>0</v>
      </c>
      <c r="F34" s="998">
        <f>'Hist IS and Proj'!T34</f>
        <v>0</v>
      </c>
      <c r="G34" s="634">
        <f t="shared" si="6"/>
        <v>0</v>
      </c>
      <c r="H34" s="998">
        <f>'Hist IS and Proj'!X34</f>
        <v>0</v>
      </c>
      <c r="I34" s="634">
        <f t="shared" si="7"/>
        <v>0</v>
      </c>
      <c r="J34" s="998">
        <f>'Hist IS and Proj'!Z34</f>
        <v>0</v>
      </c>
      <c r="K34" s="637">
        <f t="shared" si="8"/>
        <v>0</v>
      </c>
      <c r="L34" s="1000"/>
      <c r="M34" s="637">
        <f t="shared" si="9"/>
        <v>0</v>
      </c>
      <c r="N34" s="324"/>
      <c r="P34" s="1014" t="s">
        <v>911</v>
      </c>
      <c r="Q34" s="244"/>
      <c r="R34" s="244"/>
      <c r="S34" s="1015">
        <f>D93</f>
        <v>0</v>
      </c>
      <c r="T34" s="244"/>
      <c r="U34" s="251"/>
    </row>
    <row r="35" spans="2:28" ht="16">
      <c r="B35" s="233" t="s">
        <v>208</v>
      </c>
      <c r="C35" s="246"/>
      <c r="D35" s="1757">
        <f>IF($D$4='Hist IS and Proj'!$H$4,'Hist IS and Proj'!H35,IF('Break Even'!$D$4='Hist IS and Proj'!$J$4,'Hist IS and Proj'!J35))</f>
        <v>0</v>
      </c>
      <c r="E35" s="634">
        <f t="shared" si="5"/>
        <v>0</v>
      </c>
      <c r="F35" s="998">
        <f>'Hist IS and Proj'!T35</f>
        <v>0</v>
      </c>
      <c r="G35" s="634">
        <f t="shared" si="6"/>
        <v>0</v>
      </c>
      <c r="H35" s="998">
        <f>'Hist IS and Proj'!X35</f>
        <v>0</v>
      </c>
      <c r="I35" s="634">
        <f t="shared" si="7"/>
        <v>0</v>
      </c>
      <c r="J35" s="998">
        <f>'Hist IS and Proj'!Z35</f>
        <v>0</v>
      </c>
      <c r="K35" s="637">
        <f t="shared" si="8"/>
        <v>0</v>
      </c>
      <c r="L35" s="1000"/>
      <c r="M35" s="637">
        <f t="shared" si="9"/>
        <v>0</v>
      </c>
      <c r="N35" s="324"/>
      <c r="P35" s="248" t="s">
        <v>104</v>
      </c>
      <c r="Q35" s="244"/>
      <c r="R35" s="244"/>
      <c r="S35" s="1013" t="e">
        <f>SUM(S32:S34)</f>
        <v>#REF!</v>
      </c>
      <c r="T35" s="244"/>
      <c r="U35" s="251"/>
    </row>
    <row r="36" spans="2:28" ht="16">
      <c r="B36" s="233" t="s">
        <v>209</v>
      </c>
      <c r="C36" s="246"/>
      <c r="D36" s="1757">
        <f>IF($D$4='Hist IS and Proj'!$H$4,'Hist IS and Proj'!H36,IF('Break Even'!$D$4='Hist IS and Proj'!$J$4,'Hist IS and Proj'!J36))</f>
        <v>0</v>
      </c>
      <c r="E36" s="634">
        <f t="shared" si="5"/>
        <v>0</v>
      </c>
      <c r="F36" s="998">
        <f>'Hist IS and Proj'!T36</f>
        <v>0</v>
      </c>
      <c r="G36" s="634">
        <f t="shared" si="6"/>
        <v>0</v>
      </c>
      <c r="H36" s="998">
        <f>'Hist IS and Proj'!X36</f>
        <v>0</v>
      </c>
      <c r="I36" s="634">
        <f t="shared" si="7"/>
        <v>0</v>
      </c>
      <c r="J36" s="998">
        <f>'Hist IS and Proj'!Z36</f>
        <v>0</v>
      </c>
      <c r="K36" s="637">
        <f t="shared" si="8"/>
        <v>0</v>
      </c>
      <c r="L36" s="1000"/>
      <c r="M36" s="637">
        <f t="shared" si="9"/>
        <v>0</v>
      </c>
      <c r="N36" s="324"/>
      <c r="P36" s="1016" t="s">
        <v>912</v>
      </c>
      <c r="Q36" s="244"/>
      <c r="R36" s="244"/>
      <c r="S36" s="1017" t="e">
        <f>+S35*0.5</f>
        <v>#REF!</v>
      </c>
      <c r="T36" s="244"/>
      <c r="U36" s="251"/>
    </row>
    <row r="37" spans="2:28" ht="17" thickBot="1">
      <c r="B37" s="233" t="s">
        <v>210</v>
      </c>
      <c r="C37" s="246"/>
      <c r="D37" s="1757">
        <f>IF($D$4='Hist IS and Proj'!$H$4,'Hist IS and Proj'!H37,IF('Break Even'!$D$4='Hist IS and Proj'!$J$4,'Hist IS and Proj'!J37))</f>
        <v>0</v>
      </c>
      <c r="E37" s="634">
        <f t="shared" si="5"/>
        <v>0</v>
      </c>
      <c r="F37" s="998">
        <f>'Hist IS and Proj'!T37</f>
        <v>0</v>
      </c>
      <c r="G37" s="634">
        <f t="shared" si="6"/>
        <v>0</v>
      </c>
      <c r="H37" s="998">
        <f>'Hist IS and Proj'!X37</f>
        <v>0</v>
      </c>
      <c r="I37" s="634">
        <f t="shared" si="7"/>
        <v>0</v>
      </c>
      <c r="J37" s="998">
        <f>'Hist IS and Proj'!Z37</f>
        <v>0</v>
      </c>
      <c r="K37" s="637">
        <f t="shared" si="8"/>
        <v>0</v>
      </c>
      <c r="L37" s="1000"/>
      <c r="M37" s="637">
        <f t="shared" si="9"/>
        <v>0</v>
      </c>
      <c r="N37" s="324"/>
      <c r="P37" s="252"/>
      <c r="Q37" s="249"/>
      <c r="R37" s="249"/>
      <c r="S37" s="249"/>
      <c r="T37" s="249"/>
      <c r="U37" s="378"/>
    </row>
    <row r="38" spans="2:28" ht="17" thickBot="1">
      <c r="B38" s="233" t="s">
        <v>211</v>
      </c>
      <c r="C38" s="246"/>
      <c r="D38" s="1757">
        <f>IF($D$4='Hist IS and Proj'!$H$4,'Hist IS and Proj'!H38,IF('Break Even'!$D$4='Hist IS and Proj'!$J$4,'Hist IS and Proj'!J38))</f>
        <v>0</v>
      </c>
      <c r="E38" s="634">
        <f t="shared" si="5"/>
        <v>0</v>
      </c>
      <c r="F38" s="998">
        <f>'Hist IS and Proj'!T38</f>
        <v>0</v>
      </c>
      <c r="G38" s="634">
        <f t="shared" si="6"/>
        <v>0</v>
      </c>
      <c r="H38" s="998">
        <f>'Hist IS and Proj'!X38</f>
        <v>0</v>
      </c>
      <c r="I38" s="634">
        <f t="shared" si="7"/>
        <v>0</v>
      </c>
      <c r="J38" s="998">
        <f>'Hist IS and Proj'!Z38</f>
        <v>0</v>
      </c>
      <c r="K38" s="637">
        <f t="shared" si="8"/>
        <v>0</v>
      </c>
      <c r="L38" s="1000"/>
      <c r="M38" s="637">
        <f t="shared" si="9"/>
        <v>0</v>
      </c>
      <c r="N38" s="324"/>
    </row>
    <row r="39" spans="2:28" ht="17" thickBot="1">
      <c r="B39" s="233" t="s">
        <v>212</v>
      </c>
      <c r="C39" s="246"/>
      <c r="D39" s="1757">
        <f>IF($D$4='Hist IS and Proj'!$H$4,'Hist IS and Proj'!H39,IF('Break Even'!$D$4='Hist IS and Proj'!$J$4,'Hist IS and Proj'!J39))</f>
        <v>0</v>
      </c>
      <c r="E39" s="634">
        <f t="shared" si="5"/>
        <v>0</v>
      </c>
      <c r="F39" s="998">
        <f>'Hist IS and Proj'!T39</f>
        <v>0</v>
      </c>
      <c r="G39" s="634">
        <f t="shared" si="6"/>
        <v>0</v>
      </c>
      <c r="H39" s="998">
        <f>'Hist IS and Proj'!X39</f>
        <v>0</v>
      </c>
      <c r="I39" s="634">
        <f t="shared" si="7"/>
        <v>0</v>
      </c>
      <c r="J39" s="998">
        <f>'Hist IS and Proj'!Z39</f>
        <v>0</v>
      </c>
      <c r="K39" s="637">
        <f t="shared" si="8"/>
        <v>0</v>
      </c>
      <c r="L39" s="1000"/>
      <c r="M39" s="637">
        <f t="shared" si="9"/>
        <v>0</v>
      </c>
      <c r="N39" s="324"/>
      <c r="P39" s="2886" t="s">
        <v>913</v>
      </c>
      <c r="Q39" s="2887"/>
      <c r="R39" s="2887"/>
      <c r="S39" s="2887"/>
      <c r="T39" s="2887"/>
      <c r="U39" s="2887"/>
      <c r="V39" s="1719"/>
      <c r="W39" s="1719"/>
      <c r="X39" s="1719"/>
      <c r="Y39" s="1719"/>
      <c r="Z39" s="1719"/>
      <c r="AA39" s="1719"/>
      <c r="AB39" s="1719"/>
    </row>
    <row r="40" spans="2:28" ht="15.75" customHeight="1">
      <c r="B40" s="233" t="s">
        <v>213</v>
      </c>
      <c r="C40" s="246"/>
      <c r="D40" s="1757">
        <f>IF($D$4='Hist IS and Proj'!$H$4,'Hist IS and Proj'!H40,IF('Break Even'!$D$4='Hist IS and Proj'!$J$4,'Hist IS and Proj'!J40))</f>
        <v>0</v>
      </c>
      <c r="E40" s="634">
        <f t="shared" si="5"/>
        <v>0</v>
      </c>
      <c r="F40" s="998">
        <f>'Hist IS and Proj'!T40</f>
        <v>0</v>
      </c>
      <c r="G40" s="634">
        <f t="shared" si="6"/>
        <v>0</v>
      </c>
      <c r="H40" s="998">
        <f>'Hist IS and Proj'!X40</f>
        <v>0</v>
      </c>
      <c r="I40" s="634">
        <f t="shared" si="7"/>
        <v>0</v>
      </c>
      <c r="J40" s="998">
        <f>'Hist IS and Proj'!Z40</f>
        <v>0</v>
      </c>
      <c r="K40" s="637">
        <f t="shared" si="8"/>
        <v>0</v>
      </c>
      <c r="L40" s="1000"/>
      <c r="M40" s="637">
        <f t="shared" si="9"/>
        <v>0</v>
      </c>
      <c r="N40" s="324"/>
      <c r="P40" s="2879" t="str">
        <f>B2</f>
        <v>{Insert business name which represents PSOR}</v>
      </c>
      <c r="Q40" s="2879"/>
      <c r="R40" s="2879"/>
      <c r="S40" s="2879"/>
      <c r="T40" s="2879"/>
      <c r="U40" s="2879"/>
      <c r="V40" s="1720"/>
      <c r="W40" s="1720"/>
      <c r="X40" s="1720"/>
      <c r="Y40" s="1720"/>
      <c r="Z40" s="1720"/>
      <c r="AA40" s="1720"/>
      <c r="AB40" s="1720"/>
    </row>
    <row r="41" spans="2:28" ht="16">
      <c r="B41" s="233" t="s">
        <v>214</v>
      </c>
      <c r="C41" s="246"/>
      <c r="D41" s="1757">
        <f>IF($D$4='Hist IS and Proj'!$H$4,'Hist IS and Proj'!H41,IF('Break Even'!$D$4='Hist IS and Proj'!$J$4,'Hist IS and Proj'!J41))</f>
        <v>0</v>
      </c>
      <c r="E41" s="634">
        <f t="shared" si="5"/>
        <v>0</v>
      </c>
      <c r="F41" s="998">
        <f>'Hist IS and Proj'!T41</f>
        <v>0</v>
      </c>
      <c r="G41" s="634">
        <f t="shared" si="6"/>
        <v>0</v>
      </c>
      <c r="H41" s="998">
        <f>'Hist IS and Proj'!X41</f>
        <v>0</v>
      </c>
      <c r="I41" s="634">
        <f t="shared" si="7"/>
        <v>0</v>
      </c>
      <c r="J41" s="998">
        <f>'Hist IS and Proj'!Z41</f>
        <v>0</v>
      </c>
      <c r="K41" s="637">
        <f t="shared" si="8"/>
        <v>0</v>
      </c>
      <c r="L41" s="1000"/>
      <c r="M41" s="637">
        <f t="shared" si="9"/>
        <v>0</v>
      </c>
      <c r="N41" s="324"/>
    </row>
    <row r="42" spans="2:28" ht="16">
      <c r="B42" s="233" t="s">
        <v>215</v>
      </c>
      <c r="C42" s="246"/>
      <c r="D42" s="1757">
        <f>IF($D$4='Hist IS and Proj'!$H$4,'Hist IS and Proj'!H42,IF('Break Even'!$D$4='Hist IS and Proj'!$J$4,'Hist IS and Proj'!J42))</f>
        <v>0</v>
      </c>
      <c r="E42" s="634">
        <f t="shared" si="5"/>
        <v>0</v>
      </c>
      <c r="F42" s="998">
        <f>'Hist IS and Proj'!T42</f>
        <v>0</v>
      </c>
      <c r="G42" s="634">
        <f t="shared" si="6"/>
        <v>0</v>
      </c>
      <c r="H42" s="998">
        <f>'Hist IS and Proj'!X42</f>
        <v>0</v>
      </c>
      <c r="I42" s="634">
        <f t="shared" si="7"/>
        <v>0</v>
      </c>
      <c r="J42" s="998">
        <f>'Hist IS and Proj'!Z42</f>
        <v>0</v>
      </c>
      <c r="K42" s="637">
        <f t="shared" si="8"/>
        <v>0</v>
      </c>
      <c r="L42" s="1000"/>
      <c r="M42" s="637">
        <f t="shared" si="9"/>
        <v>0</v>
      </c>
      <c r="N42" s="324"/>
    </row>
    <row r="43" spans="2:28" ht="15.75" customHeight="1">
      <c r="B43" s="233" t="s">
        <v>216</v>
      </c>
      <c r="C43" s="246"/>
      <c r="D43" s="1757">
        <f>IF($D$4='Hist IS and Proj'!$H$4,'Hist IS and Proj'!H43,IF('Break Even'!$D$4='Hist IS and Proj'!$J$4,'Hist IS and Proj'!J43))</f>
        <v>0</v>
      </c>
      <c r="E43" s="634">
        <f t="shared" si="5"/>
        <v>0</v>
      </c>
      <c r="F43" s="998">
        <f>'Hist IS and Proj'!T43</f>
        <v>0</v>
      </c>
      <c r="G43" s="634">
        <f t="shared" si="6"/>
        <v>0</v>
      </c>
      <c r="H43" s="998">
        <f>'Hist IS and Proj'!X43</f>
        <v>0</v>
      </c>
      <c r="I43" s="634">
        <f t="shared" si="7"/>
        <v>0</v>
      </c>
      <c r="J43" s="998">
        <f>'Hist IS and Proj'!Z43</f>
        <v>0</v>
      </c>
      <c r="K43" s="637">
        <f t="shared" si="8"/>
        <v>0</v>
      </c>
      <c r="L43" s="1000"/>
      <c r="M43" s="637">
        <f t="shared" si="9"/>
        <v>0</v>
      </c>
      <c r="N43" s="324"/>
    </row>
    <row r="44" spans="2:28" ht="15.75" customHeight="1">
      <c r="B44" s="233" t="s">
        <v>217</v>
      </c>
      <c r="C44" s="246"/>
      <c r="D44" s="1757">
        <f>IF($D$4='Hist IS and Proj'!$H$4,'Hist IS and Proj'!H44,IF('Break Even'!$D$4='Hist IS and Proj'!$J$4,'Hist IS and Proj'!J44))</f>
        <v>0</v>
      </c>
      <c r="E44" s="634">
        <f t="shared" si="5"/>
        <v>0</v>
      </c>
      <c r="F44" s="998">
        <f>'Hist IS and Proj'!T44</f>
        <v>0</v>
      </c>
      <c r="G44" s="634">
        <f t="shared" si="6"/>
        <v>0</v>
      </c>
      <c r="H44" s="998">
        <f>'Hist IS and Proj'!X44</f>
        <v>0</v>
      </c>
      <c r="I44" s="634">
        <f t="shared" si="7"/>
        <v>0</v>
      </c>
      <c r="J44" s="998">
        <f>'Hist IS and Proj'!Z44</f>
        <v>0</v>
      </c>
      <c r="K44" s="637">
        <f t="shared" si="8"/>
        <v>0</v>
      </c>
      <c r="L44" s="1000"/>
      <c r="M44" s="637">
        <f t="shared" si="9"/>
        <v>0</v>
      </c>
      <c r="N44" s="324"/>
    </row>
    <row r="45" spans="2:28" ht="15.75" customHeight="1">
      <c r="B45" s="233" t="s">
        <v>218</v>
      </c>
      <c r="C45" s="246"/>
      <c r="D45" s="1757">
        <f>IF($D$4='Hist IS and Proj'!$H$4,'Hist IS and Proj'!H45,IF('Break Even'!$D$4='Hist IS and Proj'!$J$4,'Hist IS and Proj'!J45))</f>
        <v>0</v>
      </c>
      <c r="E45" s="634">
        <f t="shared" si="5"/>
        <v>0</v>
      </c>
      <c r="F45" s="998">
        <f>'Hist IS and Proj'!T45</f>
        <v>0</v>
      </c>
      <c r="G45" s="634">
        <f t="shared" si="6"/>
        <v>0</v>
      </c>
      <c r="H45" s="998">
        <f>'Hist IS and Proj'!X45</f>
        <v>0</v>
      </c>
      <c r="I45" s="634">
        <f t="shared" si="7"/>
        <v>0</v>
      </c>
      <c r="J45" s="998">
        <f>'Hist IS and Proj'!Z45</f>
        <v>0</v>
      </c>
      <c r="K45" s="637">
        <f t="shared" si="8"/>
        <v>0</v>
      </c>
      <c r="L45" s="1000"/>
      <c r="M45" s="637">
        <f t="shared" si="9"/>
        <v>0</v>
      </c>
      <c r="N45" s="324"/>
    </row>
    <row r="46" spans="2:28" ht="15.75" customHeight="1">
      <c r="B46" s="233" t="s">
        <v>218</v>
      </c>
      <c r="C46" s="246"/>
      <c r="D46" s="1757">
        <f>IF($D$4='Hist IS and Proj'!$H$4,'Hist IS and Proj'!H46,IF('Break Even'!$D$4='Hist IS and Proj'!$J$4,'Hist IS and Proj'!J46))</f>
        <v>0</v>
      </c>
      <c r="E46" s="634">
        <f t="shared" si="5"/>
        <v>0</v>
      </c>
      <c r="F46" s="998">
        <f>'Hist IS and Proj'!T46</f>
        <v>0</v>
      </c>
      <c r="G46" s="634">
        <f t="shared" si="6"/>
        <v>0</v>
      </c>
      <c r="H46" s="998">
        <f>'Hist IS and Proj'!X46</f>
        <v>0</v>
      </c>
      <c r="I46" s="634">
        <f t="shared" si="7"/>
        <v>0</v>
      </c>
      <c r="J46" s="998">
        <f>'Hist IS and Proj'!Z46</f>
        <v>0</v>
      </c>
      <c r="K46" s="637">
        <f t="shared" si="8"/>
        <v>0</v>
      </c>
      <c r="L46" s="1000"/>
      <c r="M46" s="637">
        <f t="shared" si="9"/>
        <v>0</v>
      </c>
      <c r="N46" s="324"/>
    </row>
    <row r="47" spans="2:28" ht="15.75" customHeight="1">
      <c r="B47" s="233" t="s">
        <v>218</v>
      </c>
      <c r="C47" s="246"/>
      <c r="D47" s="1757">
        <f>IF($D$4='Hist IS and Proj'!$H$4,'Hist IS and Proj'!H47,IF('Break Even'!$D$4='Hist IS and Proj'!$J$4,'Hist IS and Proj'!J47))</f>
        <v>0</v>
      </c>
      <c r="E47" s="634">
        <f t="shared" si="5"/>
        <v>0</v>
      </c>
      <c r="F47" s="998">
        <f>'Hist IS and Proj'!T47</f>
        <v>0</v>
      </c>
      <c r="G47" s="634">
        <f t="shared" si="6"/>
        <v>0</v>
      </c>
      <c r="H47" s="998">
        <f>'Hist IS and Proj'!X47</f>
        <v>0</v>
      </c>
      <c r="I47" s="634">
        <f t="shared" si="7"/>
        <v>0</v>
      </c>
      <c r="J47" s="998">
        <f>'Hist IS and Proj'!Z47</f>
        <v>0</v>
      </c>
      <c r="K47" s="637">
        <f t="shared" si="8"/>
        <v>0</v>
      </c>
      <c r="L47" s="1000"/>
      <c r="M47" s="637">
        <f t="shared" si="9"/>
        <v>0</v>
      </c>
      <c r="N47" s="324"/>
    </row>
    <row r="48" spans="2:28" ht="17" thickBot="1">
      <c r="B48" s="233" t="s">
        <v>218</v>
      </c>
      <c r="C48" s="246"/>
      <c r="D48" s="1757">
        <f>IF($D$4='Hist IS and Proj'!$H$4,'Hist IS and Proj'!H48,IF('Break Even'!$D$4='Hist IS and Proj'!$J$4,'Hist IS and Proj'!J48))</f>
        <v>0</v>
      </c>
      <c r="E48" s="634">
        <f t="shared" si="5"/>
        <v>0</v>
      </c>
      <c r="F48" s="998">
        <f>'Hist IS and Proj'!T48</f>
        <v>0</v>
      </c>
      <c r="G48" s="634">
        <f t="shared" si="6"/>
        <v>0</v>
      </c>
      <c r="H48" s="998">
        <f>'Hist IS and Proj'!X48</f>
        <v>0</v>
      </c>
      <c r="I48" s="634">
        <f t="shared" si="7"/>
        <v>0</v>
      </c>
      <c r="J48" s="998">
        <f>'Hist IS and Proj'!Z48</f>
        <v>0</v>
      </c>
      <c r="K48" s="637">
        <f t="shared" si="8"/>
        <v>0</v>
      </c>
      <c r="L48" s="1000"/>
      <c r="M48" s="637">
        <f t="shared" si="9"/>
        <v>0</v>
      </c>
      <c r="N48" s="324"/>
    </row>
    <row r="49" spans="2:14" ht="17" thickBot="1">
      <c r="B49" s="233" t="s">
        <v>218</v>
      </c>
      <c r="C49" s="246"/>
      <c r="D49" s="1757">
        <f>IF($D$4='Hist IS and Proj'!$H$4,'Hist IS and Proj'!H49,IF('Break Even'!$D$4='Hist IS and Proj'!$J$4,'Hist IS and Proj'!J49))</f>
        <v>0</v>
      </c>
      <c r="E49" s="634">
        <f t="shared" si="5"/>
        <v>0</v>
      </c>
      <c r="F49" s="999">
        <f>'Hist IS and Proj'!T49</f>
        <v>0</v>
      </c>
      <c r="G49" s="634">
        <f t="shared" si="6"/>
        <v>0</v>
      </c>
      <c r="H49" s="999">
        <f>'Hist IS and Proj'!X49</f>
        <v>0</v>
      </c>
      <c r="I49" s="634">
        <f t="shared" si="7"/>
        <v>0</v>
      </c>
      <c r="J49" s="999">
        <f>'Hist IS and Proj'!Z49</f>
        <v>0</v>
      </c>
      <c r="K49" s="637">
        <f t="shared" si="8"/>
        <v>0</v>
      </c>
      <c r="L49" s="1009">
        <f>SUM(L22:L23)</f>
        <v>0</v>
      </c>
      <c r="M49" s="1008">
        <f t="shared" si="9"/>
        <v>0</v>
      </c>
      <c r="N49" s="324"/>
    </row>
    <row r="50" spans="2:14" ht="16">
      <c r="B50" s="236" t="s">
        <v>219</v>
      </c>
      <c r="C50" s="1053"/>
      <c r="D50" s="647">
        <f>SUM(D26:D49)</f>
        <v>0</v>
      </c>
      <c r="E50" s="634">
        <f t="shared" si="5"/>
        <v>0</v>
      </c>
      <c r="F50" s="647">
        <f>SUM(F26:F49)</f>
        <v>0</v>
      </c>
      <c r="G50" s="634">
        <f t="shared" si="6"/>
        <v>0</v>
      </c>
      <c r="H50" s="647">
        <f>SUM(H26:H49)</f>
        <v>0</v>
      </c>
      <c r="I50" s="634">
        <f t="shared" si="7"/>
        <v>0</v>
      </c>
      <c r="J50" s="647">
        <f>SUM(J26:J49)</f>
        <v>0</v>
      </c>
      <c r="K50" s="637">
        <f t="shared" si="8"/>
        <v>0</v>
      </c>
      <c r="L50" s="645">
        <f>SUM(L26:L49)</f>
        <v>0</v>
      </c>
      <c r="M50" s="637">
        <f t="shared" si="9"/>
        <v>0</v>
      </c>
      <c r="N50" s="324"/>
    </row>
    <row r="51" spans="2:14" ht="16">
      <c r="B51" s="236"/>
      <c r="C51" s="1053"/>
      <c r="D51" s="1018"/>
      <c r="E51" s="635"/>
      <c r="F51" s="1018"/>
      <c r="G51" s="635"/>
      <c r="H51" s="1018"/>
      <c r="I51" s="635"/>
      <c r="J51" s="1018"/>
      <c r="K51" s="638"/>
      <c r="L51" s="1018"/>
      <c r="M51" s="638"/>
      <c r="N51" s="325"/>
    </row>
    <row r="52" spans="2:14" ht="16">
      <c r="B52" s="236" t="s">
        <v>220</v>
      </c>
      <c r="C52" s="1053"/>
      <c r="D52" s="647">
        <f>D20-D50</f>
        <v>0</v>
      </c>
      <c r="E52" s="634">
        <f t="shared" si="5"/>
        <v>0</v>
      </c>
      <c r="F52" s="647">
        <f>F20-F50</f>
        <v>0</v>
      </c>
      <c r="G52" s="634">
        <f t="shared" si="6"/>
        <v>0</v>
      </c>
      <c r="H52" s="647">
        <f>H20-H50</f>
        <v>0</v>
      </c>
      <c r="I52" s="634">
        <f t="shared" ref="I52" si="10">IF($H$18=0,0,H52/$H$18)</f>
        <v>0</v>
      </c>
      <c r="J52" s="647">
        <f>J20-J50</f>
        <v>0</v>
      </c>
      <c r="K52" s="637">
        <f t="shared" ref="K52" si="11">IF($J$18=0,0,J52/$J$18)</f>
        <v>0</v>
      </c>
      <c r="L52" s="647">
        <f>L20-L50</f>
        <v>0</v>
      </c>
      <c r="M52" s="637">
        <f t="shared" si="9"/>
        <v>0</v>
      </c>
      <c r="N52" s="324"/>
    </row>
    <row r="53" spans="2:14" ht="16">
      <c r="B53" s="236"/>
      <c r="C53" s="1053"/>
      <c r="D53" s="1019"/>
      <c r="E53" s="635"/>
      <c r="F53" s="1019"/>
      <c r="G53" s="635"/>
      <c r="H53" s="1019"/>
      <c r="I53" s="635"/>
      <c r="J53" s="1019"/>
      <c r="K53" s="638"/>
      <c r="L53" s="1019"/>
      <c r="M53" s="638"/>
      <c r="N53" s="325"/>
    </row>
    <row r="54" spans="2:14" ht="16" outlineLevel="1">
      <c r="B54" s="233" t="s">
        <v>221</v>
      </c>
      <c r="C54" s="246"/>
      <c r="D54" s="1757">
        <f>IF($D$4='Hist IS and Proj'!$H$4,'Hist IS and Proj'!H54,IF('Break Even'!$D$4='Hist IS and Proj'!$J$4,'Hist IS and Proj'!J54))</f>
        <v>0</v>
      </c>
      <c r="E54" s="634">
        <f t="shared" si="5"/>
        <v>0</v>
      </c>
      <c r="F54" s="998">
        <f>'Hist IS and Proj'!T54</f>
        <v>0</v>
      </c>
      <c r="G54" s="634">
        <f t="shared" si="6"/>
        <v>0</v>
      </c>
      <c r="H54" s="998">
        <f>'Hist IS and Proj'!X54</f>
        <v>0</v>
      </c>
      <c r="I54" s="634">
        <f t="shared" ref="I54:I58" si="12">IF($H$18=0,0,H54/$H$18)</f>
        <v>0</v>
      </c>
      <c r="J54" s="996">
        <f>'Hist IS and Proj'!Z54</f>
        <v>0</v>
      </c>
      <c r="K54" s="637">
        <f t="shared" ref="K54:K58" si="13">IF($J$18=0,0,J54/$J$18)</f>
        <v>0</v>
      </c>
      <c r="L54" s="646">
        <f t="shared" ref="L54:L57" si="14">IF(L$5=2,D54,IF(L$5=3,F54,IF(L$5=4,H54,IF(L$5=5,J54,0))))</f>
        <v>0</v>
      </c>
      <c r="M54" s="637">
        <f t="shared" si="9"/>
        <v>0</v>
      </c>
      <c r="N54" s="324"/>
    </row>
    <row r="55" spans="2:14" ht="16" outlineLevel="1">
      <c r="B55" s="233" t="s">
        <v>221</v>
      </c>
      <c r="C55" s="246"/>
      <c r="D55" s="1757">
        <f>IF($D$4='Hist IS and Proj'!$H$4,'Hist IS and Proj'!H55,IF('Break Even'!$D$4='Hist IS and Proj'!$J$4,'Hist IS and Proj'!J55))</f>
        <v>0</v>
      </c>
      <c r="E55" s="634">
        <f t="shared" si="5"/>
        <v>0</v>
      </c>
      <c r="F55" s="998">
        <f>'Hist IS and Proj'!T55</f>
        <v>0</v>
      </c>
      <c r="G55" s="634">
        <f t="shared" si="6"/>
        <v>0</v>
      </c>
      <c r="H55" s="998">
        <f>'Hist IS and Proj'!X55</f>
        <v>0</v>
      </c>
      <c r="I55" s="634">
        <f t="shared" si="12"/>
        <v>0</v>
      </c>
      <c r="J55" s="998">
        <f>'Hist IS and Proj'!Z55</f>
        <v>0</v>
      </c>
      <c r="K55" s="637">
        <f t="shared" si="13"/>
        <v>0</v>
      </c>
      <c r="L55" s="650">
        <f t="shared" si="14"/>
        <v>0</v>
      </c>
      <c r="M55" s="637">
        <f t="shared" si="9"/>
        <v>0</v>
      </c>
      <c r="N55" s="324"/>
    </row>
    <row r="56" spans="2:14" ht="16" outlineLevel="1">
      <c r="B56" s="233" t="s">
        <v>222</v>
      </c>
      <c r="C56" s="246"/>
      <c r="D56" s="1757">
        <f>IF($D$4='Hist IS and Proj'!$H$4,'Hist IS and Proj'!H56,IF('Break Even'!$D$4='Hist IS and Proj'!$J$4,'Hist IS and Proj'!J56))</f>
        <v>0</v>
      </c>
      <c r="E56" s="634">
        <f t="shared" si="5"/>
        <v>0</v>
      </c>
      <c r="F56" s="998">
        <f>'Hist IS and Proj'!T56</f>
        <v>0</v>
      </c>
      <c r="G56" s="634">
        <f t="shared" si="6"/>
        <v>0</v>
      </c>
      <c r="H56" s="998">
        <f>'Hist IS and Proj'!X56</f>
        <v>0</v>
      </c>
      <c r="I56" s="634">
        <f t="shared" si="12"/>
        <v>0</v>
      </c>
      <c r="J56" s="998">
        <f>'Hist IS and Proj'!Z56</f>
        <v>0</v>
      </c>
      <c r="K56" s="637">
        <f t="shared" si="13"/>
        <v>0</v>
      </c>
      <c r="L56" s="650">
        <f t="shared" si="14"/>
        <v>0</v>
      </c>
      <c r="M56" s="637">
        <f t="shared" si="9"/>
        <v>0</v>
      </c>
      <c r="N56" s="324"/>
    </row>
    <row r="57" spans="2:14" ht="16" outlineLevel="1">
      <c r="B57" s="233" t="s">
        <v>222</v>
      </c>
      <c r="C57" s="246"/>
      <c r="D57" s="1757">
        <f>IF($D$4='Hist IS and Proj'!$H$4,'Hist IS and Proj'!H57,IF('Break Even'!$D$4='Hist IS and Proj'!$J$4,'Hist IS and Proj'!J57))</f>
        <v>0</v>
      </c>
      <c r="E57" s="634">
        <f t="shared" si="5"/>
        <v>0</v>
      </c>
      <c r="F57" s="998">
        <f>'Hist IS and Proj'!T57</f>
        <v>0</v>
      </c>
      <c r="G57" s="634">
        <f t="shared" si="6"/>
        <v>0</v>
      </c>
      <c r="H57" s="998">
        <f>'Hist IS and Proj'!X57</f>
        <v>0</v>
      </c>
      <c r="I57" s="634">
        <f t="shared" si="12"/>
        <v>0</v>
      </c>
      <c r="J57" s="999">
        <f>'Hist IS and Proj'!Z57</f>
        <v>0</v>
      </c>
      <c r="K57" s="637">
        <f t="shared" si="13"/>
        <v>0</v>
      </c>
      <c r="L57" s="650">
        <f t="shared" si="14"/>
        <v>0</v>
      </c>
      <c r="M57" s="637">
        <f t="shared" si="9"/>
        <v>0</v>
      </c>
      <c r="N57" s="324"/>
    </row>
    <row r="58" spans="2:14" ht="16">
      <c r="B58" s="236" t="s">
        <v>223</v>
      </c>
      <c r="C58" s="1053"/>
      <c r="D58" s="647">
        <f>SUM(D54:D57)</f>
        <v>0</v>
      </c>
      <c r="E58" s="634">
        <f t="shared" si="5"/>
        <v>0</v>
      </c>
      <c r="F58" s="647">
        <f>SUM(F54:F57)</f>
        <v>0</v>
      </c>
      <c r="G58" s="634">
        <f t="shared" si="6"/>
        <v>0</v>
      </c>
      <c r="H58" s="647">
        <f>SUM(H54:H57)</f>
        <v>0</v>
      </c>
      <c r="I58" s="634">
        <f t="shared" si="12"/>
        <v>0</v>
      </c>
      <c r="J58" s="647">
        <f>SUM(J54:J57)</f>
        <v>0</v>
      </c>
      <c r="K58" s="637">
        <f t="shared" si="13"/>
        <v>0</v>
      </c>
      <c r="L58" s="647">
        <f>SUM(L54:L57)</f>
        <v>0</v>
      </c>
      <c r="M58" s="637">
        <f t="shared" si="9"/>
        <v>0</v>
      </c>
      <c r="N58" s="324"/>
    </row>
    <row r="59" spans="2:14" ht="16">
      <c r="B59" s="236"/>
      <c r="C59" s="1053"/>
      <c r="D59" s="1018"/>
      <c r="E59" s="635"/>
      <c r="F59" s="1018"/>
      <c r="G59" s="635"/>
      <c r="H59" s="1018"/>
      <c r="I59" s="635"/>
      <c r="J59" s="1018"/>
      <c r="K59" s="638"/>
      <c r="L59" s="1018"/>
      <c r="M59" s="638"/>
      <c r="N59" s="325"/>
    </row>
    <row r="60" spans="2:14" ht="16">
      <c r="B60" s="236" t="s">
        <v>224</v>
      </c>
      <c r="C60" s="1053"/>
      <c r="D60" s="647">
        <f>D20-D50+D58</f>
        <v>0</v>
      </c>
      <c r="E60" s="634">
        <f t="shared" si="5"/>
        <v>0</v>
      </c>
      <c r="F60" s="647">
        <f>F20-F50+F58</f>
        <v>0</v>
      </c>
      <c r="G60" s="634">
        <f t="shared" si="6"/>
        <v>0</v>
      </c>
      <c r="H60" s="647">
        <f>H20-H50+H58</f>
        <v>0</v>
      </c>
      <c r="I60" s="634">
        <f t="shared" ref="I60:I61" si="15">IF($H$18=0,0,H60/$H$18)</f>
        <v>0</v>
      </c>
      <c r="J60" s="647">
        <f>J20-J50+J58</f>
        <v>0</v>
      </c>
      <c r="K60" s="637">
        <f t="shared" ref="K60" si="16">IF($J$18=0,0,J60/$J$18)</f>
        <v>0</v>
      </c>
      <c r="L60" s="647">
        <f>L20-L50+L58</f>
        <v>0</v>
      </c>
      <c r="M60" s="637">
        <f t="shared" si="9"/>
        <v>0</v>
      </c>
      <c r="N60" s="324"/>
    </row>
    <row r="61" spans="2:14" ht="16">
      <c r="B61" s="236" t="s">
        <v>225</v>
      </c>
      <c r="C61" s="313"/>
      <c r="D61" s="647">
        <v>0</v>
      </c>
      <c r="E61" s="634">
        <f t="shared" ref="E61" si="17">IF($D$20=0,0,D61/$D$20)</f>
        <v>0</v>
      </c>
      <c r="F61" s="647">
        <v>0</v>
      </c>
      <c r="G61" s="634">
        <f t="shared" ref="G61" si="18">IF($F$20=0,0,F61/$F$20)</f>
        <v>0</v>
      </c>
      <c r="H61" s="647">
        <v>0</v>
      </c>
      <c r="I61" s="634">
        <f t="shared" si="15"/>
        <v>0</v>
      </c>
      <c r="J61" s="647">
        <v>0</v>
      </c>
      <c r="K61" s="637">
        <f t="shared" ref="K61" si="19">IF($J$20=0,0,J61/$J$20)</f>
        <v>0</v>
      </c>
      <c r="L61" s="647">
        <v>0</v>
      </c>
      <c r="M61" s="637">
        <f t="shared" si="9"/>
        <v>0</v>
      </c>
      <c r="N61" s="324"/>
    </row>
    <row r="62" spans="2:14" ht="16">
      <c r="B62" s="649"/>
      <c r="C62" s="1054"/>
      <c r="D62" s="1020"/>
      <c r="E62" s="634"/>
      <c r="F62" s="1020"/>
      <c r="G62" s="634"/>
      <c r="H62" s="1020"/>
      <c r="I62" s="634"/>
      <c r="J62" s="1020"/>
      <c r="K62" s="637"/>
      <c r="L62" s="1020"/>
      <c r="M62" s="637"/>
      <c r="N62" s="324"/>
    </row>
    <row r="63" spans="2:14" ht="16">
      <c r="B63" s="236" t="s">
        <v>226</v>
      </c>
      <c r="C63" s="1053"/>
      <c r="D63" s="647">
        <f>D60-D61</f>
        <v>0</v>
      </c>
      <c r="E63" s="634">
        <f t="shared" ref="E63" si="20">IF($D$20=0,0,D63/$D$20)</f>
        <v>0</v>
      </c>
      <c r="F63" s="647">
        <f>F60-F61</f>
        <v>0</v>
      </c>
      <c r="G63" s="634">
        <f t="shared" ref="G63" si="21">IF($F$20=0,0,F63/$F$20)</f>
        <v>0</v>
      </c>
      <c r="H63" s="647">
        <f>H60-H61</f>
        <v>0</v>
      </c>
      <c r="I63" s="634">
        <f t="shared" ref="I63" si="22">IF($H$18=0,0,H63/$H$18)</f>
        <v>0</v>
      </c>
      <c r="J63" s="647">
        <f>J60-J61</f>
        <v>0</v>
      </c>
      <c r="K63" s="637">
        <f t="shared" ref="K63" si="23">IF($J$18=0,0,J63/$J$18)</f>
        <v>0</v>
      </c>
      <c r="L63" s="647">
        <f>L60-L61</f>
        <v>0</v>
      </c>
      <c r="M63" s="637">
        <f t="shared" si="9"/>
        <v>0</v>
      </c>
      <c r="N63" s="324"/>
    </row>
    <row r="64" spans="2:14" ht="17" thickBot="1">
      <c r="B64" s="233"/>
      <c r="C64" s="246"/>
      <c r="D64" s="281"/>
      <c r="E64" s="318"/>
      <c r="F64" s="281"/>
      <c r="G64" s="318"/>
      <c r="H64" s="281"/>
      <c r="I64" s="318"/>
      <c r="J64" s="281"/>
      <c r="K64" s="320"/>
      <c r="L64" s="281"/>
      <c r="M64" s="320"/>
      <c r="N64" s="324"/>
    </row>
    <row r="65" spans="2:14" ht="17" thickBot="1">
      <c r="B65" s="2953" t="s">
        <v>914</v>
      </c>
      <c r="C65" s="2954"/>
      <c r="D65" s="2954"/>
      <c r="E65" s="2954"/>
      <c r="F65" s="2954"/>
      <c r="G65" s="2954"/>
      <c r="H65" s="2954"/>
      <c r="I65" s="2954"/>
      <c r="J65" s="2954"/>
      <c r="K65" s="2954"/>
      <c r="L65" s="2954"/>
      <c r="M65" s="2954"/>
      <c r="N65" s="2955"/>
    </row>
    <row r="66" spans="2:14" ht="16">
      <c r="B66" s="1021" t="str">
        <f>'Cash Flow'!A7</f>
        <v>Net Income</v>
      </c>
      <c r="C66" s="1055"/>
      <c r="D66" s="1022">
        <f>D63</f>
        <v>0</v>
      </c>
      <c r="E66" s="271"/>
      <c r="F66" s="1022">
        <f>F63</f>
        <v>0</v>
      </c>
      <c r="G66" s="271"/>
      <c r="H66" s="1022">
        <f>H63</f>
        <v>0</v>
      </c>
      <c r="I66" s="271"/>
      <c r="J66" s="1022">
        <f>J63</f>
        <v>0</v>
      </c>
      <c r="K66" s="271"/>
      <c r="L66" s="1395">
        <f>L63</f>
        <v>0</v>
      </c>
      <c r="M66" s="1023"/>
      <c r="N66" s="1024"/>
    </row>
    <row r="67" spans="2:14" ht="16">
      <c r="B67" s="1025" t="str">
        <f>'Cash Flow'!A8</f>
        <v>+ Depreciation &amp; Amortization</v>
      </c>
      <c r="C67" s="354"/>
      <c r="D67" s="1758">
        <f>IF($D$4='Cash Flow'!$G$3,'Cash Flow'!G8,IF('Break Even'!$D$4='Cash Flow'!$I$3,'Cash Flow'!I8))</f>
        <v>0</v>
      </c>
      <c r="E67" s="273"/>
      <c r="F67" s="654">
        <f>'Cash Flow'!K8</f>
        <v>0</v>
      </c>
      <c r="G67" s="273"/>
      <c r="H67" s="654">
        <f>'Cash Flow'!O8</f>
        <v>0</v>
      </c>
      <c r="I67" s="273"/>
      <c r="J67" s="654">
        <f>'Cash Flow'!Q8</f>
        <v>0</v>
      </c>
      <c r="K67" s="1026"/>
      <c r="L67" s="650">
        <f t="shared" ref="L67:L84" si="24">IF(L$5=2,D67,IF(L$5=3,F67,IF(L$5=4,H67,IF(L$5=5,J67,0))))</f>
        <v>0</v>
      </c>
      <c r="M67" s="1027"/>
      <c r="N67" s="1028"/>
    </row>
    <row r="68" spans="2:14" ht="16">
      <c r="B68" s="1025" t="str">
        <f>'Cash Flow'!A9</f>
        <v>+ Interest</v>
      </c>
      <c r="C68" s="354"/>
      <c r="D68" s="1759">
        <f>IF($D$4='Cash Flow'!$G$3,'Cash Flow'!G9,IF('Break Even'!$D$4='Cash Flow'!$I$3,'Cash Flow'!I9))</f>
        <v>0</v>
      </c>
      <c r="E68" s="273"/>
      <c r="F68" s="655">
        <f>'Cash Flow'!K9</f>
        <v>0</v>
      </c>
      <c r="G68" s="273"/>
      <c r="H68" s="655">
        <f>'Cash Flow'!O9</f>
        <v>0</v>
      </c>
      <c r="I68" s="273"/>
      <c r="J68" s="655">
        <f>'Cash Flow'!Q9</f>
        <v>0</v>
      </c>
      <c r="K68" s="1026"/>
      <c r="L68" s="650">
        <f t="shared" si="24"/>
        <v>0</v>
      </c>
      <c r="M68" s="1027"/>
      <c r="N68" s="1028"/>
    </row>
    <row r="69" spans="2:14" ht="16">
      <c r="B69" s="1025" t="str">
        <f>'Cash Flow'!A10</f>
        <v>+ Rent Paid to EPC</v>
      </c>
      <c r="C69" s="354"/>
      <c r="D69" s="1759">
        <f>IF($D$4='Cash Flow'!$G$3,'Cash Flow'!G10,IF('Break Even'!$D$4='Cash Flow'!$I$3,'Cash Flow'!I10))</f>
        <v>0</v>
      </c>
      <c r="E69" s="273"/>
      <c r="F69" s="655">
        <f>'Cash Flow'!K10</f>
        <v>0</v>
      </c>
      <c r="G69" s="273"/>
      <c r="H69" s="655">
        <f>'Cash Flow'!O10</f>
        <v>0</v>
      </c>
      <c r="I69" s="273"/>
      <c r="J69" s="655">
        <f>'Cash Flow'!Q10</f>
        <v>0</v>
      </c>
      <c r="K69" s="1026"/>
      <c r="L69" s="650">
        <f t="shared" si="24"/>
        <v>0</v>
      </c>
      <c r="M69" s="1027"/>
      <c r="N69" s="1028"/>
    </row>
    <row r="70" spans="2:14" ht="16">
      <c r="B70" s="1025" t="str">
        <f>'Cash Flow'!A11</f>
        <v>+ Income Taxes Paid</v>
      </c>
      <c r="C70" s="354"/>
      <c r="D70" s="1759">
        <f>IF($D$4='Cash Flow'!$G$3,'Cash Flow'!G11,IF('Break Even'!$D$4='Cash Flow'!$I$3,'Cash Flow'!I11))</f>
        <v>0</v>
      </c>
      <c r="E70" s="273"/>
      <c r="F70" s="655">
        <f>'Cash Flow'!K11</f>
        <v>0</v>
      </c>
      <c r="G70" s="273"/>
      <c r="H70" s="655">
        <f>'Cash Flow'!O11</f>
        <v>0</v>
      </c>
      <c r="I70" s="273"/>
      <c r="J70" s="655">
        <f>'Cash Flow'!Q11</f>
        <v>0</v>
      </c>
      <c r="K70" s="1026"/>
      <c r="L70" s="650">
        <f t="shared" si="24"/>
        <v>0</v>
      </c>
      <c r="M70" s="1027"/>
      <c r="N70" s="1028"/>
    </row>
    <row r="71" spans="2:14" ht="16">
      <c r="B71" s="1025" t="str">
        <f>'Cash Flow'!A12</f>
        <v>+ Non Cash / Recur Expenses</v>
      </c>
      <c r="C71" s="354"/>
      <c r="D71" s="1759">
        <f>IF($D$4='Cash Flow'!$G$3,'Cash Flow'!G12,IF('Break Even'!$D$4='Cash Flow'!$I$3,'Cash Flow'!I12))</f>
        <v>0</v>
      </c>
      <c r="E71" s="273"/>
      <c r="F71" s="655">
        <f>'Cash Flow'!K12</f>
        <v>0</v>
      </c>
      <c r="G71" s="273"/>
      <c r="H71" s="655">
        <f>'Cash Flow'!O12</f>
        <v>0</v>
      </c>
      <c r="I71" s="273"/>
      <c r="J71" s="655">
        <f>'Cash Flow'!Q12</f>
        <v>0</v>
      </c>
      <c r="K71" s="1026"/>
      <c r="L71" s="650">
        <f t="shared" si="24"/>
        <v>0</v>
      </c>
      <c r="M71" s="1027"/>
      <c r="N71" s="1028"/>
    </row>
    <row r="72" spans="2:14" ht="16">
      <c r="B72" s="1025" t="str">
        <f>'Cash Flow'!A13</f>
        <v>+ Seller/Officer Salary Add Back</v>
      </c>
      <c r="C72" s="354"/>
      <c r="D72" s="1759">
        <f>IF($D$4='Cash Flow'!$G$3,'Cash Flow'!G13,IF('Break Even'!$D$4='Cash Flow'!$I$3,'Cash Flow'!I13))</f>
        <v>0</v>
      </c>
      <c r="E72" s="273"/>
      <c r="F72" s="655">
        <f>'Cash Flow'!K13</f>
        <v>0</v>
      </c>
      <c r="G72" s="273"/>
      <c r="H72" s="655">
        <f>'Cash Flow'!O13</f>
        <v>0</v>
      </c>
      <c r="I72" s="273"/>
      <c r="J72" s="655">
        <f>'Cash Flow'!Q13</f>
        <v>0</v>
      </c>
      <c r="K72" s="1026"/>
      <c r="L72" s="650">
        <f t="shared" si="24"/>
        <v>0</v>
      </c>
      <c r="M72" s="1027"/>
      <c r="N72" s="1028"/>
    </row>
    <row r="73" spans="2:14" ht="16">
      <c r="B73" s="1025" t="str">
        <f>'Cash Flow'!A14</f>
        <v>+ Other</v>
      </c>
      <c r="C73" s="354"/>
      <c r="D73" s="1759">
        <f>IF($D$4='Cash Flow'!$G$3,'Cash Flow'!G14,IF('Break Even'!$D$4='Cash Flow'!$I$3,'Cash Flow'!I14))</f>
        <v>0</v>
      </c>
      <c r="E73" s="273"/>
      <c r="F73" s="655">
        <f>'Cash Flow'!K14</f>
        <v>0</v>
      </c>
      <c r="G73" s="273"/>
      <c r="H73" s="655">
        <f>'Cash Flow'!O14</f>
        <v>0</v>
      </c>
      <c r="I73" s="273"/>
      <c r="J73" s="655">
        <f>'Cash Flow'!Q14</f>
        <v>0</v>
      </c>
      <c r="K73" s="1026"/>
      <c r="L73" s="650">
        <f t="shared" si="24"/>
        <v>0</v>
      </c>
      <c r="M73" s="1027"/>
      <c r="N73" s="1028"/>
    </row>
    <row r="74" spans="2:14" ht="16">
      <c r="B74" s="1025" t="str">
        <f>'Cash Flow'!A15</f>
        <v>+ Other</v>
      </c>
      <c r="C74" s="354"/>
      <c r="D74" s="1759">
        <f>IF($D$4='Cash Flow'!$G$3,'Cash Flow'!G15,IF('Break Even'!$D$4='Cash Flow'!$I$3,'Cash Flow'!I15))</f>
        <v>0</v>
      </c>
      <c r="E74" s="273"/>
      <c r="F74" s="655">
        <f>'Cash Flow'!K15</f>
        <v>0</v>
      </c>
      <c r="G74" s="273"/>
      <c r="H74" s="655">
        <f>'Cash Flow'!O15</f>
        <v>0</v>
      </c>
      <c r="I74" s="273"/>
      <c r="J74" s="655">
        <f>'Cash Flow'!Q15</f>
        <v>0</v>
      </c>
      <c r="K74" s="1026"/>
      <c r="L74" s="650">
        <f t="shared" si="24"/>
        <v>0</v>
      </c>
      <c r="M74" s="1027"/>
      <c r="N74" s="1028"/>
    </row>
    <row r="75" spans="2:14" ht="17" thickBot="1">
      <c r="B75" s="1029" t="str">
        <f>'Cash Flow'!A16</f>
        <v>+ Other</v>
      </c>
      <c r="C75" s="354"/>
      <c r="D75" s="1760">
        <f>IF($D$4='Cash Flow'!$G$3,'Cash Flow'!G16,IF('Break Even'!$D$4='Cash Flow'!$I$3,'Cash Flow'!I16))</f>
        <v>0</v>
      </c>
      <c r="E75" s="273"/>
      <c r="F75" s="656">
        <f>'Cash Flow'!K16</f>
        <v>0</v>
      </c>
      <c r="G75" s="273"/>
      <c r="H75" s="656">
        <f>'Cash Flow'!O16</f>
        <v>0</v>
      </c>
      <c r="I75" s="273"/>
      <c r="J75" s="656">
        <f>'Cash Flow'!Q16</f>
        <v>0</v>
      </c>
      <c r="K75" s="1026"/>
      <c r="L75" s="650">
        <f t="shared" si="24"/>
        <v>0</v>
      </c>
      <c r="M75" s="1027"/>
      <c r="N75" s="1028"/>
    </row>
    <row r="76" spans="2:14" ht="17" thickBot="1">
      <c r="B76" s="2903" t="s">
        <v>818</v>
      </c>
      <c r="C76" s="2904"/>
      <c r="D76" s="1030">
        <f>SUM(D66:D75)</f>
        <v>0</v>
      </c>
      <c r="E76" s="282"/>
      <c r="F76" s="1030">
        <f>SUM(F66:F75)</f>
        <v>0</v>
      </c>
      <c r="G76" s="282"/>
      <c r="H76" s="1030">
        <f>SUM(H66:H75)</f>
        <v>0</v>
      </c>
      <c r="I76" s="282"/>
      <c r="J76" s="1030">
        <f>SUM(J66:J75)</f>
        <v>0</v>
      </c>
      <c r="K76" s="282"/>
      <c r="L76" s="1030">
        <f>SUM(L66:L75)</f>
        <v>0</v>
      </c>
      <c r="M76" s="284"/>
      <c r="N76" s="1031"/>
    </row>
    <row r="77" spans="2:14" ht="16">
      <c r="B77" s="1025" t="str">
        <f>'Cash Flow'!A18</f>
        <v>- Income Taxes Paid</v>
      </c>
      <c r="C77" s="1056"/>
      <c r="D77" s="1759">
        <f>IF($D$4='Cash Flow'!$G$3,'Cash Flow'!G18,IF('Break Even'!$D$4='Cash Flow'!$I$3,'Cash Flow'!I18))</f>
        <v>0</v>
      </c>
      <c r="E77" s="276"/>
      <c r="F77" s="1032">
        <f>'Cash Flow'!K18</f>
        <v>0</v>
      </c>
      <c r="G77" s="276"/>
      <c r="H77" s="1032">
        <f>'Cash Flow'!K18</f>
        <v>0</v>
      </c>
      <c r="I77" s="276"/>
      <c r="J77" s="654">
        <f>'Cash Flow'!Q18</f>
        <v>0</v>
      </c>
      <c r="K77" s="276"/>
      <c r="L77" s="650">
        <f t="shared" si="24"/>
        <v>0</v>
      </c>
      <c r="M77" s="1033"/>
      <c r="N77" s="1024"/>
    </row>
    <row r="78" spans="2:14" ht="16">
      <c r="B78" s="1025" t="str">
        <f>'Cash Flow'!A19</f>
        <v>- Dividends and Distributions</v>
      </c>
      <c r="C78" s="354"/>
      <c r="D78" s="1759">
        <f>IF($D$4='Cash Flow'!$G$3,'Cash Flow'!G19,IF('Break Even'!$D$4='Cash Flow'!$I$3,'Cash Flow'!I19))</f>
        <v>0</v>
      </c>
      <c r="E78" s="273"/>
      <c r="F78" s="1032">
        <f>'Cash Flow'!K19</f>
        <v>0</v>
      </c>
      <c r="G78" s="273"/>
      <c r="H78" s="1032">
        <f>'Cash Flow'!K19</f>
        <v>0</v>
      </c>
      <c r="I78" s="273"/>
      <c r="J78" s="655">
        <f>'Cash Flow'!Q19</f>
        <v>0</v>
      </c>
      <c r="K78" s="273"/>
      <c r="L78" s="650">
        <f t="shared" si="24"/>
        <v>0</v>
      </c>
      <c r="M78" s="1026"/>
      <c r="N78" s="1028"/>
    </row>
    <row r="79" spans="2:14" ht="16">
      <c r="B79" s="1025" t="str">
        <f>'Cash Flow'!A20</f>
        <v>- Off Bal Sheet Obligations</v>
      </c>
      <c r="C79" s="354"/>
      <c r="D79" s="1759">
        <f>IF($D$4='Cash Flow'!$G$3,'Cash Flow'!G20,IF('Break Even'!$D$4='Cash Flow'!$I$3,'Cash Flow'!I20))</f>
        <v>0</v>
      </c>
      <c r="E79" s="273"/>
      <c r="F79" s="1032">
        <f>'Cash Flow'!K20</f>
        <v>0</v>
      </c>
      <c r="G79" s="273"/>
      <c r="H79" s="1032">
        <f>'Cash Flow'!K20</f>
        <v>0</v>
      </c>
      <c r="I79" s="273"/>
      <c r="J79" s="655">
        <f>'Cash Flow'!Q20</f>
        <v>0</v>
      </c>
      <c r="K79" s="273"/>
      <c r="L79" s="650">
        <f t="shared" si="24"/>
        <v>0</v>
      </c>
      <c r="M79" s="1026"/>
      <c r="N79" s="1028"/>
    </row>
    <row r="80" spans="2:14" ht="16">
      <c r="B80" s="1025" t="str">
        <f>'Cash Flow'!A21</f>
        <v>Owner Draw Required</v>
      </c>
      <c r="C80" s="354"/>
      <c r="D80" s="1759" t="e">
        <f>IF($D$4='Cash Flow'!$G$3,'Cash Flow'!G21,IF('Break Even'!$D$4='Cash Flow'!$I$3,'Cash Flow'!I21))</f>
        <v>#REF!</v>
      </c>
      <c r="E80" s="273"/>
      <c r="F80" s="1032">
        <f>'Cash Flow'!K21</f>
        <v>0</v>
      </c>
      <c r="G80" s="273"/>
      <c r="H80" s="1032">
        <f>'Cash Flow'!K21</f>
        <v>0</v>
      </c>
      <c r="I80" s="273"/>
      <c r="J80" s="655">
        <f>'Cash Flow'!Q21</f>
        <v>0</v>
      </c>
      <c r="K80" s="273"/>
      <c r="L80" s="650">
        <f t="shared" si="24"/>
        <v>0</v>
      </c>
      <c r="M80" s="1026"/>
      <c r="N80" s="1028"/>
    </row>
    <row r="81" spans="2:24" ht="16">
      <c r="B81" s="1025" t="str">
        <f>'Cash Flow'!A22</f>
        <v>- RE Exp Adjustment</v>
      </c>
      <c r="C81" s="354"/>
      <c r="D81" s="1759">
        <f>IF($D$4='Cash Flow'!$G$3,'Cash Flow'!G22,IF('Break Even'!$D$4='Cash Flow'!$I$3,'Cash Flow'!I22))</f>
        <v>0</v>
      </c>
      <c r="E81" s="273"/>
      <c r="F81" s="1032">
        <f>'Cash Flow'!K22</f>
        <v>0</v>
      </c>
      <c r="G81" s="273"/>
      <c r="H81" s="1032">
        <f>'Cash Flow'!K22</f>
        <v>0</v>
      </c>
      <c r="I81" s="273"/>
      <c r="J81" s="655">
        <f>'Cash Flow'!Q22</f>
        <v>0</v>
      </c>
      <c r="K81" s="273"/>
      <c r="L81" s="650">
        <f t="shared" si="24"/>
        <v>0</v>
      </c>
      <c r="M81" s="1026"/>
      <c r="N81" s="1028"/>
    </row>
    <row r="82" spans="2:24" ht="16">
      <c r="B82" s="1025" t="str">
        <f>'Cash Flow'!A23</f>
        <v>- Replacement CapEX (if appl)</v>
      </c>
      <c r="C82" s="354"/>
      <c r="D82" s="1759">
        <f>IF($D$4='Cash Flow'!$G$3,'Cash Flow'!G23,IF('Break Even'!$D$4='Cash Flow'!$I$3,'Cash Flow'!I23))</f>
        <v>0</v>
      </c>
      <c r="E82" s="273"/>
      <c r="F82" s="1032">
        <f>'Cash Flow'!K23</f>
        <v>0</v>
      </c>
      <c r="G82" s="273"/>
      <c r="H82" s="1032">
        <f>'Cash Flow'!K23</f>
        <v>0</v>
      </c>
      <c r="I82" s="273"/>
      <c r="J82" s="655">
        <f>'Cash Flow'!Q23</f>
        <v>0</v>
      </c>
      <c r="K82" s="273"/>
      <c r="L82" s="650">
        <f t="shared" si="24"/>
        <v>0</v>
      </c>
      <c r="M82" s="1026"/>
      <c r="N82" s="1028"/>
    </row>
    <row r="83" spans="2:24" ht="16">
      <c r="B83" s="1025" t="str">
        <f>'Cash Flow'!A24</f>
        <v>- Other</v>
      </c>
      <c r="C83" s="354"/>
      <c r="D83" s="1759">
        <f>IF($D$4='Cash Flow'!$G$3,'Cash Flow'!G24,IF('Break Even'!$D$4='Cash Flow'!$I$3,'Cash Flow'!I24))</f>
        <v>0</v>
      </c>
      <c r="E83" s="273"/>
      <c r="F83" s="1032">
        <f>'Cash Flow'!K24</f>
        <v>0</v>
      </c>
      <c r="G83" s="273"/>
      <c r="H83" s="1032">
        <f>'Cash Flow'!K24</f>
        <v>0</v>
      </c>
      <c r="I83" s="273"/>
      <c r="J83" s="655">
        <f>'Cash Flow'!Q24</f>
        <v>0</v>
      </c>
      <c r="K83" s="273"/>
      <c r="L83" s="650">
        <f t="shared" si="24"/>
        <v>0</v>
      </c>
      <c r="M83" s="1026"/>
      <c r="N83" s="1028"/>
    </row>
    <row r="84" spans="2:24" ht="17" thickBot="1">
      <c r="B84" s="1025" t="str">
        <f>'Cash Flow'!A25</f>
        <v>- Other</v>
      </c>
      <c r="C84" s="355"/>
      <c r="D84" s="1759">
        <f>IF($D$4='Cash Flow'!$G$3,'Cash Flow'!G25,IF('Break Even'!$D$4='Cash Flow'!$I$3,'Cash Flow'!I25))</f>
        <v>0</v>
      </c>
      <c r="E84" s="1034"/>
      <c r="F84" s="1032">
        <f>'Cash Flow'!K25</f>
        <v>0</v>
      </c>
      <c r="G84" s="1034"/>
      <c r="H84" s="1032">
        <f>'Cash Flow'!K25</f>
        <v>0</v>
      </c>
      <c r="I84" s="1034"/>
      <c r="J84" s="655">
        <f>'Cash Flow'!Q25</f>
        <v>0</v>
      </c>
      <c r="K84" s="1034"/>
      <c r="L84" s="650">
        <f t="shared" si="24"/>
        <v>0</v>
      </c>
      <c r="M84" s="1035"/>
      <c r="N84" s="1036"/>
    </row>
    <row r="85" spans="2:24" ht="17" thickBot="1">
      <c r="B85" s="2903" t="s">
        <v>259</v>
      </c>
      <c r="C85" s="2904"/>
      <c r="D85" s="1030" t="e">
        <f>+D76-SUM(D77:D84)</f>
        <v>#REF!</v>
      </c>
      <c r="E85" s="282"/>
      <c r="F85" s="1030">
        <f>+F76-SUM(F77:F84)</f>
        <v>0</v>
      </c>
      <c r="G85" s="282"/>
      <c r="H85" s="1030">
        <f>+H76-SUM(H77:H84)</f>
        <v>0</v>
      </c>
      <c r="I85" s="282"/>
      <c r="J85" s="1030">
        <f>+J76-SUM(J77:J84)</f>
        <v>0</v>
      </c>
      <c r="K85" s="282"/>
      <c r="L85" s="1030">
        <f>+L76-SUM(L77:L84)</f>
        <v>0</v>
      </c>
      <c r="M85" s="284"/>
      <c r="N85" s="1037"/>
    </row>
    <row r="86" spans="2:24" ht="16">
      <c r="B86" s="278" t="s">
        <v>231</v>
      </c>
      <c r="C86" s="1057"/>
      <c r="D86" s="1038">
        <f>Table1[[#Totals],[CF Debt Svc]]*D5</f>
        <v>0</v>
      </c>
      <c r="E86" s="279"/>
      <c r="F86" s="1038">
        <f>Table1[[#Totals],[CF Debt Svc]]*F5</f>
        <v>0</v>
      </c>
      <c r="G86" s="279"/>
      <c r="H86" s="1038">
        <f>Table1[[#Totals],[CF Debt Svc]]*H5</f>
        <v>0</v>
      </c>
      <c r="I86" s="279"/>
      <c r="J86" s="1038">
        <f>Table1[[#Totals],[CF Debt Svc]]*J5</f>
        <v>0</v>
      </c>
      <c r="K86" s="279"/>
      <c r="L86" s="1038">
        <f t="shared" ref="L86:L93" si="25">IF(L$5=2,D86,IF(L$5=3,F86,IF(L$5=4,H86,IF(L$5=5,J86,0))))</f>
        <v>0</v>
      </c>
      <c r="M86" s="232"/>
      <c r="N86" s="235"/>
    </row>
    <row r="87" spans="2:24" ht="16">
      <c r="B87" s="278" t="s">
        <v>232</v>
      </c>
      <c r="C87" s="1057"/>
      <c r="D87" s="1020">
        <f>IFERROR(INDEX('Pmt Calcs'!$J$4:$J$6,MATCH('Wksht Print Separately'!$C$25,'Pmt Calcs'!$A$4:$A$6,0))*D$5,0)</f>
        <v>0</v>
      </c>
      <c r="E87" s="279"/>
      <c r="F87" s="1020">
        <f>IFERROR(INDEX('Pmt Calcs'!$J$4:$J$6,MATCH('Wksht Print Separately'!$C$25,'Pmt Calcs'!$A$4:$A$6,0))*F$5,0)</f>
        <v>0</v>
      </c>
      <c r="G87" s="279"/>
      <c r="H87" s="1020">
        <f>IFERROR(INDEX('Pmt Calcs'!$J$4:$J$6,MATCH('Wksht Print Separately'!$C$25,'Pmt Calcs'!$A$4:$A$6,0))*H$5,0)</f>
        <v>0</v>
      </c>
      <c r="I87" s="279"/>
      <c r="J87" s="1020">
        <f>IFERROR(INDEX('Pmt Calcs'!$J$4:$J$6,MATCH('Wksht Print Separately'!$C$25,'Pmt Calcs'!$A$4:$A$6,0))*J$5,0)</f>
        <v>0</v>
      </c>
      <c r="K87" s="279"/>
      <c r="L87" s="1020">
        <f t="shared" si="25"/>
        <v>0</v>
      </c>
      <c r="M87" s="232"/>
      <c r="N87" s="235"/>
      <c r="V87" s="1039"/>
      <c r="W87" s="200"/>
      <c r="X87" s="1039"/>
    </row>
    <row r="88" spans="2:24" ht="16">
      <c r="B88" s="278" t="s">
        <v>233</v>
      </c>
      <c r="C88" s="1057"/>
      <c r="D88" s="1020">
        <f>IFERROR(INDEX('Pmt Calcs'!$J$35:$J$37,MATCH('Wksht Print Separately'!$C$70,'Pmt Calcs'!$A$35:$A$37,0))*D$5,0)</f>
        <v>0</v>
      </c>
      <c r="E88" s="279"/>
      <c r="F88" s="1020">
        <f>IFERROR(INDEX('Pmt Calcs'!$J$35:$J$37,MATCH('Wksht Print Separately'!$C$70,'Pmt Calcs'!$A$35:$A$37,0))*F$5,0)</f>
        <v>0</v>
      </c>
      <c r="G88" s="279"/>
      <c r="H88" s="1020">
        <f>IFERROR(INDEX('Pmt Calcs'!$J$35:$J$37,MATCH('Wksht Print Separately'!$C$70,'Pmt Calcs'!$A$35:$A$37,0))*H$5,0)</f>
        <v>0</v>
      </c>
      <c r="I88" s="279"/>
      <c r="J88" s="1020">
        <f>IFERROR(INDEX('Pmt Calcs'!$J$35:$J$37,MATCH('Wksht Print Separately'!$C$70,'Pmt Calcs'!$A$35:$A$37,0))*J$5,0)</f>
        <v>0</v>
      </c>
      <c r="K88" s="279"/>
      <c r="L88" s="1020">
        <f t="shared" si="25"/>
        <v>0</v>
      </c>
      <c r="M88" s="232"/>
      <c r="N88" s="235"/>
      <c r="V88" s="1039"/>
      <c r="W88" s="200"/>
      <c r="X88" s="1039"/>
    </row>
    <row r="89" spans="2:24" ht="16">
      <c r="B89" s="278" t="s">
        <v>234</v>
      </c>
      <c r="C89" s="1057"/>
      <c r="D89" s="1020">
        <f>(UOP!$K$86+'UOP (2)'!$K$86)*D5</f>
        <v>0</v>
      </c>
      <c r="E89" s="279"/>
      <c r="F89" s="1020">
        <f>(UOP!$K$86+'UOP (2)'!$K$86)*F5</f>
        <v>0</v>
      </c>
      <c r="G89" s="279"/>
      <c r="H89" s="1020">
        <f>(UOP!$K$86+'UOP (2)'!$K$86)*H5</f>
        <v>0</v>
      </c>
      <c r="I89" s="279"/>
      <c r="J89" s="1020">
        <f>(UOP!$K$86+'UOP (2)'!$K$86)*J5</f>
        <v>0</v>
      </c>
      <c r="K89" s="279"/>
      <c r="L89" s="1020">
        <f t="shared" si="25"/>
        <v>0</v>
      </c>
      <c r="M89" s="232"/>
      <c r="N89" s="235"/>
      <c r="V89" s="1039"/>
      <c r="W89" s="200"/>
      <c r="X89" s="1039"/>
    </row>
    <row r="90" spans="2:24" ht="16">
      <c r="B90" s="272" t="s">
        <v>235</v>
      </c>
      <c r="C90" s="356"/>
      <c r="D90" s="1020">
        <f>(UOP!$K$89+'UOP (2)'!$K$89)*D5</f>
        <v>0</v>
      </c>
      <c r="E90" s="1040"/>
      <c r="F90" s="1020">
        <f>(UOP!$K$89+'UOP (2)'!$K$89)*F5</f>
        <v>0</v>
      </c>
      <c r="G90" s="1040"/>
      <c r="H90" s="1020">
        <f>(UOP!$K$89+'UOP (2)'!$K$89)*H5</f>
        <v>0</v>
      </c>
      <c r="I90" s="1040"/>
      <c r="J90" s="1020">
        <f>(UOP!$K$89+'UOP (2)'!$K$89)*J5</f>
        <v>0</v>
      </c>
      <c r="K90" s="1040"/>
      <c r="L90" s="1020">
        <f t="shared" si="25"/>
        <v>0</v>
      </c>
      <c r="M90" s="1027"/>
      <c r="N90" s="1028"/>
      <c r="P90" s="1039"/>
      <c r="Q90" s="200"/>
      <c r="R90" s="1039"/>
      <c r="S90" s="200"/>
      <c r="T90" s="1039"/>
      <c r="U90" s="200"/>
    </row>
    <row r="91" spans="2:24" ht="16">
      <c r="B91" s="272" t="s">
        <v>236</v>
      </c>
      <c r="C91" s="356"/>
      <c r="D91" s="1020">
        <f>(UOP!$K$92+'UOP (2)'!$K$92)*D5</f>
        <v>0</v>
      </c>
      <c r="E91" s="1040"/>
      <c r="F91" s="1020">
        <f>(UOP!$K$92+'UOP (2)'!$K$92)*F5</f>
        <v>0</v>
      </c>
      <c r="G91" s="1040"/>
      <c r="H91" s="1020">
        <f>(UOP!$K$92+'UOP (2)'!$K$92)*H5</f>
        <v>0</v>
      </c>
      <c r="I91" s="1040"/>
      <c r="J91" s="1020">
        <f>(UOP!$K$92+'UOP (2)'!$K$92)*J5</f>
        <v>0</v>
      </c>
      <c r="K91" s="1040"/>
      <c r="L91" s="1020">
        <f t="shared" si="25"/>
        <v>0</v>
      </c>
      <c r="M91" s="1027"/>
      <c r="N91" s="1028"/>
      <c r="P91" s="1039"/>
      <c r="Q91" s="200"/>
      <c r="R91" s="1039"/>
      <c r="S91" s="200"/>
      <c r="T91" s="1039"/>
      <c r="U91" s="200"/>
    </row>
    <row r="92" spans="2:24" ht="17" thickBot="1">
      <c r="B92" s="272" t="s">
        <v>228</v>
      </c>
      <c r="C92" s="356"/>
      <c r="D92" s="1761">
        <f>IF($D$4='Cash Flow'!$G$3,'Cash Flow'!G33,IF('Break Even'!$D$4='Cash Flow'!$I$3,'Cash Flow'!I33))</f>
        <v>0</v>
      </c>
      <c r="E92" s="1040"/>
      <c r="F92" s="1041">
        <f>'Cash Flow'!K33</f>
        <v>0</v>
      </c>
      <c r="G92" s="1040"/>
      <c r="H92" s="1041">
        <f>'Cash Flow'!O33</f>
        <v>0</v>
      </c>
      <c r="I92" s="1040"/>
      <c r="J92" s="1041">
        <f>'Cash Flow'!Q33</f>
        <v>0</v>
      </c>
      <c r="K92" s="1040"/>
      <c r="L92" s="657">
        <f t="shared" si="25"/>
        <v>0</v>
      </c>
      <c r="M92" s="1027"/>
      <c r="N92" s="1028"/>
      <c r="P92" s="1039"/>
      <c r="Q92" s="200"/>
      <c r="R92" s="1039"/>
      <c r="S92" s="200"/>
      <c r="T92" s="1039"/>
      <c r="U92" s="200"/>
    </row>
    <row r="93" spans="2:24" ht="17" thickBot="1">
      <c r="B93" s="2903" t="s">
        <v>826</v>
      </c>
      <c r="C93" s="2904"/>
      <c r="D93" s="1042">
        <f>SUM(D86:D92)</f>
        <v>0</v>
      </c>
      <c r="E93" s="283"/>
      <c r="F93" s="1042">
        <f>SUM(F86:F92)</f>
        <v>0</v>
      </c>
      <c r="G93" s="283"/>
      <c r="H93" s="1042">
        <f>SUM(H86:H92)</f>
        <v>0</v>
      </c>
      <c r="I93" s="283"/>
      <c r="J93" s="1042">
        <f>SUM(J86:J92)</f>
        <v>0</v>
      </c>
      <c r="K93" s="283"/>
      <c r="L93" s="1042">
        <f t="shared" si="25"/>
        <v>0</v>
      </c>
      <c r="M93" s="285"/>
      <c r="N93" s="1037"/>
    </row>
    <row r="94" spans="2:24" ht="16">
      <c r="B94" s="280" t="s">
        <v>827</v>
      </c>
      <c r="C94" s="1058"/>
      <c r="D94" s="1043" t="e">
        <f>+D85-D93</f>
        <v>#REF!</v>
      </c>
      <c r="E94" s="286"/>
      <c r="F94" s="1043">
        <f>+F85-F93</f>
        <v>0</v>
      </c>
      <c r="G94" s="286"/>
      <c r="H94" s="1043">
        <f>+H85-H93</f>
        <v>0</v>
      </c>
      <c r="I94" s="286"/>
      <c r="J94" s="1043">
        <f>+J85-J93</f>
        <v>0</v>
      </c>
      <c r="K94" s="286"/>
      <c r="L94" s="1043">
        <f>+L85-L93</f>
        <v>0</v>
      </c>
      <c r="M94" s="1044"/>
      <c r="N94" s="1045"/>
    </row>
    <row r="95" spans="2:24" ht="16">
      <c r="B95" s="236" t="s">
        <v>238</v>
      </c>
      <c r="C95" s="1053"/>
      <c r="D95" s="289">
        <f>IF(D$93=0,0,+D$85/D93)</f>
        <v>0</v>
      </c>
      <c r="E95" s="290"/>
      <c r="F95" s="289">
        <f>IF(F$93=0,0,+F$85/F93)</f>
        <v>0</v>
      </c>
      <c r="G95" s="290"/>
      <c r="H95" s="289">
        <f>IF(H$93=0,0,+H$85/H93)</f>
        <v>0</v>
      </c>
      <c r="I95" s="290"/>
      <c r="J95" s="289">
        <f>IF(J$93=0,0,+J$85/J93)</f>
        <v>0</v>
      </c>
      <c r="K95" s="290"/>
      <c r="L95" s="289">
        <f>IF(L$93=0,0,+L$85/L93)</f>
        <v>0</v>
      </c>
      <c r="M95" s="1046"/>
      <c r="N95" s="1047"/>
    </row>
    <row r="96" spans="2:24" ht="16">
      <c r="B96" s="236"/>
      <c r="C96" s="1053"/>
      <c r="D96" s="306"/>
      <c r="E96" s="287"/>
      <c r="F96" s="306"/>
      <c r="G96" s="287"/>
      <c r="H96" s="306"/>
      <c r="I96" s="287"/>
      <c r="J96" s="306"/>
      <c r="K96" s="287"/>
      <c r="L96" s="306"/>
      <c r="M96" s="1048"/>
      <c r="N96" s="1045"/>
    </row>
    <row r="97" spans="2:14" ht="16">
      <c r="B97" s="233" t="s">
        <v>828</v>
      </c>
      <c r="C97" s="246"/>
      <c r="D97" s="1049" t="e">
        <f>+D85-D98-D99-D86-D89-D90-D90-D92</f>
        <v>#REF!</v>
      </c>
      <c r="E97" s="281"/>
      <c r="F97" s="1049">
        <f>+F85-F98-F99-F86-F89-F90-F90-F92</f>
        <v>0</v>
      </c>
      <c r="G97" s="281"/>
      <c r="H97" s="1049">
        <f>+H85-H98-H99-H86-H89-H90-H90-H92</f>
        <v>0</v>
      </c>
      <c r="I97" s="281"/>
      <c r="J97" s="1049">
        <f>+J85-J98-J99-J86-J89-J90-J90-J92</f>
        <v>0</v>
      </c>
      <c r="K97" s="281"/>
      <c r="L97" s="1049">
        <f>+L85-L98-L99-L86-L89-L90-L90-L92</f>
        <v>0</v>
      </c>
      <c r="M97" s="1050"/>
      <c r="N97" s="304"/>
    </row>
    <row r="98" spans="2:14" ht="16">
      <c r="B98" s="233" t="s">
        <v>829</v>
      </c>
      <c r="C98" s="246"/>
      <c r="D98" s="1020">
        <f>IFERROR(INDEX('Pmt Calcs'!$J$10:$J$12,MATCH('Wksht Print Separately'!$C$25,'Pmt Calcs'!$A$10:$A$12,0))*D$5,0)</f>
        <v>0</v>
      </c>
      <c r="E98" s="281"/>
      <c r="F98" s="1020">
        <f>IFERROR(INDEX('Pmt Calcs'!$J$10:$J$12,MATCH('Wksht Print Separately'!$C$25,'Pmt Calcs'!$A$10:$A$12,0))*F$5,0)</f>
        <v>0</v>
      </c>
      <c r="G98" s="281"/>
      <c r="H98" s="1020">
        <f>IFERROR(INDEX('Pmt Calcs'!$J$10:$J$12,MATCH('Wksht Print Separately'!$C$25,'Pmt Calcs'!$A$10:$A$12,0))*H$5,0)</f>
        <v>0</v>
      </c>
      <c r="I98" s="281"/>
      <c r="J98" s="1020">
        <f>IFERROR(INDEX('Pmt Calcs'!$J$10:$J$12,MATCH('Wksht Print Separately'!$C$25,'Pmt Calcs'!$A$10:$A$12,0))*J$5,0)</f>
        <v>0</v>
      </c>
      <c r="K98" s="281"/>
      <c r="L98" s="1020">
        <f t="shared" ref="L98:L99" si="26">IF(L$5=2,D98,IF(L$5=3,F98,IF(L$5=4,H98,IF(L$5=5,J98,0))))</f>
        <v>0</v>
      </c>
      <c r="M98" s="651"/>
      <c r="N98" s="652"/>
    </row>
    <row r="99" spans="2:14" ht="16">
      <c r="B99" s="233" t="s">
        <v>830</v>
      </c>
      <c r="C99" s="246"/>
      <c r="D99" s="1020">
        <f>IFERROR(INDEX('Pmt Calcs'!$J$41:$J$43,MATCH('Wksht Print Separately'!$C$70,'Pmt Calcs'!$A$41:$A$43,0))*D$5,0)</f>
        <v>0</v>
      </c>
      <c r="E99" s="281"/>
      <c r="F99" s="1020">
        <f>IFERROR(INDEX('Pmt Calcs'!$J$41:$J$43,MATCH('Wksht Print Separately'!$C$70,'Pmt Calcs'!$A$41:$A$43,0))*F$5,0)</f>
        <v>0</v>
      </c>
      <c r="G99" s="281"/>
      <c r="H99" s="1020">
        <f>IFERROR(INDEX('Pmt Calcs'!$J$41:$J$43,MATCH('Wksht Print Separately'!$C$70,'Pmt Calcs'!$A$41:$A$43,0))*H$5,0)</f>
        <v>0</v>
      </c>
      <c r="I99" s="281"/>
      <c r="J99" s="1020">
        <f>IFERROR(INDEX('Pmt Calcs'!$J$41:$J$43,MATCH('Wksht Print Separately'!$C$70,'Pmt Calcs'!$A$41:$A$43,0))*J$5,0)</f>
        <v>0</v>
      </c>
      <c r="K99" s="281"/>
      <c r="L99" s="1020">
        <f t="shared" si="26"/>
        <v>0</v>
      </c>
      <c r="M99" s="651"/>
      <c r="N99" s="652"/>
    </row>
    <row r="100" spans="2:14" ht="17" thickBot="1">
      <c r="B100" s="236" t="s">
        <v>239</v>
      </c>
      <c r="C100" s="246"/>
      <c r="D100" s="289">
        <f>IF(D$93=0,0,+D$85/(D$86+D$89+D$90+D$91+D$92+D98+D99))</f>
        <v>0</v>
      </c>
      <c r="E100" s="292"/>
      <c r="F100" s="289">
        <f>IF(F$93=0,0,+F$85/(F$86+F$89+F$90+F$91+F$92+F98+F99))</f>
        <v>0</v>
      </c>
      <c r="G100" s="292"/>
      <c r="H100" s="289">
        <f>IF(H$93=0,0,+H$85/(H$86+H$89+H$90+H$91+H$92+H98+H99))</f>
        <v>0</v>
      </c>
      <c r="I100" s="292"/>
      <c r="J100" s="289">
        <f>IF(J$93=0,0,+J$85/(J$86+J$89+J$90+J$91+J$92+J98+J99))</f>
        <v>0</v>
      </c>
      <c r="K100" s="292"/>
      <c r="L100" s="289">
        <f>IF(L$93=0,0,+L$85/(L$86+L$89+L$90+L$91+L$92+L98+L99))</f>
        <v>0</v>
      </c>
      <c r="M100" s="1051"/>
      <c r="N100" s="295"/>
    </row>
    <row r="102" spans="2:14" ht="15" customHeight="1"/>
    <row r="103" spans="2:14" ht="15" customHeight="1">
      <c r="B103" s="2777"/>
      <c r="C103" s="2777"/>
      <c r="D103" s="2777"/>
      <c r="E103" s="2777"/>
      <c r="F103" s="2777"/>
      <c r="G103" s="2777"/>
      <c r="H103" s="2777"/>
      <c r="I103" s="2777"/>
      <c r="J103" s="2777"/>
      <c r="K103" s="2777"/>
      <c r="L103" s="2777"/>
      <c r="M103" s="2777"/>
      <c r="N103" s="2777"/>
    </row>
    <row r="104" spans="2:14" ht="15" customHeight="1">
      <c r="B104" s="2777"/>
      <c r="C104" s="2777"/>
      <c r="D104" s="2777"/>
      <c r="E104" s="2777"/>
      <c r="F104" s="2777"/>
      <c r="G104" s="2777"/>
      <c r="H104" s="2777"/>
      <c r="I104" s="2777"/>
      <c r="J104" s="2777"/>
      <c r="K104" s="2777"/>
      <c r="L104" s="2777"/>
      <c r="M104" s="2777"/>
      <c r="N104" s="2777"/>
    </row>
    <row r="105" spans="2:14" ht="15" customHeight="1">
      <c r="B105" s="2777"/>
      <c r="C105" s="2777"/>
      <c r="D105" s="2777"/>
      <c r="E105" s="2777"/>
      <c r="F105" s="2777"/>
      <c r="G105" s="2777"/>
      <c r="H105" s="2777"/>
      <c r="I105" s="2777"/>
      <c r="J105" s="2777"/>
      <c r="K105" s="2777"/>
      <c r="L105" s="2777"/>
      <c r="M105" s="2777"/>
      <c r="N105" s="2777"/>
    </row>
    <row r="106" spans="2:14" ht="15" customHeight="1">
      <c r="B106" s="2777"/>
      <c r="C106" s="2777"/>
      <c r="D106" s="2777"/>
      <c r="E106" s="2777"/>
      <c r="F106" s="2777"/>
      <c r="G106" s="2777"/>
      <c r="H106" s="2777"/>
      <c r="I106" s="2777"/>
      <c r="J106" s="2777"/>
      <c r="K106" s="2777"/>
      <c r="L106" s="2777"/>
      <c r="M106" s="2777"/>
      <c r="N106" s="2777"/>
    </row>
    <row r="107" spans="2:14" ht="15" customHeight="1">
      <c r="B107" s="2777"/>
      <c r="C107" s="2777"/>
      <c r="D107" s="2777"/>
      <c r="E107" s="2777"/>
      <c r="F107" s="2777"/>
      <c r="G107" s="2777"/>
      <c r="H107" s="2777"/>
      <c r="I107" s="2777"/>
      <c r="J107" s="2777"/>
      <c r="K107" s="2777"/>
      <c r="L107" s="2777"/>
      <c r="M107" s="2777"/>
      <c r="N107" s="2777"/>
    </row>
    <row r="108" spans="2:14" ht="15" customHeight="1">
      <c r="B108" s="2777"/>
      <c r="C108" s="2777"/>
      <c r="D108" s="2777"/>
      <c r="E108" s="2777"/>
      <c r="F108" s="2777"/>
      <c r="G108" s="2777"/>
      <c r="H108" s="2777"/>
      <c r="I108" s="2777"/>
      <c r="J108" s="2777"/>
      <c r="K108" s="2777"/>
      <c r="L108" s="2777"/>
      <c r="M108" s="2777"/>
      <c r="N108" s="2777"/>
    </row>
    <row r="109" spans="2:14" ht="15" customHeight="1">
      <c r="B109" s="2777"/>
      <c r="C109" s="2777"/>
      <c r="D109" s="2777"/>
      <c r="E109" s="2777"/>
      <c r="F109" s="2777"/>
      <c r="G109" s="2777"/>
      <c r="H109" s="2777"/>
      <c r="I109" s="2777"/>
      <c r="J109" s="2777"/>
      <c r="K109" s="2777"/>
      <c r="L109" s="2777"/>
      <c r="M109" s="2777"/>
      <c r="N109" s="2777"/>
    </row>
    <row r="110" spans="2:14">
      <c r="B110" s="2777"/>
      <c r="C110" s="2777"/>
      <c r="D110" s="2777"/>
      <c r="E110" s="2777"/>
      <c r="F110" s="2777"/>
      <c r="G110" s="2777"/>
      <c r="H110" s="2777"/>
      <c r="I110" s="2777"/>
      <c r="J110" s="2777"/>
      <c r="K110" s="2777"/>
      <c r="L110" s="2777"/>
      <c r="M110" s="2777"/>
      <c r="N110" s="2777"/>
    </row>
    <row r="111" spans="2:14">
      <c r="B111" s="2777"/>
      <c r="C111" s="2777"/>
      <c r="D111" s="2777"/>
      <c r="E111" s="2777"/>
      <c r="F111" s="2777"/>
      <c r="G111" s="2777"/>
      <c r="H111" s="2777"/>
      <c r="I111" s="2777"/>
      <c r="J111" s="2777"/>
      <c r="K111" s="2777"/>
      <c r="L111" s="2777"/>
      <c r="M111" s="2777"/>
      <c r="N111" s="2777"/>
    </row>
  </sheetData>
  <sheetProtection algorithmName="SHA-512" hashValue="+N9W3clGbi1CfINIzzVQWdjGuyTcxguFl8HdQjFcT0mHFaoCGxilk3k/gvQWW9IsOZm10srNIXzBalcxAbCGnA==" saltValue="jDNSSfEPtSWLhbKlRkFvwQ==" spinCount="100000" sheet="1" scenarios="1" formatCells="0" formatColumns="0" formatRows="0"/>
  <mergeCells count="31">
    <mergeCell ref="P14:R14"/>
    <mergeCell ref="P16:R16"/>
    <mergeCell ref="P17:R17"/>
    <mergeCell ref="P39:U39"/>
    <mergeCell ref="P40:U40"/>
    <mergeCell ref="B109:N109"/>
    <mergeCell ref="P15:R15"/>
    <mergeCell ref="P27:U28"/>
    <mergeCell ref="B110:N110"/>
    <mergeCell ref="B111:N111"/>
    <mergeCell ref="B106:N106"/>
    <mergeCell ref="B103:N103"/>
    <mergeCell ref="B104:N104"/>
    <mergeCell ref="B105:N105"/>
    <mergeCell ref="B107:N107"/>
    <mergeCell ref="B108:N108"/>
    <mergeCell ref="B1:N1"/>
    <mergeCell ref="B76:C76"/>
    <mergeCell ref="B85:C85"/>
    <mergeCell ref="B93:C93"/>
    <mergeCell ref="B65:N65"/>
    <mergeCell ref="B2:N2"/>
    <mergeCell ref="L7:L8"/>
    <mergeCell ref="P2:R2"/>
    <mergeCell ref="S2:U2"/>
    <mergeCell ref="P12:R12"/>
    <mergeCell ref="P13:R13"/>
    <mergeCell ref="P8:U8"/>
    <mergeCell ref="P10:U10"/>
    <mergeCell ref="S11:U11"/>
    <mergeCell ref="P11:R11"/>
  </mergeCells>
  <dataValidations count="1">
    <dataValidation type="list" allowBlank="1" showInputMessage="1" showErrorMessage="1" sqref="D4" xr:uid="{E0703C5E-3A8F-4E33-A3C0-04DC9C0DFF36}">
      <formula1>$B$6:$B$7</formula1>
    </dataValidation>
  </dataValidations>
  <hyperlinks>
    <hyperlink ref="Q1" location="Index!A1" display="Index" xr:uid="{E3292E30-85E8-4A46-BCCC-2229EE230282}"/>
  </hyperlinks>
  <printOptions horizontalCentered="1"/>
  <pageMargins left="0.7" right="0.7" top="0.75" bottom="0.75" header="0.3" footer="0.3"/>
  <pageSetup orientation="portrait" r:id="rId1"/>
  <headerFooter differentFirst="1">
    <firstHeader>&amp;L&amp;G&amp;C&amp;8
&amp;18Credit Memo</firstHeader>
  </headerFooter>
  <rowBreaks count="1" manualBreakCount="1">
    <brk id="100" min="1" max="14" man="1"/>
  </rowBreaks>
  <ignoredErrors>
    <ignoredError sqref="D5 F4 H4 J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9181" r:id="rId4" name="Drop Down 13">
              <controlPr locked="0" defaultSize="0" autoLine="0" autoPict="0">
                <anchor moveWithCells="1">
                  <from>
                    <xdr:col>15</xdr:col>
                    <xdr:colOff>304800</xdr:colOff>
                    <xdr:row>2</xdr:row>
                    <xdr:rowOff>63500</xdr:rowOff>
                  </from>
                  <to>
                    <xdr:col>17</xdr:col>
                    <xdr:colOff>520700</xdr:colOff>
                    <xdr:row>3</xdr:row>
                    <xdr:rowOff>139700</xdr:rowOff>
                  </to>
                </anchor>
              </controlPr>
            </control>
          </mc:Choice>
        </mc:AlternateContent>
        <mc:AlternateContent xmlns:mc="http://schemas.openxmlformats.org/markup-compatibility/2006">
          <mc:Choice Requires="x14">
            <control shapeId="519183" r:id="rId5" name="Button 15">
              <controlPr locked="0" defaultSize="0" print="0" autoFill="0" autoPict="0" macro="[0]!BreakEven">
                <anchor moveWithCells="1" sizeWithCells="1">
                  <from>
                    <xdr:col>18</xdr:col>
                    <xdr:colOff>292100</xdr:colOff>
                    <xdr:row>2</xdr:row>
                    <xdr:rowOff>63500</xdr:rowOff>
                  </from>
                  <to>
                    <xdr:col>20</xdr:col>
                    <xdr:colOff>558800</xdr:colOff>
                    <xdr:row>3</xdr:row>
                    <xdr:rowOff>177800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4ABB-0DA8-44FE-9679-8F7B62DF2C19}">
  <sheetPr codeName="Sheet64">
    <tabColor rgb="FF00B050"/>
  </sheetPr>
  <dimension ref="A1:Z77"/>
  <sheetViews>
    <sheetView showGridLines="0" zoomScale="85" zoomScaleNormal="85" workbookViewId="0">
      <selection activeCell="F18" sqref="F18"/>
    </sheetView>
  </sheetViews>
  <sheetFormatPr baseColWidth="10" defaultColWidth="8.83203125" defaultRowHeight="15"/>
  <cols>
    <col min="1" max="1" width="32.6640625" customWidth="1"/>
    <col min="2" max="2" width="3.6640625" bestFit="1"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20" max="20" width="12" customWidth="1"/>
  </cols>
  <sheetData>
    <row r="1" spans="1:26" ht="16">
      <c r="A1" s="2908" t="s">
        <v>915</v>
      </c>
      <c r="B1" s="2909"/>
      <c r="C1" s="2909"/>
      <c r="D1" s="2909"/>
      <c r="E1" s="2909"/>
      <c r="F1" s="2909"/>
      <c r="G1" s="2909"/>
      <c r="H1" s="2909"/>
      <c r="I1" s="2909"/>
      <c r="J1" s="2909"/>
      <c r="K1" s="2909"/>
      <c r="L1" s="2909"/>
      <c r="M1" s="2909"/>
      <c r="N1" s="2909"/>
      <c r="O1" s="2909"/>
      <c r="P1" s="2909"/>
      <c r="Q1" s="2909"/>
      <c r="R1" s="2910"/>
      <c r="U1" s="1741"/>
      <c r="V1" s="1741"/>
      <c r="W1" s="1741"/>
    </row>
    <row r="2" spans="1:26" ht="17" thickBot="1">
      <c r="A2" s="2911"/>
      <c r="B2" s="2912"/>
      <c r="C2" s="2912"/>
      <c r="D2" s="2912"/>
      <c r="E2" s="2912"/>
      <c r="F2" s="2912"/>
      <c r="G2" s="2912"/>
      <c r="H2" s="2912"/>
      <c r="I2" s="2912"/>
      <c r="J2" s="2912"/>
      <c r="K2" s="2912"/>
      <c r="L2" s="2912"/>
      <c r="M2" s="2912"/>
      <c r="N2" s="2912"/>
      <c r="O2" s="2912"/>
      <c r="P2" s="2912"/>
      <c r="Q2" s="2912"/>
      <c r="R2" s="2913"/>
      <c r="U2" s="496"/>
      <c r="V2" s="496"/>
      <c r="W2" s="496"/>
    </row>
    <row r="3" spans="1:26" ht="15.5" customHeight="1">
      <c r="A3" s="261" t="s">
        <v>182</v>
      </c>
      <c r="B3" s="262"/>
      <c r="C3" s="2916">
        <f>'Hist IS and Proj'!D4</f>
        <v>44561</v>
      </c>
      <c r="D3" s="296"/>
      <c r="E3" s="2916">
        <f>'Hist IS and Proj'!F4</f>
        <v>44926</v>
      </c>
      <c r="F3" s="296"/>
      <c r="G3" s="2916">
        <f>'Hist IS and Proj'!H4</f>
        <v>45291</v>
      </c>
      <c r="H3" s="296"/>
      <c r="I3" s="2916">
        <f>'Hist IS and Proj'!J4</f>
        <v>45657</v>
      </c>
      <c r="J3" s="296"/>
      <c r="K3" s="2976" t="str">
        <f>'Cash Flow'!K3</f>
        <v>Borrower 
Year 1</v>
      </c>
      <c r="L3" s="237"/>
      <c r="M3" s="2976" t="str">
        <f>'Cash Flow'!M3</f>
        <v>Borrower
Year 2</v>
      </c>
      <c r="N3" s="297"/>
      <c r="O3" s="2976" t="str">
        <f>'Cash Flow'!O3</f>
        <v>Appraisal Proj</v>
      </c>
      <c r="P3" s="237"/>
      <c r="Q3" s="2976" t="str">
        <f>'Cash Flow'!Q3</f>
        <v>Bank 
Adjusted</v>
      </c>
      <c r="R3" s="263"/>
      <c r="U3" s="496"/>
      <c r="V3" s="496"/>
      <c r="W3" s="496"/>
    </row>
    <row r="4" spans="1:26" ht="15.5" customHeight="1">
      <c r="A4" s="261"/>
      <c r="B4" s="264"/>
      <c r="C4" s="2917"/>
      <c r="D4" s="296"/>
      <c r="E4" s="2917"/>
      <c r="F4" s="296"/>
      <c r="G4" s="2917"/>
      <c r="H4" s="296"/>
      <c r="I4" s="2917"/>
      <c r="J4" s="296"/>
      <c r="K4" s="2977"/>
      <c r="L4" s="237"/>
      <c r="M4" s="2977"/>
      <c r="N4" s="297"/>
      <c r="O4" s="2977"/>
      <c r="P4" s="237"/>
      <c r="Q4" s="2977"/>
      <c r="R4" s="263"/>
      <c r="U4" s="496"/>
      <c r="V4" s="496"/>
      <c r="W4" s="496"/>
    </row>
    <row r="5" spans="1:26" ht="16">
      <c r="A5" s="261" t="s">
        <v>183</v>
      </c>
      <c r="B5" s="265"/>
      <c r="C5" s="266">
        <f>'Hist BS'!C4</f>
        <v>12</v>
      </c>
      <c r="D5" s="298"/>
      <c r="E5" s="266">
        <f>'Hist BS'!E4</f>
        <v>12</v>
      </c>
      <c r="F5" s="298"/>
      <c r="G5" s="266">
        <f>'Hist BS'!G4</f>
        <v>12</v>
      </c>
      <c r="H5" s="298"/>
      <c r="I5" s="266" t="e">
        <f>'Hist BS'!I4</f>
        <v>#REF!</v>
      </c>
      <c r="J5" s="298"/>
      <c r="K5" s="267">
        <v>12</v>
      </c>
      <c r="L5" s="237"/>
      <c r="M5" s="267">
        <v>12</v>
      </c>
      <c r="N5" s="297"/>
      <c r="O5" s="267">
        <v>12</v>
      </c>
      <c r="P5" s="237"/>
      <c r="Q5" s="267">
        <v>12</v>
      </c>
      <c r="R5" s="268"/>
      <c r="U5" s="496"/>
      <c r="V5" s="496"/>
      <c r="W5" s="496"/>
    </row>
    <row r="6" spans="1:26" ht="16">
      <c r="A6" s="269"/>
      <c r="B6" s="270" t="s">
        <v>795</v>
      </c>
      <c r="C6" s="299"/>
      <c r="D6" s="299"/>
      <c r="E6" s="300"/>
      <c r="F6" s="300"/>
      <c r="G6" s="300"/>
      <c r="H6" s="300"/>
      <c r="I6" s="300"/>
      <c r="J6" s="300"/>
      <c r="K6" s="237"/>
      <c r="L6" s="237"/>
      <c r="M6" s="237"/>
      <c r="N6" s="237"/>
      <c r="O6" s="237"/>
      <c r="P6" s="237"/>
      <c r="Q6" s="237"/>
      <c r="R6" s="263"/>
      <c r="U6" s="496"/>
      <c r="V6" s="496"/>
      <c r="W6" s="496"/>
    </row>
    <row r="7" spans="1:26" ht="16">
      <c r="A7" s="373" t="s">
        <v>810</v>
      </c>
      <c r="B7" s="1055"/>
      <c r="C7" s="1552">
        <f>IF($U$11="x",'Cash Flow'!C7,0)+IF($U$12="x",'EPC CF'!C7,0)+IF('Global CF'!$U$13="x",'Aff 1 CF'!C7,0)+IF('Global CF'!$U$14="x",'Aff 2 CF'!C7,0)+IF('Global CF'!$U$15="x",'Aff 3 CF'!C7,0)+IF('Global CF'!$U$16="x",'Aff 4 CF'!C7,0)+IF('Global CF'!$U$17="x",'Aff 5 CF'!C7,0)</f>
        <v>0</v>
      </c>
      <c r="D7" s="1553"/>
      <c r="E7" s="1552">
        <f>IF($U$11="x",'Cash Flow'!E7,0)+IF($U$12="x",'EPC CF'!E7,0)+IF('Global CF'!$U$13="x",'Aff 1 CF'!E7,0)+IF('Global CF'!$U$14="x",'Aff 2 CF'!E7,0)+IF('Global CF'!$U$15="x",'Aff 3 CF'!E7,0)+IF('Global CF'!$U$16="x",'Aff 4 CF'!E7,0)+IF('Global CF'!$U$17="x",'Aff 5 CF'!E7,0)</f>
        <v>0</v>
      </c>
      <c r="F7" s="1523"/>
      <c r="G7" s="1552">
        <f>IF($U$11="x",'Cash Flow'!G7,0)+IF($U$12="x",'EPC CF'!G7,0)+IF('Global CF'!$U$13="x",'Aff 1 CF'!G7,0)+IF('Global CF'!$U$14="x",'Aff 2 CF'!G7,0)+IF('Global CF'!$U$15="x",'Aff 3 CF'!G7,0)+IF('Global CF'!$U$16="x",'Aff 4 CF'!G7,0)+IF('Global CF'!$U$17="x",'Aff 5 CF'!G7,0)</f>
        <v>0</v>
      </c>
      <c r="H7" s="1523"/>
      <c r="I7" s="1552">
        <f>IF($U$11="x",'Cash Flow'!I7,0)+IF($U$12="x",'EPC CF'!I7,0)+IF('Global CF'!$U$13="x",'Aff 1 CF'!I7,0)+IF('Global CF'!$U$14="x",'Aff 2 CF'!I7,0)+IF('Global CF'!$U$15="x",'Aff 3 CF'!I7,0)+IF('Global CF'!$U$16="x",'Aff 4 CF'!I7,0)+IF('Global CF'!$U$17="x",'Aff 5 CF'!I7,0)</f>
        <v>0</v>
      </c>
      <c r="J7" s="1523"/>
      <c r="K7" s="1552">
        <f>IF($U$11="x",'Cash Flow'!K7,0)+IF($U$12="x",'EPC CF'!K7,0)+IF('Global CF'!$U$13="x",'Aff 1 CF'!K7,0)+IF('Global CF'!$U$14="x",'Aff 2 CF'!K7,0)+IF('Global CF'!$U$15="x",'Aff 3 CF'!K7,0)+IF('Global CF'!$U$16="x",'Aff 4 CF'!K7,0)+IF('Global CF'!$U$17="x",'Aff 5 CF'!K7,0)</f>
        <v>0</v>
      </c>
      <c r="L7" s="1523"/>
      <c r="M7" s="1552">
        <f>IF($U$11="x",'Cash Flow'!M7,0)+IF($U$12="x",'EPC CF'!M7,0)+IF('Global CF'!$U$13="x",'Aff 1 CF'!M7,0)+IF('Global CF'!$U$14="x",'Aff 2 CF'!M7,0)+IF('Global CF'!$U$15="x",'Aff 3 CF'!M7,0)+IF('Global CF'!$U$16="x",'Aff 4 CF'!M7,0)+IF('Global CF'!$U$17="x",'Aff 5 CF'!M7,0)</f>
        <v>0</v>
      </c>
      <c r="N7" s="1523"/>
      <c r="O7" s="1552">
        <f>IF($U$11="x",'Cash Flow'!O7,0)+IF($U$12="x",'EPC CF'!O7,0)+IF('Global CF'!$U$13="x",'Aff 1 CF'!O7,0)+IF('Global CF'!$U$14="x",'Aff 2 CF'!O7,0)+IF('Global CF'!$U$15="x",'Aff 3 CF'!O7,0)+IF('Global CF'!$U$16="x",'Aff 4 CF'!O7,0)+IF('Global CF'!$U$17="x",'Aff 5 CF'!O7,0)</f>
        <v>0</v>
      </c>
      <c r="P7" s="1523"/>
      <c r="Q7" s="1552">
        <f>IF($U$11="x",'Cash Flow'!Q7,0)+IF($U$12="x",'EPC CF'!Q7,0)+IF('Global CF'!$U$13="x",'Aff 1 CF'!Q7,0)+IF('Global CF'!$U$14="x",'Aff 2 CF'!Q7,0)+IF('Global CF'!$U$15="x",'Aff 3 CF'!Q7,0)+IF('Global CF'!$U$16="x",'Aff 4 CF'!Q7,0)+IF('Global CF'!$U$17="x",'Aff 5 CF'!Q7,0)</f>
        <v>0</v>
      </c>
      <c r="R7" s="288"/>
      <c r="U7" s="496"/>
      <c r="V7" s="496"/>
      <c r="W7" s="496"/>
    </row>
    <row r="8" spans="1:26" ht="16">
      <c r="A8" s="352" t="s">
        <v>811</v>
      </c>
      <c r="B8" s="354"/>
      <c r="C8" s="1554">
        <f>IF($U$11="x",'Cash Flow'!C8,0)+IF($U$12="x",'EPC CF'!C8,0)+IF('Global CF'!$U$13="x",'Aff 1 CF'!C8,0)+IF('Global CF'!$U$14="x",'Aff 2 CF'!C8,0)+IF('Global CF'!$U$15="x",'Aff 3 CF'!C8,0)+IF('Global CF'!$U$16="x",'Aff 4 CF'!C8,0)+IF('Global CF'!$U$17="x",'Aff 5 CF'!C8,0)</f>
        <v>0</v>
      </c>
      <c r="D8" s="1542"/>
      <c r="E8" s="1554">
        <f>IF($U$11="x",'Cash Flow'!E8,0)+IF($U$12="x",'EPC CF'!E8,0)+IF('Global CF'!$U$13="x",'Aff 1 CF'!E8,0)+IF('Global CF'!$U$14="x",'Aff 2 CF'!E8,0)+IF('Global CF'!$U$15="x",'Aff 3 CF'!E8,0)+IF('Global CF'!$U$16="x",'Aff 4 CF'!E8,0)+IF('Global CF'!$U$17="x",'Aff 5 CF'!E8,0)</f>
        <v>0</v>
      </c>
      <c r="F8" s="1526"/>
      <c r="G8" s="1554">
        <f>IF($U$11="x",'Cash Flow'!G8,0)+IF($U$12="x",'EPC CF'!G8,0)+IF('Global CF'!$U$13="x",'Aff 1 CF'!G8,0)+IF('Global CF'!$U$14="x",'Aff 2 CF'!G8,0)+IF('Global CF'!$U$15="x",'Aff 3 CF'!G8,0)+IF('Global CF'!$U$16="x",'Aff 4 CF'!G8,0)+IF('Global CF'!$U$17="x",'Aff 5 CF'!G8,0)</f>
        <v>0</v>
      </c>
      <c r="H8" s="1526"/>
      <c r="I8" s="1554">
        <f>IF($U$11="x",'Cash Flow'!I8,0)+IF($U$12="x",'EPC CF'!I8,0)+IF('Global CF'!$U$13="x",'Aff 1 CF'!I8,0)+IF('Global CF'!$U$14="x",'Aff 2 CF'!I8,0)+IF('Global CF'!$U$15="x",'Aff 3 CF'!I8,0)+IF('Global CF'!$U$16="x",'Aff 4 CF'!I8,0)+IF('Global CF'!$U$17="x",'Aff 5 CF'!I8,0)</f>
        <v>0</v>
      </c>
      <c r="J8" s="1526"/>
      <c r="K8" s="1554">
        <f>IF($U$11="x",'Cash Flow'!K8,0)+IF($U$12="x",'EPC CF'!K8,0)+IF('Global CF'!$U$13="x",'Aff 1 CF'!K8,0)+IF('Global CF'!$U$14="x",'Aff 2 CF'!K8,0)+IF('Global CF'!$U$15="x",'Aff 3 CF'!K8,0)+IF('Global CF'!$U$16="x",'Aff 4 CF'!K8,0)+IF('Global CF'!$U$17="x",'Aff 5 CF'!K8,0)</f>
        <v>0</v>
      </c>
      <c r="L8" s="1526"/>
      <c r="M8" s="1554">
        <f>IF($U$11="x",'Cash Flow'!M8,0)+IF($U$12="x",'EPC CF'!M8,0)+IF('Global CF'!$U$13="x",'Aff 1 CF'!M8,0)+IF('Global CF'!$U$14="x",'Aff 2 CF'!M8,0)+IF('Global CF'!$U$15="x",'Aff 3 CF'!M8,0)+IF('Global CF'!$U$16="x",'Aff 4 CF'!M8,0)+IF('Global CF'!$U$17="x",'Aff 5 CF'!M8,0)</f>
        <v>0</v>
      </c>
      <c r="N8" s="1526"/>
      <c r="O8" s="1554">
        <f>IF($U$11="x",'Cash Flow'!O8,0)+IF($U$12="x",'EPC CF'!O8,0)+IF('Global CF'!$U$13="x",'Aff 1 CF'!O8,0)+IF('Global CF'!$U$14="x",'Aff 2 CF'!O8,0)+IF('Global CF'!$U$15="x",'Aff 3 CF'!O8,0)+IF('Global CF'!$U$16="x",'Aff 4 CF'!O8,0)+IF('Global CF'!$U$17="x",'Aff 5 CF'!O8,0)</f>
        <v>0</v>
      </c>
      <c r="P8" s="1526"/>
      <c r="Q8" s="1554">
        <f>IF($U$11="x",'Cash Flow'!Q8,0)+IF($U$12="x",'EPC CF'!Q8,0)+IF('Global CF'!$U$13="x",'Aff 1 CF'!Q8,0)+IF('Global CF'!$U$14="x",'Aff 2 CF'!Q8,0)+IF('Global CF'!$U$15="x",'Aff 3 CF'!Q8,0)+IF('Global CF'!$U$16="x",'Aff 4 CF'!Q8,0)+IF('Global CF'!$U$17="x",'Aff 5 CF'!Q8,0)</f>
        <v>0</v>
      </c>
      <c r="R8" s="288"/>
      <c r="U8" s="497"/>
      <c r="V8" s="497"/>
      <c r="W8" s="497"/>
    </row>
    <row r="9" spans="1:26" ht="16">
      <c r="A9" s="352" t="s">
        <v>812</v>
      </c>
      <c r="B9" s="354"/>
      <c r="C9" s="1554">
        <f>IF($U$11="x",'Cash Flow'!C9,0)+IF($U$12="x",'EPC CF'!C9,0)+IF('Global CF'!$U$13="x",'Aff 1 CF'!C9,0)+IF('Global CF'!$U$14="x",'Aff 2 CF'!C9,0)+IF('Global CF'!$U$15="x",'Aff 3 CF'!C9,0)+IF('Global CF'!$U$16="x",'Aff 4 CF'!C9,0)+IF('Global CF'!$U$17="x",'Aff 5 CF'!C9,0)</f>
        <v>0</v>
      </c>
      <c r="D9" s="1542"/>
      <c r="E9" s="1554">
        <f>IF($U$11="x",'Cash Flow'!E9,0)+IF($U$12="x",'EPC CF'!E9,0)+IF('Global CF'!$U$13="x",'Aff 1 CF'!E9,0)+IF('Global CF'!$U$14="x",'Aff 2 CF'!E9,0)+IF('Global CF'!$U$15="x",'Aff 3 CF'!E9,0)+IF('Global CF'!$U$16="x",'Aff 4 CF'!E9,0)+IF('Global CF'!$U$17="x",'Aff 5 CF'!E9,0)</f>
        <v>0</v>
      </c>
      <c r="F9" s="1526"/>
      <c r="G9" s="1554">
        <f>IF($U$11="x",'Cash Flow'!G9,0)+IF($U$12="x",'EPC CF'!G9,0)+IF('Global CF'!$U$13="x",'Aff 1 CF'!G9,0)+IF('Global CF'!$U$14="x",'Aff 2 CF'!G9,0)+IF('Global CF'!$U$15="x",'Aff 3 CF'!G9,0)+IF('Global CF'!$U$16="x",'Aff 4 CF'!G9,0)+IF('Global CF'!$U$17="x",'Aff 5 CF'!G9,0)</f>
        <v>0</v>
      </c>
      <c r="H9" s="1526"/>
      <c r="I9" s="1554">
        <f>IF($U$11="x",'Cash Flow'!I9,0)+IF($U$12="x",'EPC CF'!I9,0)+IF('Global CF'!$U$13="x",'Aff 1 CF'!I9,0)+IF('Global CF'!$U$14="x",'Aff 2 CF'!I9,0)+IF('Global CF'!$U$15="x",'Aff 3 CF'!I9,0)+IF('Global CF'!$U$16="x",'Aff 4 CF'!I9,0)+IF('Global CF'!$U$17="x",'Aff 5 CF'!I9,0)</f>
        <v>0</v>
      </c>
      <c r="J9" s="1526"/>
      <c r="K9" s="1554">
        <f>IF($U$11="x",'Cash Flow'!K9,0)+IF($U$12="x",'EPC CF'!K9,0)+IF('Global CF'!$U$13="x",'Aff 1 CF'!K9,0)+IF('Global CF'!$U$14="x",'Aff 2 CF'!K9,0)+IF('Global CF'!$U$15="x",'Aff 3 CF'!K9,0)+IF('Global CF'!$U$16="x",'Aff 4 CF'!K9,0)+IF('Global CF'!$U$17="x",'Aff 5 CF'!K9,0)</f>
        <v>0</v>
      </c>
      <c r="L9" s="1526"/>
      <c r="M9" s="1554">
        <f>IF($U$11="x",'Cash Flow'!M9,0)+IF($U$12="x",'EPC CF'!M9,0)+IF('Global CF'!$U$13="x",'Aff 1 CF'!M9,0)+IF('Global CF'!$U$14="x",'Aff 2 CF'!M9,0)+IF('Global CF'!$U$15="x",'Aff 3 CF'!M9,0)+IF('Global CF'!$U$16="x",'Aff 4 CF'!M9,0)+IF('Global CF'!$U$17="x",'Aff 5 CF'!M9,0)</f>
        <v>0</v>
      </c>
      <c r="N9" s="1526"/>
      <c r="O9" s="1554">
        <f>IF($U$11="x",'Cash Flow'!O9,0)+IF($U$12="x",'EPC CF'!O9,0)+IF('Global CF'!$U$13="x",'Aff 1 CF'!O9,0)+IF('Global CF'!$U$14="x",'Aff 2 CF'!O9,0)+IF('Global CF'!$U$15="x",'Aff 3 CF'!O9,0)+IF('Global CF'!$U$16="x",'Aff 4 CF'!O9,0)+IF('Global CF'!$U$17="x",'Aff 5 CF'!O9,0)</f>
        <v>0</v>
      </c>
      <c r="P9" s="1526"/>
      <c r="Q9" s="1554">
        <f>IF($U$11="x",'Cash Flow'!Q9,0)+IF($U$12="x",'EPC CF'!Q9,0)+IF('Global CF'!$U$13="x",'Aff 1 CF'!Q9,0)+IF('Global CF'!$U$14="x",'Aff 2 CF'!Q9,0)+IF('Global CF'!$U$15="x",'Aff 3 CF'!Q9,0)+IF('Global CF'!$U$16="x",'Aff 4 CF'!Q9,0)+IF('Global CF'!$U$17="x",'Aff 5 CF'!Q9,0)</f>
        <v>0</v>
      </c>
      <c r="R9" s="288"/>
      <c r="T9" t="s">
        <v>916</v>
      </c>
      <c r="U9" s="87"/>
      <c r="V9" s="125" t="s">
        <v>917</v>
      </c>
      <c r="W9" s="87"/>
    </row>
    <row r="10" spans="1:26" ht="17" thickBot="1">
      <c r="A10" s="352" t="s">
        <v>813</v>
      </c>
      <c r="B10" s="354"/>
      <c r="C10" s="1554">
        <f>IF($U$11="x",'Cash Flow'!C10,0)+IF($U$12="x",'EPC CF'!C10,0)+IF('Global CF'!$U$13="x",'Aff 1 CF'!C10,0)+IF('Global CF'!$U$14="x",'Aff 2 CF'!C10,0)+IF('Global CF'!$U$15="x",'Aff 3 CF'!C10,0)+IF('Global CF'!$U$16="x",'Aff 4 CF'!C10,0)+IF('Global CF'!$U$17="x",'Aff 5 CF'!C10,0)</f>
        <v>0</v>
      </c>
      <c r="D10" s="1542"/>
      <c r="E10" s="1554">
        <f>IF($U$11="x",'Cash Flow'!E10,0)+IF($U$12="x",'EPC CF'!E10,0)+IF('Global CF'!$U$13="x",'Aff 1 CF'!E10,0)+IF('Global CF'!$U$14="x",'Aff 2 CF'!E10,0)+IF('Global CF'!$U$15="x",'Aff 3 CF'!E10,0)+IF('Global CF'!$U$16="x",'Aff 4 CF'!E10,0)+IF('Global CF'!$U$17="x",'Aff 5 CF'!E10,0)</f>
        <v>0</v>
      </c>
      <c r="F10" s="1526"/>
      <c r="G10" s="1554">
        <f>IF($U$11="x",'Cash Flow'!G10,0)+IF($U$12="x",'EPC CF'!G10,0)+IF('Global CF'!$U$13="x",'Aff 1 CF'!G10,0)+IF('Global CF'!$U$14="x",'Aff 2 CF'!G10,0)+IF('Global CF'!$U$15="x",'Aff 3 CF'!G10,0)+IF('Global CF'!$U$16="x",'Aff 4 CF'!G10,0)+IF('Global CF'!$U$17="x",'Aff 5 CF'!G10,0)</f>
        <v>0</v>
      </c>
      <c r="H10" s="1526"/>
      <c r="I10" s="1554">
        <f>IF($U$11="x",'Cash Flow'!I10,0)+IF($U$12="x",'EPC CF'!I10,0)+IF('Global CF'!$U$13="x",'Aff 1 CF'!I10,0)+IF('Global CF'!$U$14="x",'Aff 2 CF'!I10,0)+IF('Global CF'!$U$15="x",'Aff 3 CF'!I10,0)+IF('Global CF'!$U$16="x",'Aff 4 CF'!I10,0)+IF('Global CF'!$U$17="x",'Aff 5 CF'!I10,0)</f>
        <v>0</v>
      </c>
      <c r="J10" s="1526"/>
      <c r="K10" s="1554">
        <f>IF($U$11="x",'Cash Flow'!K10,0)+IF($U$12="x",'EPC CF'!K10,0)+IF('Global CF'!$U$13="x",'Aff 1 CF'!K10,0)+IF('Global CF'!$U$14="x",'Aff 2 CF'!K10,0)+IF('Global CF'!$U$15="x",'Aff 3 CF'!K10,0)+IF('Global CF'!$U$16="x",'Aff 4 CF'!K10,0)+IF('Global CF'!$U$17="x",'Aff 5 CF'!K10,0)</f>
        <v>0</v>
      </c>
      <c r="L10" s="1526"/>
      <c r="M10" s="1554">
        <f>IF($U$11="x",'Cash Flow'!M10,0)+IF($U$12="x",'EPC CF'!M10,0)+IF('Global CF'!$U$13="x",'Aff 1 CF'!M10,0)+IF('Global CF'!$U$14="x",'Aff 2 CF'!M10,0)+IF('Global CF'!$U$15="x",'Aff 3 CF'!M10,0)+IF('Global CF'!$U$16="x",'Aff 4 CF'!M10,0)+IF('Global CF'!$U$17="x",'Aff 5 CF'!M10,0)</f>
        <v>0</v>
      </c>
      <c r="N10" s="1526"/>
      <c r="O10" s="1554">
        <f>IF($U$11="x",'Cash Flow'!O10,0)+IF($U$12="x",'EPC CF'!O10,0)+IF('Global CF'!$U$13="x",'Aff 1 CF'!O10,0)+IF('Global CF'!$U$14="x",'Aff 2 CF'!O10,0)+IF('Global CF'!$U$15="x",'Aff 3 CF'!O10,0)+IF('Global CF'!$U$16="x",'Aff 4 CF'!O10,0)+IF('Global CF'!$U$17="x",'Aff 5 CF'!O10,0)</f>
        <v>0</v>
      </c>
      <c r="P10" s="1526"/>
      <c r="Q10" s="1554">
        <f>IF($U$11="x",'Cash Flow'!Q10,0)+IF($U$12="x",'EPC CF'!Q10,0)+IF('Global CF'!$U$13="x",'Aff 1 CF'!Q10,0)+IF('Global CF'!$U$14="x",'Aff 2 CF'!Q10,0)+IF('Global CF'!$U$15="x",'Aff 3 CF'!Q10,0)+IF('Global CF'!$U$16="x",'Aff 4 CF'!Q10,0)+IF('Global CF'!$U$17="x",'Aff 5 CF'!Q10,0)</f>
        <v>0</v>
      </c>
      <c r="R10" s="288"/>
      <c r="T10" s="2963" t="s">
        <v>918</v>
      </c>
      <c r="U10" s="2963"/>
      <c r="V10" s="2963"/>
      <c r="W10" s="2963"/>
      <c r="X10" s="2963"/>
      <c r="Y10" s="2963"/>
      <c r="Z10" s="2963"/>
    </row>
    <row r="11" spans="1:26" ht="17.5" customHeight="1">
      <c r="A11" s="352" t="s">
        <v>814</v>
      </c>
      <c r="B11" s="354"/>
      <c r="C11" s="1554">
        <f>IF($U$11="x",'Cash Flow'!C11,0)+IF($U$12="x",'EPC CF'!C11,0)+IF('Global CF'!$U$13="x",'Aff 1 CF'!C11,0)+IF('Global CF'!$U$14="x",'Aff 2 CF'!C11,0)+IF('Global CF'!$U$15="x",'Aff 3 CF'!C11,0)+IF('Global CF'!$U$16="x",'Aff 4 CF'!C11,0)+IF('Global CF'!$U$17="x",'Aff 5 CF'!C11,0)</f>
        <v>0</v>
      </c>
      <c r="D11" s="1542"/>
      <c r="E11" s="1554">
        <f>IF($U$11="x",'Cash Flow'!E11,0)+IF($U$12="x",'EPC CF'!E11,0)+IF('Global CF'!$U$13="x",'Aff 1 CF'!E11,0)+IF('Global CF'!$U$14="x",'Aff 2 CF'!E11,0)+IF('Global CF'!$U$15="x",'Aff 3 CF'!E11,0)+IF('Global CF'!$U$16="x",'Aff 4 CF'!E11,0)+IF('Global CF'!$U$17="x",'Aff 5 CF'!E11,0)</f>
        <v>0</v>
      </c>
      <c r="F11" s="1526"/>
      <c r="G11" s="1554">
        <f>IF($U$11="x",'Cash Flow'!G11,0)+IF($U$12="x",'EPC CF'!G11,0)+IF('Global CF'!$U$13="x",'Aff 1 CF'!G11,0)+IF('Global CF'!$U$14="x",'Aff 2 CF'!G11,0)+IF('Global CF'!$U$15="x",'Aff 3 CF'!G11,0)+IF('Global CF'!$U$16="x",'Aff 4 CF'!G11,0)+IF('Global CF'!$U$17="x",'Aff 5 CF'!G11,0)</f>
        <v>0</v>
      </c>
      <c r="H11" s="1526"/>
      <c r="I11" s="1554">
        <f>IF($U$11="x",'Cash Flow'!I11,0)+IF($U$12="x",'EPC CF'!I11,0)+IF('Global CF'!$U$13="x",'Aff 1 CF'!I11,0)+IF('Global CF'!$U$14="x",'Aff 2 CF'!I11,0)+IF('Global CF'!$U$15="x",'Aff 3 CF'!I11,0)+IF('Global CF'!$U$16="x",'Aff 4 CF'!I11,0)+IF('Global CF'!$U$17="x",'Aff 5 CF'!I11,0)</f>
        <v>0</v>
      </c>
      <c r="J11" s="1526"/>
      <c r="K11" s="1554">
        <f>IF($U$11="x",'Cash Flow'!K11,0)+IF($U$12="x",'EPC CF'!K11,0)+IF('Global CF'!$U$13="x",'Aff 1 CF'!K11,0)+IF('Global CF'!$U$14="x",'Aff 2 CF'!K11,0)+IF('Global CF'!$U$15="x",'Aff 3 CF'!K11,0)+IF('Global CF'!$U$16="x",'Aff 4 CF'!K11,0)+IF('Global CF'!$U$17="x",'Aff 5 CF'!K11,0)</f>
        <v>0</v>
      </c>
      <c r="L11" s="1526"/>
      <c r="M11" s="1554">
        <f>IF($U$11="x",'Cash Flow'!M11,0)+IF($U$12="x",'EPC CF'!M11,0)+IF('Global CF'!$U$13="x",'Aff 1 CF'!M11,0)+IF('Global CF'!$U$14="x",'Aff 2 CF'!M11,0)+IF('Global CF'!$U$15="x",'Aff 3 CF'!M11,0)+IF('Global CF'!$U$16="x",'Aff 4 CF'!M11,0)+IF('Global CF'!$U$17="x",'Aff 5 CF'!M11,0)</f>
        <v>0</v>
      </c>
      <c r="N11" s="1526"/>
      <c r="O11" s="1554">
        <f>IF($U$11="x",'Cash Flow'!O11,0)+IF($U$12="x",'EPC CF'!O11,0)+IF('Global CF'!$U$13="x",'Aff 1 CF'!O11,0)+IF('Global CF'!$U$14="x",'Aff 2 CF'!O11,0)+IF('Global CF'!$U$15="x",'Aff 3 CF'!O11,0)+IF('Global CF'!$U$16="x",'Aff 4 CF'!O11,0)+IF('Global CF'!$U$17="x",'Aff 5 CF'!O11,0)</f>
        <v>0</v>
      </c>
      <c r="P11" s="1526"/>
      <c r="Q11" s="1554">
        <f>IF($U$11="x",'Cash Flow'!Q11,0)+IF($U$12="x",'EPC CF'!Q11,0)+IF('Global CF'!$U$13="x",'Aff 1 CF'!Q11,0)+IF('Global CF'!$U$14="x",'Aff 2 CF'!Q11,0)+IF('Global CF'!$U$15="x",'Aff 3 CF'!Q11,0)+IF('Global CF'!$U$16="x",'Aff 4 CF'!Q11,0)+IF('Global CF'!$U$17="x",'Aff 5 CF'!Q11,0)</f>
        <v>0</v>
      </c>
      <c r="R11" s="288"/>
      <c r="T11" s="214" t="str">
        <f ca="1">'Cash Flow'!U2</f>
        <v>Cash Flow</v>
      </c>
      <c r="U11" s="1075"/>
      <c r="V11" s="2967" t="str">
        <f>'Cash Flow'!A2</f>
        <v>{Insert business name which represents PSOR}</v>
      </c>
      <c r="W11" s="2968"/>
      <c r="X11" s="2968"/>
      <c r="Y11" s="2968"/>
      <c r="Z11" s="2969"/>
    </row>
    <row r="12" spans="1:26" ht="16">
      <c r="A12" s="352" t="s">
        <v>815</v>
      </c>
      <c r="B12" s="354"/>
      <c r="C12" s="1554">
        <f>IF($U$11="x",'Cash Flow'!C12,0)+IF($U$12="x",'EPC CF'!C12,0)+IF('Global CF'!$U$13="x",'Aff 1 CF'!C12,0)+IF('Global CF'!$U$14="x",'Aff 2 CF'!C12,0)+IF('Global CF'!$U$15="x",'Aff 3 CF'!C12,0)+IF('Global CF'!$U$16="x",'Aff 4 CF'!C12,0)+IF('Global CF'!$U$17="x",'Aff 5 CF'!C12,0)</f>
        <v>0</v>
      </c>
      <c r="D12" s="1542"/>
      <c r="E12" s="1554">
        <f>IF($U$11="x",'Cash Flow'!E12,0)+IF($U$12="x",'EPC CF'!E12,0)+IF('Global CF'!$U$13="x",'Aff 1 CF'!E12,0)+IF('Global CF'!$U$14="x",'Aff 2 CF'!E12,0)+IF('Global CF'!$U$15="x",'Aff 3 CF'!E12,0)+IF('Global CF'!$U$16="x",'Aff 4 CF'!E12,0)+IF('Global CF'!$U$17="x",'Aff 5 CF'!E12,0)</f>
        <v>0</v>
      </c>
      <c r="F12" s="1526"/>
      <c r="G12" s="1554">
        <f>IF($U$11="x",'Cash Flow'!G12,0)+IF($U$12="x",'EPC CF'!G12,0)+IF('Global CF'!$U$13="x",'Aff 1 CF'!G12,0)+IF('Global CF'!$U$14="x",'Aff 2 CF'!G12,0)+IF('Global CF'!$U$15="x",'Aff 3 CF'!G12,0)+IF('Global CF'!$U$16="x",'Aff 4 CF'!G12,0)+IF('Global CF'!$U$17="x",'Aff 5 CF'!G12,0)</f>
        <v>0</v>
      </c>
      <c r="H12" s="1526"/>
      <c r="I12" s="1554">
        <f>IF($U$11="x",'Cash Flow'!I12,0)+IF($U$12="x",'EPC CF'!I12,0)+IF('Global CF'!$U$13="x",'Aff 1 CF'!I12,0)+IF('Global CF'!$U$14="x",'Aff 2 CF'!I12,0)+IF('Global CF'!$U$15="x",'Aff 3 CF'!I12,0)+IF('Global CF'!$U$16="x",'Aff 4 CF'!I12,0)+IF('Global CF'!$U$17="x",'Aff 5 CF'!I12,0)</f>
        <v>0</v>
      </c>
      <c r="J12" s="1526"/>
      <c r="K12" s="1554">
        <f>IF($U$11="x",'Cash Flow'!K12,0)+IF($U$12="x",'EPC CF'!K12,0)+IF('Global CF'!$U$13="x",'Aff 1 CF'!K12,0)+IF('Global CF'!$U$14="x",'Aff 2 CF'!K12,0)+IF('Global CF'!$U$15="x",'Aff 3 CF'!K12,0)+IF('Global CF'!$U$16="x",'Aff 4 CF'!K12,0)+IF('Global CF'!$U$17="x",'Aff 5 CF'!K12,0)</f>
        <v>0</v>
      </c>
      <c r="L12" s="1526"/>
      <c r="M12" s="1554">
        <f>IF($U$11="x",'Cash Flow'!M12,0)+IF($U$12="x",'EPC CF'!M12,0)+IF('Global CF'!$U$13="x",'Aff 1 CF'!M12,0)+IF('Global CF'!$U$14="x",'Aff 2 CF'!M12,0)+IF('Global CF'!$U$15="x",'Aff 3 CF'!M12,0)+IF('Global CF'!$U$16="x",'Aff 4 CF'!M12,0)+IF('Global CF'!$U$17="x",'Aff 5 CF'!M12,0)</f>
        <v>0</v>
      </c>
      <c r="N12" s="1526"/>
      <c r="O12" s="1554">
        <f>IF($U$11="x",'Cash Flow'!O12,0)+IF($U$12="x",'EPC CF'!O12,0)+IF('Global CF'!$U$13="x",'Aff 1 CF'!O12,0)+IF('Global CF'!$U$14="x",'Aff 2 CF'!O12,0)+IF('Global CF'!$U$15="x",'Aff 3 CF'!O12,0)+IF('Global CF'!$U$16="x",'Aff 4 CF'!O12,0)+IF('Global CF'!$U$17="x",'Aff 5 CF'!O12,0)</f>
        <v>0</v>
      </c>
      <c r="P12" s="1526"/>
      <c r="Q12" s="1554">
        <f>IF($U$11="x",'Cash Flow'!Q12,0)+IF($U$12="x",'EPC CF'!Q12,0)+IF('Global CF'!$U$13="x",'Aff 1 CF'!Q12,0)+IF('Global CF'!$U$14="x",'Aff 2 CF'!Q12,0)+IF('Global CF'!$U$15="x",'Aff 3 CF'!Q12,0)+IF('Global CF'!$U$16="x",'Aff 4 CF'!Q12,0)+IF('Global CF'!$U$17="x",'Aff 5 CF'!Q12,0)</f>
        <v>0</v>
      </c>
      <c r="R12" s="288"/>
      <c r="T12" s="215" t="str">
        <f ca="1">'EPC CF'!U2</f>
        <v>EPC CF</v>
      </c>
      <c r="U12" s="1076"/>
      <c r="V12" s="2970" t="str">
        <f>'EPC CF'!A2</f>
        <v>{Insert business name which represents PSOR}</v>
      </c>
      <c r="W12" s="2971"/>
      <c r="X12" s="2971"/>
      <c r="Y12" s="2971"/>
      <c r="Z12" s="2972"/>
    </row>
    <row r="13" spans="1:26" ht="16">
      <c r="A13" s="352" t="s">
        <v>816</v>
      </c>
      <c r="B13" s="354"/>
      <c r="C13" s="1554">
        <f>IF($U$11="x",'Cash Flow'!C13,0)+IF($U$12="x",'EPC CF'!C13,0)+IF('Global CF'!$U$13="x",'Aff 1 CF'!C13,0)+IF('Global CF'!$U$14="x",'Aff 2 CF'!C13,0)+IF('Global CF'!$U$15="x",'Aff 3 CF'!C13,0)+IF('Global CF'!$U$16="x",'Aff 4 CF'!C13,0)+IF('Global CF'!$U$17="x",'Aff 5 CF'!C13,0)</f>
        <v>0</v>
      </c>
      <c r="D13" s="1542"/>
      <c r="E13" s="1554">
        <f>IF($U$11="x",'Cash Flow'!E13,0)+IF($U$12="x",'EPC CF'!E13,0)+IF('Global CF'!$U$13="x",'Aff 1 CF'!E13,0)+IF('Global CF'!$U$14="x",'Aff 2 CF'!E13,0)+IF('Global CF'!$U$15="x",'Aff 3 CF'!E13,0)+IF('Global CF'!$U$16="x",'Aff 4 CF'!E13,0)+IF('Global CF'!$U$17="x",'Aff 5 CF'!E13,0)</f>
        <v>0</v>
      </c>
      <c r="F13" s="1526"/>
      <c r="G13" s="1554">
        <f>IF($U$11="x",'Cash Flow'!G13,0)+IF($U$12="x",'EPC CF'!G13,0)+IF('Global CF'!$U$13="x",'Aff 1 CF'!G13,0)+IF('Global CF'!$U$14="x",'Aff 2 CF'!G13,0)+IF('Global CF'!$U$15="x",'Aff 3 CF'!G13,0)+IF('Global CF'!$U$16="x",'Aff 4 CF'!G13,0)+IF('Global CF'!$U$17="x",'Aff 5 CF'!G13,0)</f>
        <v>0</v>
      </c>
      <c r="H13" s="1526"/>
      <c r="I13" s="1554">
        <f>IF($U$11="x",'Cash Flow'!I13,0)+IF($U$12="x",'EPC CF'!I13,0)+IF('Global CF'!$U$13="x",'Aff 1 CF'!I13,0)+IF('Global CF'!$U$14="x",'Aff 2 CF'!I13,0)+IF('Global CF'!$U$15="x",'Aff 3 CF'!I13,0)+IF('Global CF'!$U$16="x",'Aff 4 CF'!I13,0)+IF('Global CF'!$U$17="x",'Aff 5 CF'!I13,0)</f>
        <v>0</v>
      </c>
      <c r="J13" s="1526"/>
      <c r="K13" s="1554">
        <f>IF($U$11="x",'Cash Flow'!K13,0)+IF($U$12="x",'EPC CF'!K13,0)+IF('Global CF'!$U$13="x",'Aff 1 CF'!K13,0)+IF('Global CF'!$U$14="x",'Aff 2 CF'!K13,0)+IF('Global CF'!$U$15="x",'Aff 3 CF'!K13,0)+IF('Global CF'!$U$16="x",'Aff 4 CF'!K13,0)+IF('Global CF'!$U$17="x",'Aff 5 CF'!K13,0)</f>
        <v>0</v>
      </c>
      <c r="L13" s="1526"/>
      <c r="M13" s="1554">
        <f>IF($U$11="x",'Cash Flow'!M13,0)+IF($U$12="x",'EPC CF'!M13,0)+IF('Global CF'!$U$13="x",'Aff 1 CF'!M13,0)+IF('Global CF'!$U$14="x",'Aff 2 CF'!M13,0)+IF('Global CF'!$U$15="x",'Aff 3 CF'!M13,0)+IF('Global CF'!$U$16="x",'Aff 4 CF'!M13,0)+IF('Global CF'!$U$17="x",'Aff 5 CF'!M13,0)</f>
        <v>0</v>
      </c>
      <c r="N13" s="1526"/>
      <c r="O13" s="1554">
        <f>IF($U$11="x",'Cash Flow'!O13,0)+IF($U$12="x",'EPC CF'!O13,0)+IF('Global CF'!$U$13="x",'Aff 1 CF'!O13,0)+IF('Global CF'!$U$14="x",'Aff 2 CF'!O13,0)+IF('Global CF'!$U$15="x",'Aff 3 CF'!O13,0)+IF('Global CF'!$U$16="x",'Aff 4 CF'!O13,0)+IF('Global CF'!$U$17="x",'Aff 5 CF'!O13,0)</f>
        <v>0</v>
      </c>
      <c r="P13" s="1526"/>
      <c r="Q13" s="1554">
        <f>IF($U$11="x",'Cash Flow'!Q13,0)+IF($U$12="x",'EPC CF'!Q13,0)+IF('Global CF'!$U$13="x",'Aff 1 CF'!Q13,0)+IF('Global CF'!$U$14="x",'Aff 2 CF'!Q13,0)+IF('Global CF'!$U$15="x",'Aff 3 CF'!Q13,0)+IF('Global CF'!$U$16="x",'Aff 4 CF'!Q13,0)+IF('Global CF'!$U$17="x",'Aff 5 CF'!Q13,0)</f>
        <v>0</v>
      </c>
      <c r="R13" s="288"/>
      <c r="T13" s="215" t="str">
        <f ca="1">'Aff 1 CF'!U2</f>
        <v>Aff 1 CF</v>
      </c>
      <c r="U13" s="1076"/>
      <c r="V13" s="2970" t="str">
        <f>'Aff 1 CF'!A2</f>
        <v>{Insert business name which represents PSOR}</v>
      </c>
      <c r="W13" s="2971"/>
      <c r="X13" s="2971"/>
      <c r="Y13" s="2971"/>
      <c r="Z13" s="2972"/>
    </row>
    <row r="14" spans="1:26" ht="16">
      <c r="A14" s="352" t="s">
        <v>817</v>
      </c>
      <c r="B14" s="354"/>
      <c r="C14" s="1554">
        <f>IF($U$11="x",'Cash Flow'!C14,0)+IF($U$12="x",'EPC CF'!C14,0)+IF('Global CF'!$U$13="x",'Aff 1 CF'!C14,0)+IF('Global CF'!$U$14="x",'Aff 2 CF'!C14,0)+IF('Global CF'!$U$15="x",'Aff 3 CF'!C14,0)+IF('Global CF'!$U$16="x",'Aff 4 CF'!C14,0)+IF('Global CF'!$U$17="x",'Aff 5 CF'!C14,0)</f>
        <v>0</v>
      </c>
      <c r="D14" s="1542"/>
      <c r="E14" s="1554">
        <f>IF($U$11="x",'Cash Flow'!E14,0)+IF($U$12="x",'EPC CF'!E14,0)+IF('Global CF'!$U$13="x",'Aff 1 CF'!E14,0)+IF('Global CF'!$U$14="x",'Aff 2 CF'!E14,0)+IF('Global CF'!$U$15="x",'Aff 3 CF'!E14,0)+IF('Global CF'!$U$16="x",'Aff 4 CF'!E14,0)+IF('Global CF'!$U$17="x",'Aff 5 CF'!E14,0)</f>
        <v>0</v>
      </c>
      <c r="F14" s="1526"/>
      <c r="G14" s="1554">
        <f>IF($U$11="x",'Cash Flow'!G14,0)+IF($U$12="x",'EPC CF'!G14,0)+IF('Global CF'!$U$13="x",'Aff 1 CF'!G14,0)+IF('Global CF'!$U$14="x",'Aff 2 CF'!G14,0)+IF('Global CF'!$U$15="x",'Aff 3 CF'!G14,0)+IF('Global CF'!$U$16="x",'Aff 4 CF'!G14,0)+IF('Global CF'!$U$17="x",'Aff 5 CF'!G14,0)</f>
        <v>0</v>
      </c>
      <c r="H14" s="1526"/>
      <c r="I14" s="1554">
        <f>IF($U$11="x",'Cash Flow'!I14,0)+IF($U$12="x",'EPC CF'!I14,0)+IF('Global CF'!$U$13="x",'Aff 1 CF'!I14,0)+IF('Global CF'!$U$14="x",'Aff 2 CF'!I14,0)+IF('Global CF'!$U$15="x",'Aff 3 CF'!I14,0)+IF('Global CF'!$U$16="x",'Aff 4 CF'!I14,0)+IF('Global CF'!$U$17="x",'Aff 5 CF'!I14,0)</f>
        <v>0</v>
      </c>
      <c r="J14" s="1526"/>
      <c r="K14" s="1554">
        <f>IF($U$11="x",'Cash Flow'!K14,0)+IF($U$12="x",'EPC CF'!K14,0)+IF('Global CF'!$U$13="x",'Aff 1 CF'!K14,0)+IF('Global CF'!$U$14="x",'Aff 2 CF'!K14,0)+IF('Global CF'!$U$15="x",'Aff 3 CF'!K14,0)+IF('Global CF'!$U$16="x",'Aff 4 CF'!K14,0)+IF('Global CF'!$U$17="x",'Aff 5 CF'!K14,0)</f>
        <v>0</v>
      </c>
      <c r="L14" s="1526"/>
      <c r="M14" s="1554">
        <f>IF($U$11="x",'Cash Flow'!M14,0)+IF($U$12="x",'EPC CF'!M14,0)+IF('Global CF'!$U$13="x",'Aff 1 CF'!M14,0)+IF('Global CF'!$U$14="x",'Aff 2 CF'!M14,0)+IF('Global CF'!$U$15="x",'Aff 3 CF'!M14,0)+IF('Global CF'!$U$16="x",'Aff 4 CF'!M14,0)+IF('Global CF'!$U$17="x",'Aff 5 CF'!M14,0)</f>
        <v>0</v>
      </c>
      <c r="N14" s="1526"/>
      <c r="O14" s="1554">
        <f>IF($U$11="x",'Cash Flow'!O14,0)+IF($U$12="x",'EPC CF'!O14,0)+IF('Global CF'!$U$13="x",'Aff 1 CF'!O14,0)+IF('Global CF'!$U$14="x",'Aff 2 CF'!O14,0)+IF('Global CF'!$U$15="x",'Aff 3 CF'!O14,0)+IF('Global CF'!$U$16="x",'Aff 4 CF'!O14,0)+IF('Global CF'!$U$17="x",'Aff 5 CF'!O14,0)</f>
        <v>0</v>
      </c>
      <c r="P14" s="1526"/>
      <c r="Q14" s="1554">
        <f>IF($U$11="x",'Cash Flow'!Q14,0)+IF($U$12="x",'EPC CF'!Q14,0)+IF('Global CF'!$U$13="x",'Aff 1 CF'!Q14,0)+IF('Global CF'!$U$14="x",'Aff 2 CF'!Q14,0)+IF('Global CF'!$U$15="x",'Aff 3 CF'!Q14,0)+IF('Global CF'!$U$16="x",'Aff 4 CF'!Q14,0)+IF('Global CF'!$U$17="x",'Aff 5 CF'!Q14,0)</f>
        <v>0</v>
      </c>
      <c r="R14" s="288"/>
      <c r="T14" s="215" t="str">
        <f ca="1">'Aff 2 CF'!U2</f>
        <v>Aff 2 CF</v>
      </c>
      <c r="U14" s="1076"/>
      <c r="V14" s="2970" t="str">
        <f>'Aff 2 CF'!A2</f>
        <v>{Insert business name which represents PSOR}</v>
      </c>
      <c r="W14" s="2971"/>
      <c r="X14" s="2971"/>
      <c r="Y14" s="2971"/>
      <c r="Z14" s="2972"/>
    </row>
    <row r="15" spans="1:26" ht="16">
      <c r="A15" s="352" t="s">
        <v>817</v>
      </c>
      <c r="B15" s="354"/>
      <c r="C15" s="1554">
        <f>IF($U$11="x",'Cash Flow'!C15,0)+IF($U$12="x",'EPC CF'!C15,0)+IF('Global CF'!$U$13="x",'Aff 1 CF'!C15,0)+IF('Global CF'!$U$14="x",'Aff 2 CF'!C15,0)+IF('Global CF'!$U$15="x",'Aff 3 CF'!C15,0)+IF('Global CF'!$U$16="x",'Aff 4 CF'!C15,0)+IF('Global CF'!$U$17="x",'Aff 5 CF'!C15,0)</f>
        <v>0</v>
      </c>
      <c r="D15" s="1542"/>
      <c r="E15" s="1554">
        <f>IF($U$11="x",'Cash Flow'!E15,0)+IF($U$12="x",'EPC CF'!E15,0)+IF('Global CF'!$U$13="x",'Aff 1 CF'!E15,0)+IF('Global CF'!$U$14="x",'Aff 2 CF'!E15,0)+IF('Global CF'!$U$15="x",'Aff 3 CF'!E15,0)+IF('Global CF'!$U$16="x",'Aff 4 CF'!E15,0)+IF('Global CF'!$U$17="x",'Aff 5 CF'!E15,0)</f>
        <v>0</v>
      </c>
      <c r="F15" s="1526"/>
      <c r="G15" s="1554">
        <f>IF($U$11="x",'Cash Flow'!G15,0)+IF($U$12="x",'EPC CF'!G15,0)+IF('Global CF'!$U$13="x",'Aff 1 CF'!G15,0)+IF('Global CF'!$U$14="x",'Aff 2 CF'!G15,0)+IF('Global CF'!$U$15="x",'Aff 3 CF'!G15,0)+IF('Global CF'!$U$16="x",'Aff 4 CF'!G15,0)+IF('Global CF'!$U$17="x",'Aff 5 CF'!G15,0)</f>
        <v>0</v>
      </c>
      <c r="H15" s="1526"/>
      <c r="I15" s="1554">
        <f>IF($U$11="x",'Cash Flow'!I15,0)+IF($U$12="x",'EPC CF'!I15,0)+IF('Global CF'!$U$13="x",'Aff 1 CF'!I15,0)+IF('Global CF'!$U$14="x",'Aff 2 CF'!I15,0)+IF('Global CF'!$U$15="x",'Aff 3 CF'!I15,0)+IF('Global CF'!$U$16="x",'Aff 4 CF'!I15,0)+IF('Global CF'!$U$17="x",'Aff 5 CF'!I15,0)</f>
        <v>0</v>
      </c>
      <c r="J15" s="1526"/>
      <c r="K15" s="1554">
        <f>IF($U$11="x",'Cash Flow'!K15,0)+IF($U$12="x",'EPC CF'!K15,0)+IF('Global CF'!$U$13="x",'Aff 1 CF'!K15,0)+IF('Global CF'!$U$14="x",'Aff 2 CF'!K15,0)+IF('Global CF'!$U$15="x",'Aff 3 CF'!K15,0)+IF('Global CF'!$U$16="x",'Aff 4 CF'!K15,0)+IF('Global CF'!$U$17="x",'Aff 5 CF'!K15,0)</f>
        <v>0</v>
      </c>
      <c r="L15" s="1526"/>
      <c r="M15" s="1554">
        <f>IF($U$11="x",'Cash Flow'!M15,0)+IF($U$12="x",'EPC CF'!M15,0)+IF('Global CF'!$U$13="x",'Aff 1 CF'!M15,0)+IF('Global CF'!$U$14="x",'Aff 2 CF'!M15,0)+IF('Global CF'!$U$15="x",'Aff 3 CF'!M15,0)+IF('Global CF'!$U$16="x",'Aff 4 CF'!M15,0)+IF('Global CF'!$U$17="x",'Aff 5 CF'!M15,0)</f>
        <v>0</v>
      </c>
      <c r="N15" s="1526"/>
      <c r="O15" s="1554">
        <f>IF($U$11="x",'Cash Flow'!O15,0)+IF($U$12="x",'EPC CF'!O15,0)+IF('Global CF'!$U$13="x",'Aff 1 CF'!O15,0)+IF('Global CF'!$U$14="x",'Aff 2 CF'!O15,0)+IF('Global CF'!$U$15="x",'Aff 3 CF'!O15,0)+IF('Global CF'!$U$16="x",'Aff 4 CF'!O15,0)+IF('Global CF'!$U$17="x",'Aff 5 CF'!O15,0)</f>
        <v>0</v>
      </c>
      <c r="P15" s="1526"/>
      <c r="Q15" s="1554">
        <f>IF($U$11="x",'Cash Flow'!Q15,0)+IF($U$12="x",'EPC CF'!Q15,0)+IF('Global CF'!$U$13="x",'Aff 1 CF'!Q15,0)+IF('Global CF'!$U$14="x",'Aff 2 CF'!Q15,0)+IF('Global CF'!$U$15="x",'Aff 3 CF'!Q15,0)+IF('Global CF'!$U$16="x",'Aff 4 CF'!Q15,0)+IF('Global CF'!$U$17="x",'Aff 5 CF'!Q15,0)</f>
        <v>0</v>
      </c>
      <c r="R15" s="288"/>
      <c r="T15" s="215" t="str">
        <f ca="1">'Aff 3 CF'!U2</f>
        <v>Aff 3 CF</v>
      </c>
      <c r="U15" s="1076"/>
      <c r="V15" s="2970" t="str">
        <f>'Aff 3 CF'!A2</f>
        <v>{Insert business name which represents PSOR}</v>
      </c>
      <c r="W15" s="2971"/>
      <c r="X15" s="2971"/>
      <c r="Y15" s="2971"/>
      <c r="Z15" s="2972"/>
    </row>
    <row r="16" spans="1:26" ht="17" thickBot="1">
      <c r="A16" s="352" t="s">
        <v>817</v>
      </c>
      <c r="B16" s="354"/>
      <c r="C16" s="1554">
        <f>IF($U$11="x",'Cash Flow'!C16,0)+IF($U$12="x",'EPC CF'!C16,0)+IF('Global CF'!$U$13="x",'Aff 1 CF'!C16,0)+IF('Global CF'!$U$14="x",'Aff 2 CF'!C16,0)+IF('Global CF'!$U$15="x",'Aff 3 CF'!C16,0)+IF('Global CF'!$U$16="x",'Aff 4 CF'!C16,0)+IF('Global CF'!$U$17="x",'Aff 5 CF'!C16,0)</f>
        <v>0</v>
      </c>
      <c r="D16" s="1542"/>
      <c r="E16" s="1554">
        <f>IF($U$11="x",'Cash Flow'!E16,0)+IF($U$12="x",'EPC CF'!E16,0)+IF('Global CF'!$U$13="x",'Aff 1 CF'!E16,0)+IF('Global CF'!$U$14="x",'Aff 2 CF'!E16,0)+IF('Global CF'!$U$15="x",'Aff 3 CF'!E16,0)+IF('Global CF'!$U$16="x",'Aff 4 CF'!E16,0)+IF('Global CF'!$U$17="x",'Aff 5 CF'!E16,0)</f>
        <v>0</v>
      </c>
      <c r="F16" s="1526"/>
      <c r="G16" s="1554">
        <f>IF($U$11="x",'Cash Flow'!G16,0)+IF($U$12="x",'EPC CF'!G16,0)+IF('Global CF'!$U$13="x",'Aff 1 CF'!G16,0)+IF('Global CF'!$U$14="x",'Aff 2 CF'!G16,0)+IF('Global CF'!$U$15="x",'Aff 3 CF'!G16,0)+IF('Global CF'!$U$16="x",'Aff 4 CF'!G16,0)+IF('Global CF'!$U$17="x",'Aff 5 CF'!G16,0)</f>
        <v>0</v>
      </c>
      <c r="H16" s="1526"/>
      <c r="I16" s="1554">
        <f>IF($U$11="x",'Cash Flow'!I16,0)+IF($U$12="x",'EPC CF'!I16,0)+IF('Global CF'!$U$13="x",'Aff 1 CF'!I16,0)+IF('Global CF'!$U$14="x",'Aff 2 CF'!I16,0)+IF('Global CF'!$U$15="x",'Aff 3 CF'!I16,0)+IF('Global CF'!$U$16="x",'Aff 4 CF'!I16,0)+IF('Global CF'!$U$17="x",'Aff 5 CF'!I16,0)</f>
        <v>0</v>
      </c>
      <c r="J16" s="1526"/>
      <c r="K16" s="1554">
        <f>IF($U$11="x",'Cash Flow'!K16,0)+IF($U$12="x",'EPC CF'!K16,0)+IF('Global CF'!$U$13="x",'Aff 1 CF'!K16,0)+IF('Global CF'!$U$14="x",'Aff 2 CF'!K16,0)+IF('Global CF'!$U$15="x",'Aff 3 CF'!K16,0)+IF('Global CF'!$U$16="x",'Aff 4 CF'!K16,0)+IF('Global CF'!$U$17="x",'Aff 5 CF'!K16,0)</f>
        <v>0</v>
      </c>
      <c r="L16" s="1526"/>
      <c r="M16" s="1554">
        <f>IF($U$11="x",'Cash Flow'!M16,0)+IF($U$12="x",'EPC CF'!M16,0)+IF('Global CF'!$U$13="x",'Aff 1 CF'!M16,0)+IF('Global CF'!$U$14="x",'Aff 2 CF'!M16,0)+IF('Global CF'!$U$15="x",'Aff 3 CF'!M16,0)+IF('Global CF'!$U$16="x",'Aff 4 CF'!M16,0)+IF('Global CF'!$U$17="x",'Aff 5 CF'!M16,0)</f>
        <v>0</v>
      </c>
      <c r="N16" s="1526"/>
      <c r="O16" s="1554">
        <f>IF($U$11="x",'Cash Flow'!O16,0)+IF($U$12="x",'EPC CF'!O16,0)+IF('Global CF'!$U$13="x",'Aff 1 CF'!O16,0)+IF('Global CF'!$U$14="x",'Aff 2 CF'!O16,0)+IF('Global CF'!$U$15="x",'Aff 3 CF'!O16,0)+IF('Global CF'!$U$16="x",'Aff 4 CF'!O16,0)+IF('Global CF'!$U$17="x",'Aff 5 CF'!O16,0)</f>
        <v>0</v>
      </c>
      <c r="P16" s="1526"/>
      <c r="Q16" s="1554">
        <f>IF($U$11="x",'Cash Flow'!Q16,0)+IF($U$12="x",'EPC CF'!Q16,0)+IF('Global CF'!$U$13="x",'Aff 1 CF'!Q16,0)+IF('Global CF'!$U$14="x",'Aff 2 CF'!Q16,0)+IF('Global CF'!$U$15="x",'Aff 3 CF'!Q16,0)+IF('Global CF'!$U$16="x",'Aff 4 CF'!Q16,0)+IF('Global CF'!$U$17="x",'Aff 5 CF'!Q16,0)</f>
        <v>0</v>
      </c>
      <c r="R16" s="288"/>
      <c r="T16" s="215" t="str">
        <f ca="1">'Aff 4 CF'!U2</f>
        <v>Aff 4 CF</v>
      </c>
      <c r="U16" s="1076"/>
      <c r="V16" s="2970" t="str">
        <f>'Aff 4 CF'!A2</f>
        <v>{Insert business name which represents PSOR}</v>
      </c>
      <c r="W16" s="2971"/>
      <c r="X16" s="2971"/>
      <c r="Y16" s="2971"/>
      <c r="Z16" s="2972"/>
    </row>
    <row r="17" spans="1:26" ht="17" thickBot="1">
      <c r="A17" s="2903" t="s">
        <v>818</v>
      </c>
      <c r="B17" s="2904"/>
      <c r="C17" s="1533">
        <f>SUM(C7:C16)</f>
        <v>0</v>
      </c>
      <c r="D17" s="1534"/>
      <c r="E17" s="1533">
        <f>SUM(E7:E16)</f>
        <v>0</v>
      </c>
      <c r="F17" s="1534"/>
      <c r="G17" s="1533">
        <f>SUM(G7:G16)</f>
        <v>0</v>
      </c>
      <c r="H17" s="1534"/>
      <c r="I17" s="1533">
        <f>SUM(I7:I16)</f>
        <v>0</v>
      </c>
      <c r="J17" s="1534"/>
      <c r="K17" s="1533">
        <f>SUM(K7:K16)</f>
        <v>0</v>
      </c>
      <c r="L17" s="1534"/>
      <c r="M17" s="1533">
        <f>SUM(M7:M16)</f>
        <v>0</v>
      </c>
      <c r="N17" s="1535"/>
      <c r="O17" s="1533">
        <f>SUM(O7:O16)</f>
        <v>0</v>
      </c>
      <c r="P17" s="1537"/>
      <c r="Q17" s="1533">
        <f>SUM(Q7:Q16)</f>
        <v>0</v>
      </c>
      <c r="R17" s="288"/>
      <c r="T17" s="216" t="str">
        <f ca="1">'Aff 5 CF'!U2</f>
        <v>Aff 5 CF</v>
      </c>
      <c r="U17" s="1077"/>
      <c r="V17" s="2973" t="str">
        <f>'Aff 5 CF'!A2</f>
        <v>{Insert business name which represents PSOR}</v>
      </c>
      <c r="W17" s="2974"/>
      <c r="X17" s="2974"/>
      <c r="Y17" s="2974"/>
      <c r="Z17" s="2975"/>
    </row>
    <row r="18" spans="1:26" ht="16">
      <c r="A18" s="352" t="s">
        <v>819</v>
      </c>
      <c r="B18" s="1056"/>
      <c r="C18" s="1555">
        <f>C11</f>
        <v>0</v>
      </c>
      <c r="D18" s="1526"/>
      <c r="E18" s="1555">
        <f>E11</f>
        <v>0</v>
      </c>
      <c r="F18" s="1526"/>
      <c r="G18" s="1555">
        <f>G11</f>
        <v>0</v>
      </c>
      <c r="H18" s="1526"/>
      <c r="I18" s="1555">
        <f>I11</f>
        <v>0</v>
      </c>
      <c r="J18" s="1526"/>
      <c r="K18" s="1555">
        <f>K11</f>
        <v>0</v>
      </c>
      <c r="L18" s="1526"/>
      <c r="M18" s="1555">
        <f>M11</f>
        <v>0</v>
      </c>
      <c r="N18" s="1538"/>
      <c r="O18" s="1555">
        <f>O11</f>
        <v>0</v>
      </c>
      <c r="P18" s="1526"/>
      <c r="Q18" s="1555">
        <f>Q11</f>
        <v>0</v>
      </c>
      <c r="R18" s="288"/>
      <c r="U18" s="79"/>
    </row>
    <row r="19" spans="1:26" ht="16">
      <c r="A19" s="352" t="s">
        <v>820</v>
      </c>
      <c r="B19" s="354"/>
      <c r="C19" s="1554">
        <f>IF($U$11="x",'Cash Flow'!C19,0)+IF($U$12="x",'EPC CF'!C19,0)+IF('Global CF'!$U$13="x",'Aff 1 CF'!C19,0)+IF('Global CF'!$U$14="x",'Aff 2 CF'!C19,0)+IF('Global CF'!$U$15="x",'Aff 3 CF'!C19,0)+IF('Global CF'!$U$16="x",'Aff 4 CF'!C19,0)+IF('Global CF'!$U$17="x",'Aff 5 CF'!C19,0)</f>
        <v>0</v>
      </c>
      <c r="D19" s="1526"/>
      <c r="E19" s="1554">
        <f>IF($U$11="x",'Cash Flow'!E19,0)+IF($U$12="x",'EPC CF'!E19,0)+IF('Global CF'!$U$13="x",'Aff 1 CF'!E19,0)+IF('Global CF'!$U$14="x",'Aff 2 CF'!E19,0)+IF('Global CF'!$U$15="x",'Aff 3 CF'!E19,0)+IF('Global CF'!$U$16="x",'Aff 4 CF'!E19,0)+IF('Global CF'!$U$17="x",'Aff 5 CF'!E19,0)</f>
        <v>0</v>
      </c>
      <c r="F19" s="1526"/>
      <c r="G19" s="1554">
        <f>IF($U$11="x",'Cash Flow'!G19,0)+IF($U$12="x",'EPC CF'!G19,0)+IF('Global CF'!$U$13="x",'Aff 1 CF'!G19,0)+IF('Global CF'!$U$14="x",'Aff 2 CF'!G19,0)+IF('Global CF'!$U$15="x",'Aff 3 CF'!G19,0)+IF('Global CF'!$U$16="x",'Aff 4 CF'!G19,0)+IF('Global CF'!$U$17="x",'Aff 5 CF'!G19,0)</f>
        <v>0</v>
      </c>
      <c r="H19" s="1526"/>
      <c r="I19" s="1554">
        <f>IF($U$11="x",'Cash Flow'!I19,0)+IF($U$12="x",'EPC CF'!I19,0)+IF('Global CF'!$U$13="x",'Aff 1 CF'!I19,0)+IF('Global CF'!$U$14="x",'Aff 2 CF'!I19,0)+IF('Global CF'!$U$15="x",'Aff 3 CF'!I19,0)+IF('Global CF'!$U$16="x",'Aff 4 CF'!I19,0)+IF('Global CF'!$U$17="x",'Aff 5 CF'!I19,0)</f>
        <v>0</v>
      </c>
      <c r="J19" s="1526"/>
      <c r="K19" s="1554">
        <f>IF($U$11="x",'Cash Flow'!K19,0)+IF($U$12="x",'EPC CF'!K19,0)+IF('Global CF'!$U$13="x",'Aff 1 CF'!K19,0)+IF('Global CF'!$U$14="x",'Aff 2 CF'!K19,0)+IF('Global CF'!$U$15="x",'Aff 3 CF'!K19,0)+IF('Global CF'!$U$16="x",'Aff 4 CF'!K19,0)+IF('Global CF'!$U$17="x",'Aff 5 CF'!K19,0)</f>
        <v>0</v>
      </c>
      <c r="L19" s="1526"/>
      <c r="M19" s="1554">
        <f>IF($U$11="x",'Cash Flow'!M19,0)+IF($U$12="x",'EPC CF'!M19,0)+IF('Global CF'!$U$13="x",'Aff 1 CF'!M19,0)+IF('Global CF'!$U$14="x",'Aff 2 CF'!M19,0)+IF('Global CF'!$U$15="x",'Aff 3 CF'!M19,0)+IF('Global CF'!$U$16="x",'Aff 4 CF'!M19,0)+IF('Global CF'!$U$17="x",'Aff 5 CF'!M19,0)</f>
        <v>0</v>
      </c>
      <c r="N19" s="1550"/>
      <c r="O19" s="1554">
        <f>IF($U$11="x",'Cash Flow'!O19,0)+IF($U$12="x",'EPC CF'!O19,0)+IF('Global CF'!$U$13="x",'Aff 1 CF'!O19,0)+IF('Global CF'!$U$14="x",'Aff 2 CF'!O19,0)+IF('Global CF'!$U$15="x",'Aff 3 CF'!O19,0)+IF('Global CF'!$U$16="x",'Aff 4 CF'!O19,0)+IF('Global CF'!$U$17="x",'Aff 5 CF'!O19,0)</f>
        <v>0</v>
      </c>
      <c r="P19" s="1526"/>
      <c r="Q19" s="1554">
        <f>IF($U$11="x",'Cash Flow'!Q19,0)+IF($U$12="x",'EPC CF'!Q19,0)+IF('Global CF'!$U$13="x",'Aff 1 CF'!Q19,0)+IF('Global CF'!$U$14="x",'Aff 2 CF'!Q19,0)+IF('Global CF'!$U$15="x",'Aff 3 CF'!Q19,0)+IF('Global CF'!$U$16="x",'Aff 4 CF'!Q19,0)+IF('Global CF'!$U$17="x",'Aff 5 CF'!Q19,0)</f>
        <v>0</v>
      </c>
      <c r="R19" s="288"/>
      <c r="U19" s="79"/>
    </row>
    <row r="20" spans="1:26" ht="16">
      <c r="A20" s="352" t="s">
        <v>821</v>
      </c>
      <c r="B20" s="354"/>
      <c r="C20" s="1554">
        <f>IF($U$11="x",'Cash Flow'!C20,0)+IF($U$12="x",'EPC CF'!C20,0)+IF('Global CF'!$U$13="x",'Aff 1 CF'!C20,0)+IF('Global CF'!$U$14="x",'Aff 2 CF'!C20,0)+IF('Global CF'!$U$15="x",'Aff 3 CF'!C20,0)+IF('Global CF'!$U$16="x",'Aff 4 CF'!C20,0)+IF('Global CF'!$U$17="x",'Aff 5 CF'!C20,0)</f>
        <v>0</v>
      </c>
      <c r="D20" s="1526"/>
      <c r="E20" s="1554">
        <f>IF($U$11="x",'Cash Flow'!E20,0)+IF($U$12="x",'EPC CF'!E20,0)+IF('Global CF'!$U$13="x",'Aff 1 CF'!E20,0)+IF('Global CF'!$U$14="x",'Aff 2 CF'!E20,0)+IF('Global CF'!$U$15="x",'Aff 3 CF'!E20,0)+IF('Global CF'!$U$16="x",'Aff 4 CF'!E20,0)+IF('Global CF'!$U$17="x",'Aff 5 CF'!E20,0)</f>
        <v>0</v>
      </c>
      <c r="F20" s="1526"/>
      <c r="G20" s="1554">
        <f>IF($U$11="x",'Cash Flow'!G20,0)+IF($U$12="x",'EPC CF'!G20,0)+IF('Global CF'!$U$13="x",'Aff 1 CF'!G20,0)+IF('Global CF'!$U$14="x",'Aff 2 CF'!G20,0)+IF('Global CF'!$U$15="x",'Aff 3 CF'!G20,0)+IF('Global CF'!$U$16="x",'Aff 4 CF'!G20,0)+IF('Global CF'!$U$17="x",'Aff 5 CF'!G20,0)</f>
        <v>0</v>
      </c>
      <c r="H20" s="1526"/>
      <c r="I20" s="1554">
        <f>IF($U$11="x",'Cash Flow'!I20,0)+IF($U$12="x",'EPC CF'!I20,0)+IF('Global CF'!$U$13="x",'Aff 1 CF'!I20,0)+IF('Global CF'!$U$14="x",'Aff 2 CF'!I20,0)+IF('Global CF'!$U$15="x",'Aff 3 CF'!I20,0)+IF('Global CF'!$U$16="x",'Aff 4 CF'!I20,0)+IF('Global CF'!$U$17="x",'Aff 5 CF'!I20,0)</f>
        <v>0</v>
      </c>
      <c r="J20" s="1526"/>
      <c r="K20" s="1554">
        <f>IF($U$11="x",'Cash Flow'!K20,0)+IF($U$12="x",'EPC CF'!K20,0)+IF('Global CF'!$U$13="x",'Aff 1 CF'!K20,0)+IF('Global CF'!$U$14="x",'Aff 2 CF'!K20,0)+IF('Global CF'!$U$15="x",'Aff 3 CF'!K20,0)+IF('Global CF'!$U$16="x",'Aff 4 CF'!K20,0)+IF('Global CF'!$U$17="x",'Aff 5 CF'!K20,0)</f>
        <v>0</v>
      </c>
      <c r="L20" s="1526"/>
      <c r="M20" s="1554">
        <f>IF($U$11="x",'Cash Flow'!M20,0)+IF($U$12="x",'EPC CF'!M20,0)+IF('Global CF'!$U$13="x",'Aff 1 CF'!M20,0)+IF('Global CF'!$U$14="x",'Aff 2 CF'!M20,0)+IF('Global CF'!$U$15="x",'Aff 3 CF'!M20,0)+IF('Global CF'!$U$16="x",'Aff 4 CF'!M20,0)+IF('Global CF'!$U$17="x",'Aff 5 CF'!M20,0)</f>
        <v>0</v>
      </c>
      <c r="N20" s="1550"/>
      <c r="O20" s="1554">
        <f>IF($U$11="x",'Cash Flow'!O20,0)+IF($U$12="x",'EPC CF'!O20,0)+IF('Global CF'!$U$13="x",'Aff 1 CF'!O20,0)+IF('Global CF'!$U$14="x",'Aff 2 CF'!O20,0)+IF('Global CF'!$U$15="x",'Aff 3 CF'!O20,0)+IF('Global CF'!$U$16="x",'Aff 4 CF'!O20,0)+IF('Global CF'!$U$17="x",'Aff 5 CF'!O20,0)</f>
        <v>0</v>
      </c>
      <c r="P20" s="1526"/>
      <c r="Q20" s="1554">
        <f>IF($U$11="x",'Cash Flow'!Q20,0)+IF($U$12="x",'EPC CF'!Q20,0)+IF('Global CF'!$U$13="x",'Aff 1 CF'!Q20,0)+IF('Global CF'!$U$14="x",'Aff 2 CF'!Q20,0)+IF('Global CF'!$U$15="x",'Aff 3 CF'!Q20,0)+IF('Global CF'!$U$16="x",'Aff 4 CF'!Q20,0)+IF('Global CF'!$U$17="x",'Aff 5 CF'!Q20,0)</f>
        <v>0</v>
      </c>
      <c r="R20" s="288"/>
      <c r="U20" s="79"/>
    </row>
    <row r="21" spans="1:26" ht="17" thickBot="1">
      <c r="A21" s="352" t="s">
        <v>919</v>
      </c>
      <c r="B21" s="354"/>
      <c r="C21" s="1554"/>
      <c r="D21" s="1526"/>
      <c r="E21" s="1554"/>
      <c r="F21" s="1526"/>
      <c r="G21" s="1554"/>
      <c r="H21" s="1526"/>
      <c r="I21" s="1554"/>
      <c r="J21" s="1526"/>
      <c r="K21" s="1554"/>
      <c r="L21" s="1526"/>
      <c r="M21" s="1554"/>
      <c r="N21" s="1550"/>
      <c r="O21" s="1554"/>
      <c r="P21" s="1526"/>
      <c r="Q21" s="1554"/>
      <c r="R21" s="288"/>
      <c r="U21" s="79"/>
    </row>
    <row r="22" spans="1:26" ht="16">
      <c r="A22" s="352" t="s">
        <v>823</v>
      </c>
      <c r="B22" s="354"/>
      <c r="C22" s="1554">
        <f>IF($U$11="x",'Cash Flow'!C22,0)+IF($U$12="x",'EPC CF'!C22,0)+IF('Global CF'!$U$13="x",'Aff 1 CF'!C22,0)+IF('Global CF'!$U$14="x",'Aff 2 CF'!C22,0)+IF('Global CF'!$U$15="x",'Aff 3 CF'!C22,0)+IF('Global CF'!$U$16="x",'Aff 4 CF'!C22,0)+IF('Global CF'!$U$17="x",'Aff 5 CF'!C22,0)</f>
        <v>0</v>
      </c>
      <c r="D22" s="1526"/>
      <c r="E22" s="1554">
        <f>IF($U$11="x",'Cash Flow'!E22,0)+IF($U$12="x",'EPC CF'!E22,0)+IF('Global CF'!$U$13="x",'Aff 1 CF'!E22,0)+IF('Global CF'!$U$14="x",'Aff 2 CF'!E22,0)+IF('Global CF'!$U$15="x",'Aff 3 CF'!E22,0)+IF('Global CF'!$U$16="x",'Aff 4 CF'!E22,0)+IF('Global CF'!$U$17="x",'Aff 5 CF'!E22,0)</f>
        <v>0</v>
      </c>
      <c r="F22" s="1526"/>
      <c r="G22" s="1554">
        <f>IF($U$11="x",'Cash Flow'!G22,0)+IF($U$12="x",'EPC CF'!G22,0)+IF('Global CF'!$U$13="x",'Aff 1 CF'!G22,0)+IF('Global CF'!$U$14="x",'Aff 2 CF'!G22,0)+IF('Global CF'!$U$15="x",'Aff 3 CF'!G22,0)+IF('Global CF'!$U$16="x",'Aff 4 CF'!G22,0)+IF('Global CF'!$U$17="x",'Aff 5 CF'!G22,0)</f>
        <v>0</v>
      </c>
      <c r="H22" s="1526"/>
      <c r="I22" s="1554">
        <f>IF($U$11="x",'Cash Flow'!I22,0)+IF($U$12="x",'EPC CF'!I22,0)+IF('Global CF'!$U$13="x",'Aff 1 CF'!I22,0)+IF('Global CF'!$U$14="x",'Aff 2 CF'!I22,0)+IF('Global CF'!$U$15="x",'Aff 3 CF'!I22,0)+IF('Global CF'!$U$16="x",'Aff 4 CF'!I22,0)+IF('Global CF'!$U$17="x",'Aff 5 CF'!I22,0)</f>
        <v>0</v>
      </c>
      <c r="J22" s="1526"/>
      <c r="K22" s="1554">
        <f>IF($U$11="x",'Cash Flow'!K22,0)+IF($U$12="x",'EPC CF'!K22,0)+IF('Global CF'!$U$13="x",'Aff 1 CF'!K22,0)+IF('Global CF'!$U$14="x",'Aff 2 CF'!K22,0)+IF('Global CF'!$U$15="x",'Aff 3 CF'!K22,0)+IF('Global CF'!$U$16="x",'Aff 4 CF'!K22,0)+IF('Global CF'!$U$17="x",'Aff 5 CF'!K22,0)</f>
        <v>0</v>
      </c>
      <c r="L22" s="1526"/>
      <c r="M22" s="1554">
        <f>IF($U$11="x",'Cash Flow'!M22,0)+IF($U$12="x",'EPC CF'!M22,0)+IF('Global CF'!$U$13="x",'Aff 1 CF'!M22,0)+IF('Global CF'!$U$14="x",'Aff 2 CF'!M22,0)+IF('Global CF'!$U$15="x",'Aff 3 CF'!M22,0)+IF('Global CF'!$U$16="x",'Aff 4 CF'!M22,0)+IF('Global CF'!$U$17="x",'Aff 5 CF'!M22,0)</f>
        <v>0</v>
      </c>
      <c r="N22" s="1550"/>
      <c r="O22" s="1554">
        <f>IF($U$11="x",'Cash Flow'!O22,0)+IF($U$12="x",'EPC CF'!O22,0)+IF('Global CF'!$U$13="x",'Aff 1 CF'!O22,0)+IF('Global CF'!$U$14="x",'Aff 2 CF'!O22,0)+IF('Global CF'!$U$15="x",'Aff 3 CF'!O22,0)+IF('Global CF'!$U$16="x",'Aff 4 CF'!O22,0)+IF('Global CF'!$U$17="x",'Aff 5 CF'!O22,0)</f>
        <v>0</v>
      </c>
      <c r="P22" s="1526"/>
      <c r="Q22" s="1554">
        <f>IF($U$11="x",'Cash Flow'!Q22,0)+IF($U$12="x",'EPC CF'!Q22,0)+IF('Global CF'!$U$13="x",'Aff 1 CF'!Q22,0)+IF('Global CF'!$U$14="x",'Aff 2 CF'!Q22,0)+IF('Global CF'!$U$15="x",'Aff 3 CF'!Q22,0)+IF('Global CF'!$U$16="x",'Aff 4 CF'!Q22,0)+IF('Global CF'!$U$17="x",'Aff 5 CF'!Q22,0)</f>
        <v>0</v>
      </c>
      <c r="R22" s="288"/>
      <c r="T22" s="214" t="str">
        <f ca="1">'Per Need 1'!N2</f>
        <v>Per Need 1</v>
      </c>
      <c r="U22" s="1075"/>
      <c r="V22" s="2967" t="str">
        <f>'Per Need 1'!B3</f>
        <v>{Name of Guarantor/Principal}</v>
      </c>
      <c r="W22" s="2968"/>
      <c r="X22" s="2968"/>
      <c r="Y22" s="2968"/>
      <c r="Z22" s="2969"/>
    </row>
    <row r="23" spans="1:26" ht="16">
      <c r="A23" s="352" t="s">
        <v>824</v>
      </c>
      <c r="B23" s="354"/>
      <c r="C23" s="1554">
        <f>IF($U$11="x",'Cash Flow'!C23,0)+IF($U$12="x",'EPC CF'!C23,0)+IF('Global CF'!$U$13="x",'Aff 1 CF'!C23,0)+IF('Global CF'!$U$14="x",'Aff 2 CF'!C23,0)+IF('Global CF'!$U$15="x",'Aff 3 CF'!C23,0)+IF('Global CF'!$U$16="x",'Aff 4 CF'!C23,0)+IF('Global CF'!$U$17="x",'Aff 5 CF'!C23,0)</f>
        <v>0</v>
      </c>
      <c r="D23" s="1526"/>
      <c r="E23" s="1554">
        <f>IF($U$11="x",'Cash Flow'!E23,0)+IF($U$12="x",'EPC CF'!E23,0)+IF('Global CF'!$U$13="x",'Aff 1 CF'!E23,0)+IF('Global CF'!$U$14="x",'Aff 2 CF'!E23,0)+IF('Global CF'!$U$15="x",'Aff 3 CF'!E23,0)+IF('Global CF'!$U$16="x",'Aff 4 CF'!E23,0)+IF('Global CF'!$U$17="x",'Aff 5 CF'!E23,0)</f>
        <v>0</v>
      </c>
      <c r="F23" s="1526"/>
      <c r="G23" s="1554">
        <f>IF($U$11="x",'Cash Flow'!G23,0)+IF($U$12="x",'EPC CF'!G23,0)+IF('Global CF'!$U$13="x",'Aff 1 CF'!G23,0)+IF('Global CF'!$U$14="x",'Aff 2 CF'!G23,0)+IF('Global CF'!$U$15="x",'Aff 3 CF'!G23,0)+IF('Global CF'!$U$16="x",'Aff 4 CF'!G23,0)+IF('Global CF'!$U$17="x",'Aff 5 CF'!G23,0)</f>
        <v>0</v>
      </c>
      <c r="H23" s="1526"/>
      <c r="I23" s="1554">
        <f>IF($U$11="x",'Cash Flow'!I23,0)+IF($U$12="x",'EPC CF'!I23,0)+IF('Global CF'!$U$13="x",'Aff 1 CF'!I23,0)+IF('Global CF'!$U$14="x",'Aff 2 CF'!I23,0)+IF('Global CF'!$U$15="x",'Aff 3 CF'!I23,0)+IF('Global CF'!$U$16="x",'Aff 4 CF'!I23,0)+IF('Global CF'!$U$17="x",'Aff 5 CF'!I23,0)</f>
        <v>0</v>
      </c>
      <c r="J23" s="1526"/>
      <c r="K23" s="1554">
        <f>IF($U$11="x",'Cash Flow'!K23,0)+IF($U$12="x",'EPC CF'!K23,0)+IF('Global CF'!$U$13="x",'Aff 1 CF'!K23,0)+IF('Global CF'!$U$14="x",'Aff 2 CF'!K23,0)+IF('Global CF'!$U$15="x",'Aff 3 CF'!K23,0)+IF('Global CF'!$U$16="x",'Aff 4 CF'!K23,0)+IF('Global CF'!$U$17="x",'Aff 5 CF'!K23,0)</f>
        <v>0</v>
      </c>
      <c r="L23" s="1526"/>
      <c r="M23" s="1554">
        <f>IF($U$11="x",'Cash Flow'!M23,0)+IF($U$12="x",'EPC CF'!M23,0)+IF('Global CF'!$U$13="x",'Aff 1 CF'!M23,0)+IF('Global CF'!$U$14="x",'Aff 2 CF'!M23,0)+IF('Global CF'!$U$15="x",'Aff 3 CF'!M23,0)+IF('Global CF'!$U$16="x",'Aff 4 CF'!M23,0)+IF('Global CF'!$U$17="x",'Aff 5 CF'!M23,0)</f>
        <v>0</v>
      </c>
      <c r="N23" s="1550"/>
      <c r="O23" s="1554">
        <f>IF($U$11="x",'Cash Flow'!O23,0)+IF($U$12="x",'EPC CF'!O23,0)+IF('Global CF'!$U$13="x",'Aff 1 CF'!O23,0)+IF('Global CF'!$U$14="x",'Aff 2 CF'!O23,0)+IF('Global CF'!$U$15="x",'Aff 3 CF'!O23,0)+IF('Global CF'!$U$16="x",'Aff 4 CF'!O23,0)+IF('Global CF'!$U$17="x",'Aff 5 CF'!O23,0)</f>
        <v>0</v>
      </c>
      <c r="P23" s="1526"/>
      <c r="Q23" s="1554">
        <f>IF($U$11="x",'Cash Flow'!Q23,0)+IF($U$12="x",'EPC CF'!Q23,0)+IF('Global CF'!$U$13="x",'Aff 1 CF'!Q23,0)+IF('Global CF'!$U$14="x",'Aff 2 CF'!Q23,0)+IF('Global CF'!$U$15="x",'Aff 3 CF'!Q23,0)+IF('Global CF'!$U$16="x",'Aff 4 CF'!Q23,0)+IF('Global CF'!$U$17="x",'Aff 5 CF'!Q23,0)</f>
        <v>0</v>
      </c>
      <c r="R23" s="288"/>
      <c r="T23" s="215" t="str">
        <f ca="1">'Per Need 2'!N2</f>
        <v>Per Need 2</v>
      </c>
      <c r="U23" s="1076"/>
      <c r="V23" s="2970" t="str">
        <f>'Per Need 2'!B3</f>
        <v>{Name of Guarantor/Principal}</v>
      </c>
      <c r="W23" s="2971"/>
      <c r="X23" s="2971"/>
      <c r="Y23" s="2971"/>
      <c r="Z23" s="2972"/>
    </row>
    <row r="24" spans="1:26" ht="16">
      <c r="A24" s="352" t="s">
        <v>825</v>
      </c>
      <c r="B24" s="354"/>
      <c r="C24" s="1554">
        <f>IF($U$11="x",'Cash Flow'!C24,0)+IF($U$12="x",'EPC CF'!C24,0)+IF('Global CF'!$U$13="x",'Aff 1 CF'!C24,0)+IF('Global CF'!$U$14="x",'Aff 2 CF'!C24,0)+IF('Global CF'!$U$15="x",'Aff 3 CF'!C24,0)+IF('Global CF'!$U$16="x",'Aff 4 CF'!C24,0)+IF('Global CF'!$U$17="x",'Aff 5 CF'!C24,0)</f>
        <v>0</v>
      </c>
      <c r="D24" s="1526"/>
      <c r="E24" s="1554">
        <f>IF($U$11="x",'Cash Flow'!E24,0)+IF($U$12="x",'EPC CF'!E24,0)+IF('Global CF'!$U$13="x",'Aff 1 CF'!E24,0)+IF('Global CF'!$U$14="x",'Aff 2 CF'!E24,0)+IF('Global CF'!$U$15="x",'Aff 3 CF'!E24,0)+IF('Global CF'!$U$16="x",'Aff 4 CF'!E24,0)+IF('Global CF'!$U$17="x",'Aff 5 CF'!E24,0)</f>
        <v>0</v>
      </c>
      <c r="F24" s="1526"/>
      <c r="G24" s="1554">
        <f>IF($U$11="x",'Cash Flow'!G24,0)+IF($U$12="x",'EPC CF'!G24,0)+IF('Global CF'!$U$13="x",'Aff 1 CF'!G24,0)+IF('Global CF'!$U$14="x",'Aff 2 CF'!G24,0)+IF('Global CF'!$U$15="x",'Aff 3 CF'!G24,0)+IF('Global CF'!$U$16="x",'Aff 4 CF'!G24,0)+IF('Global CF'!$U$17="x",'Aff 5 CF'!G24,0)</f>
        <v>0</v>
      </c>
      <c r="H24" s="1526"/>
      <c r="I24" s="1554">
        <f>IF($U$11="x",'Cash Flow'!I24,0)+IF($U$12="x",'EPC CF'!I24,0)+IF('Global CF'!$U$13="x",'Aff 1 CF'!I24,0)+IF('Global CF'!$U$14="x",'Aff 2 CF'!I24,0)+IF('Global CF'!$U$15="x",'Aff 3 CF'!I24,0)+IF('Global CF'!$U$16="x",'Aff 4 CF'!I24,0)+IF('Global CF'!$U$17="x",'Aff 5 CF'!I24,0)</f>
        <v>0</v>
      </c>
      <c r="J24" s="1526"/>
      <c r="K24" s="1554">
        <f>IF($U$11="x",'Cash Flow'!K24,0)+IF($U$12="x",'EPC CF'!K24,0)+IF('Global CF'!$U$13="x",'Aff 1 CF'!K24,0)+IF('Global CF'!$U$14="x",'Aff 2 CF'!K24,0)+IF('Global CF'!$U$15="x",'Aff 3 CF'!K24,0)+IF('Global CF'!$U$16="x",'Aff 4 CF'!K24,0)+IF('Global CF'!$U$17="x",'Aff 5 CF'!K24,0)</f>
        <v>0</v>
      </c>
      <c r="L24" s="1526"/>
      <c r="M24" s="1554">
        <f>IF($U$11="x",'Cash Flow'!M24,0)+IF($U$12="x",'EPC CF'!M24,0)+IF('Global CF'!$U$13="x",'Aff 1 CF'!M24,0)+IF('Global CF'!$U$14="x",'Aff 2 CF'!M24,0)+IF('Global CF'!$U$15="x",'Aff 3 CF'!M24,0)+IF('Global CF'!$U$16="x",'Aff 4 CF'!M24,0)+IF('Global CF'!$U$17="x",'Aff 5 CF'!M24,0)</f>
        <v>0</v>
      </c>
      <c r="N24" s="1550"/>
      <c r="O24" s="1554">
        <f>IF($U$11="x",'Cash Flow'!O24,0)+IF($U$12="x",'EPC CF'!O24,0)+IF('Global CF'!$U$13="x",'Aff 1 CF'!O24,0)+IF('Global CF'!$U$14="x",'Aff 2 CF'!O24,0)+IF('Global CF'!$U$15="x",'Aff 3 CF'!O24,0)+IF('Global CF'!$U$16="x",'Aff 4 CF'!O24,0)+IF('Global CF'!$U$17="x",'Aff 5 CF'!O24,0)</f>
        <v>0</v>
      </c>
      <c r="P24" s="1526"/>
      <c r="Q24" s="1554">
        <f>IF($U$11="x",'Cash Flow'!Q24,0)+IF($U$12="x",'EPC CF'!Q24,0)+IF('Global CF'!$U$13="x",'Aff 1 CF'!Q24,0)+IF('Global CF'!$U$14="x",'Aff 2 CF'!Q24,0)+IF('Global CF'!$U$15="x",'Aff 3 CF'!Q24,0)+IF('Global CF'!$U$16="x",'Aff 4 CF'!Q24,0)+IF('Global CF'!$U$17="x",'Aff 5 CF'!Q24,0)</f>
        <v>0</v>
      </c>
      <c r="R24" s="288"/>
      <c r="T24" s="215" t="str">
        <f ca="1">'Per Need 3'!N2</f>
        <v>Per Need 3</v>
      </c>
      <c r="U24" s="1076"/>
      <c r="V24" s="2970" t="str">
        <f>'Per Need 3'!B3</f>
        <v>{Name of Guarantor/Principal}</v>
      </c>
      <c r="W24" s="2971"/>
      <c r="X24" s="2971"/>
      <c r="Y24" s="2971"/>
      <c r="Z24" s="2972"/>
    </row>
    <row r="25" spans="1:26" ht="17" thickBot="1">
      <c r="A25" s="352" t="s">
        <v>825</v>
      </c>
      <c r="B25" s="354"/>
      <c r="C25" s="1554">
        <f>IF($U$11="x",'Cash Flow'!C25,0)+IF($U$12="x",'EPC CF'!C25,0)+IF('Global CF'!$U$13="x",'Aff 1 CF'!C25,0)+IF('Global CF'!$U$14="x",'Aff 2 CF'!C25,0)+IF('Global CF'!$U$15="x",'Aff 3 CF'!C25,0)+IF('Global CF'!$U$16="x",'Aff 4 CF'!C25,0)+IF('Global CF'!$U$17="x",'Aff 5 CF'!C25,0)</f>
        <v>0</v>
      </c>
      <c r="D25" s="1526"/>
      <c r="E25" s="1554">
        <f>IF($U$11="x",'Cash Flow'!E25,0)+IF($U$12="x",'EPC CF'!E25,0)+IF('Global CF'!$U$13="x",'Aff 1 CF'!E25,0)+IF('Global CF'!$U$14="x",'Aff 2 CF'!E25,0)+IF('Global CF'!$U$15="x",'Aff 3 CF'!E25,0)+IF('Global CF'!$U$16="x",'Aff 4 CF'!E25,0)+IF('Global CF'!$U$17="x",'Aff 5 CF'!E25,0)</f>
        <v>0</v>
      </c>
      <c r="F25" s="1526"/>
      <c r="G25" s="1554">
        <f>IF($U$11="x",'Cash Flow'!G25,0)+IF($U$12="x",'EPC CF'!G25,0)+IF('Global CF'!$U$13="x",'Aff 1 CF'!G25,0)+IF('Global CF'!$U$14="x",'Aff 2 CF'!G25,0)+IF('Global CF'!$U$15="x",'Aff 3 CF'!G25,0)+IF('Global CF'!$U$16="x",'Aff 4 CF'!G25,0)+IF('Global CF'!$U$17="x",'Aff 5 CF'!G25,0)</f>
        <v>0</v>
      </c>
      <c r="H25" s="1526"/>
      <c r="I25" s="1554">
        <f>IF($U$11="x",'Cash Flow'!I25,0)+IF($U$12="x",'EPC CF'!I25,0)+IF('Global CF'!$U$13="x",'Aff 1 CF'!I25,0)+IF('Global CF'!$U$14="x",'Aff 2 CF'!I25,0)+IF('Global CF'!$U$15="x",'Aff 3 CF'!I25,0)+IF('Global CF'!$U$16="x",'Aff 4 CF'!I25,0)+IF('Global CF'!$U$17="x",'Aff 5 CF'!I25,0)</f>
        <v>0</v>
      </c>
      <c r="J25" s="1526"/>
      <c r="K25" s="1554">
        <f>IF($U$11="x",'Cash Flow'!K25,0)+IF($U$12="x",'EPC CF'!K25,0)+IF('Global CF'!$U$13="x",'Aff 1 CF'!K25,0)+IF('Global CF'!$U$14="x",'Aff 2 CF'!K25,0)+IF('Global CF'!$U$15="x",'Aff 3 CF'!K25,0)+IF('Global CF'!$U$16="x",'Aff 4 CF'!K25,0)+IF('Global CF'!$U$17="x",'Aff 5 CF'!K25,0)</f>
        <v>0</v>
      </c>
      <c r="L25" s="1526"/>
      <c r="M25" s="1554">
        <f>IF($U$11="x",'Cash Flow'!M25,0)+IF($U$12="x",'EPC CF'!M25,0)+IF('Global CF'!$U$13="x",'Aff 1 CF'!M25,0)+IF('Global CF'!$U$14="x",'Aff 2 CF'!M25,0)+IF('Global CF'!$U$15="x",'Aff 3 CF'!M25,0)+IF('Global CF'!$U$16="x",'Aff 4 CF'!M25,0)+IF('Global CF'!$U$17="x",'Aff 5 CF'!M25,0)</f>
        <v>0</v>
      </c>
      <c r="N25" s="1550"/>
      <c r="O25" s="1554">
        <f>IF($U$11="x",'Cash Flow'!O25,0)+IF($U$12="x",'EPC CF'!O25,0)+IF('Global CF'!$U$13="x",'Aff 1 CF'!O25,0)+IF('Global CF'!$U$14="x",'Aff 2 CF'!O25,0)+IF('Global CF'!$U$15="x",'Aff 3 CF'!O25,0)+IF('Global CF'!$U$16="x",'Aff 4 CF'!O25,0)+IF('Global CF'!$U$17="x",'Aff 5 CF'!O25,0)</f>
        <v>0</v>
      </c>
      <c r="P25" s="1526"/>
      <c r="Q25" s="1554">
        <f>IF($U$11="x",'Cash Flow'!Q25,0)+IF($U$12="x",'EPC CF'!Q25,0)+IF('Global CF'!$U$13="x",'Aff 1 CF'!Q25,0)+IF('Global CF'!$U$14="x",'Aff 2 CF'!Q25,0)+IF('Global CF'!$U$15="x",'Aff 3 CF'!Q25,0)+IF('Global CF'!$U$16="x",'Aff 4 CF'!Q25,0)+IF('Global CF'!$U$17="x",'Aff 5 CF'!Q25,0)</f>
        <v>0</v>
      </c>
      <c r="R25" s="288"/>
      <c r="T25" s="216" t="str">
        <f ca="1">'Per Need 4'!N2</f>
        <v>Per Need 4</v>
      </c>
      <c r="U25" s="1077"/>
      <c r="V25" s="2973" t="str">
        <f>'Per Need 4'!B3</f>
        <v>{Name of Guarantor/Principal}</v>
      </c>
      <c r="W25" s="2974"/>
      <c r="X25" s="2974"/>
      <c r="Y25" s="2974"/>
      <c r="Z25" s="2975"/>
    </row>
    <row r="26" spans="1:26" ht="16">
      <c r="A26" s="1074" t="str">
        <f>V22</f>
        <v>{Name of Guarantor/Principal}</v>
      </c>
      <c r="B26" s="354"/>
      <c r="C26" s="1555">
        <f>-IF($U$22="x",'Per Need 1'!$D$13-'Per Need 1'!$D$40,0)/12*C5</f>
        <v>0</v>
      </c>
      <c r="D26" s="1526"/>
      <c r="E26" s="1555">
        <f>-IF($U$22="x",'Per Need 1'!$D$13-'Per Need 1'!$D$40,0)/12*E5</f>
        <v>0</v>
      </c>
      <c r="F26" s="1526"/>
      <c r="G26" s="1555">
        <f>-IF($U$22="x",'Per Need 1'!$D$13-'Per Need 1'!$D$40,0)/12*G5</f>
        <v>0</v>
      </c>
      <c r="H26" s="1526"/>
      <c r="I26" s="1555" t="e">
        <f>-IF($U$22="x",'Per Need 1'!$D$13-'Per Need 1'!$D$40,0)/12*I5</f>
        <v>#REF!</v>
      </c>
      <c r="J26" s="1526"/>
      <c r="K26" s="1555">
        <f>-IF($U$22="x",'Per Need 1'!$D$13-'Per Need 1'!$D$40,0)/12*K5</f>
        <v>0</v>
      </c>
      <c r="L26" s="1526"/>
      <c r="M26" s="1555">
        <f>-IF($U$22="x",'Per Need 1'!$D$13-'Per Need 1'!$D$40,0)/12*M5</f>
        <v>0</v>
      </c>
      <c r="N26" s="1526"/>
      <c r="O26" s="1555">
        <f>-IF($U$22="x",'Per Need 1'!$D$13-'Per Need 1'!$D$40,0)/12*O5</f>
        <v>0</v>
      </c>
      <c r="P26" s="1526"/>
      <c r="Q26" s="1555">
        <f>-IF($U$22="x",'Per Need 1'!$D$13-'Per Need 1'!$D$40,0)/12*Q5</f>
        <v>0</v>
      </c>
      <c r="R26" s="288"/>
      <c r="U26" s="79"/>
      <c r="W26" s="6"/>
    </row>
    <row r="27" spans="1:26" ht="16">
      <c r="A27" s="1074" t="str">
        <f>V23</f>
        <v>{Name of Guarantor/Principal}</v>
      </c>
      <c r="B27" s="354"/>
      <c r="C27" s="1555">
        <f>-IF($U$23="x",'Per Need 2'!$D$13-'Per Need 2'!$D$40,0)/12*C5</f>
        <v>0</v>
      </c>
      <c r="D27" s="1526"/>
      <c r="E27" s="1555">
        <f>-IF($U$23="x",'Per Need 2'!$D$13-'Per Need 2'!$D$40,0)/12*E5</f>
        <v>0</v>
      </c>
      <c r="F27" s="1526"/>
      <c r="G27" s="1555">
        <f>-IF($U$23="x",'Per Need 2'!$D$13-'Per Need 2'!$D$40,0)/12*G5</f>
        <v>0</v>
      </c>
      <c r="H27" s="1526"/>
      <c r="I27" s="1555" t="e">
        <f>-IF($U$23="x",'Per Need 2'!$D$13-'Per Need 2'!$D$40,0)/12*I5</f>
        <v>#REF!</v>
      </c>
      <c r="J27" s="1526"/>
      <c r="K27" s="1555">
        <f>-IF($U$23="x",'Per Need 2'!$D$13-'Per Need 2'!$D$40,0)/12*K5</f>
        <v>0</v>
      </c>
      <c r="L27" s="1526"/>
      <c r="M27" s="1555">
        <f>-IF($U$23="x",'Per Need 2'!$D$13-'Per Need 2'!$D$40,0)/12*M5</f>
        <v>0</v>
      </c>
      <c r="N27" s="1526"/>
      <c r="O27" s="1555">
        <f>-IF($U$23="x",'Per Need 2'!$D$13-'Per Need 2'!$D$40,0)/12*O5</f>
        <v>0</v>
      </c>
      <c r="P27" s="1526"/>
      <c r="Q27" s="1555">
        <f>-IF($U$23="x",'Per Need 2'!$D$13-'Per Need 2'!$D$40,0)/12*Q5</f>
        <v>0</v>
      </c>
      <c r="R27" s="288"/>
    </row>
    <row r="28" spans="1:26" ht="16">
      <c r="A28" s="1074" t="str">
        <f>V24</f>
        <v>{Name of Guarantor/Principal}</v>
      </c>
      <c r="B28" s="354"/>
      <c r="C28" s="1555">
        <f>-IF($U$24="x",'Per Need 3'!$D$13-'Per Need 3'!$D$40,0)/12*C5</f>
        <v>0</v>
      </c>
      <c r="D28" s="1526"/>
      <c r="E28" s="1555">
        <f>-IF($U$24="x",'Per Need 3'!$D$13-'Per Need 3'!$D$40,0)/12*E5</f>
        <v>0</v>
      </c>
      <c r="F28" s="1526"/>
      <c r="G28" s="1555">
        <f>-IF($U$24="x",'Per Need 3'!$D$13-'Per Need 3'!$D$40,0)/12*G5</f>
        <v>0</v>
      </c>
      <c r="H28" s="1526"/>
      <c r="I28" s="1555" t="e">
        <f>-IF($U$24="x",'Per Need 3'!$D$13-'Per Need 3'!$D$40,0)/12*I5</f>
        <v>#REF!</v>
      </c>
      <c r="J28" s="1526"/>
      <c r="K28" s="1555">
        <f>-IF($U$24="x",'Per Need 3'!$D$13-'Per Need 3'!$D$40,0)/12*K5</f>
        <v>0</v>
      </c>
      <c r="L28" s="1526"/>
      <c r="M28" s="1555">
        <f>-IF($U$24="x",'Per Need 3'!$D$13-'Per Need 3'!$D$40,0)/12*M5</f>
        <v>0</v>
      </c>
      <c r="N28" s="1526"/>
      <c r="O28" s="1555">
        <f>-IF($U$24="x",'Per Need 3'!$D$13-'Per Need 3'!$D$40,0)/12*O5</f>
        <v>0</v>
      </c>
      <c r="P28" s="1526"/>
      <c r="Q28" s="1555">
        <f>-IF($U$24="x",'Per Need 3'!$D$13-'Per Need 3'!$D$40,0)/12*Q5</f>
        <v>0</v>
      </c>
      <c r="R28" s="288"/>
    </row>
    <row r="29" spans="1:26" ht="17" thickBot="1">
      <c r="A29" s="1074" t="str">
        <f>V25</f>
        <v>{Name of Guarantor/Principal}</v>
      </c>
      <c r="B29" s="355"/>
      <c r="C29" s="1555">
        <f>-IF($U$25="x",'Per Need 4'!$D$13-'Per Need 4'!$D$40,0)/12*C5</f>
        <v>0</v>
      </c>
      <c r="D29" s="1526"/>
      <c r="E29" s="1555">
        <f>-IF($U$25="x",'Per Need 4'!$D$13-'Per Need 4'!$D$40,0)/12*E5</f>
        <v>0</v>
      </c>
      <c r="F29" s="1526"/>
      <c r="G29" s="1555">
        <f>-IF($U$25="x",'Per Need 4'!$D$13-'Per Need 4'!$D$40,0)/12*G5</f>
        <v>0</v>
      </c>
      <c r="H29" s="1526"/>
      <c r="I29" s="1555" t="e">
        <f>-IF($U$25="x",'Per Need 4'!$D$13-'Per Need 4'!$D$40,0)/12*I5</f>
        <v>#REF!</v>
      </c>
      <c r="J29" s="1526"/>
      <c r="K29" s="1555">
        <f>-IF($U$25="x",'Per Need 4'!$D$13-'Per Need 4'!$D$40,0)/12*K5</f>
        <v>0</v>
      </c>
      <c r="L29" s="1526"/>
      <c r="M29" s="1555">
        <f>-IF($U$25="x",'Per Need 4'!$D$13-'Per Need 4'!$D$40,0)/12*M5</f>
        <v>0</v>
      </c>
      <c r="N29" s="1526"/>
      <c r="O29" s="1555">
        <f>-IF($U$25="x",'Per Need 4'!$D$13-'Per Need 4'!$D$40,0)/12*O5</f>
        <v>0</v>
      </c>
      <c r="P29" s="1526"/>
      <c r="Q29" s="1555">
        <f>-IF($U$25="x",'Per Need 4'!$D$13-'Per Need 4'!$D$40,0)/12*Q5</f>
        <v>0</v>
      </c>
      <c r="R29" s="288"/>
    </row>
    <row r="30" spans="1:26" ht="17" thickBot="1">
      <c r="A30" s="2903" t="s">
        <v>259</v>
      </c>
      <c r="B30" s="2904"/>
      <c r="C30" s="1533">
        <f>+C17-SUM(C18:C29)</f>
        <v>0</v>
      </c>
      <c r="D30" s="1534"/>
      <c r="E30" s="1533">
        <f>+E17-SUM(E18:E29)</f>
        <v>0</v>
      </c>
      <c r="F30" s="1534"/>
      <c r="G30" s="1533">
        <f>+G17-SUM(G18:G29)</f>
        <v>0</v>
      </c>
      <c r="H30" s="1534"/>
      <c r="I30" s="1533" t="e">
        <f>+I17-SUM(I18:I29)</f>
        <v>#REF!</v>
      </c>
      <c r="J30" s="1534"/>
      <c r="K30" s="1533">
        <f>+K17-SUM(K18:K29)</f>
        <v>0</v>
      </c>
      <c r="L30" s="1534"/>
      <c r="M30" s="1533">
        <f>+M17-SUM(M18:M29)</f>
        <v>0</v>
      </c>
      <c r="N30" s="1536"/>
      <c r="O30" s="1533">
        <f>+O17-SUM(O18:O29)</f>
        <v>0</v>
      </c>
      <c r="P30" s="1536"/>
      <c r="Q30" s="1533">
        <f>+Q17-SUM(Q18:Q29)</f>
        <v>0</v>
      </c>
      <c r="R30" s="288"/>
    </row>
    <row r="31" spans="1:26" ht="16">
      <c r="A31" s="375" t="s">
        <v>231</v>
      </c>
      <c r="B31" s="1057"/>
      <c r="C31" s="1554">
        <f>IF($U$11="x",'Cash Flow'!C27,0)+IF($U$12="x",'EPC CF'!C27,0)+IF('Global CF'!$U$13="x",'Aff 1 CF'!C27,0)+IF('Global CF'!$U$14="x",'Aff 2 CF'!C27,0)+IF('Global CF'!$U$15="x",'Aff 3 CF'!C27,0)+IF('Global CF'!$U$16="x",'Aff 4 CF'!C27,0)+IF('Global CF'!$U$17="x",'Aff 5 CF'!C27,0)</f>
        <v>0</v>
      </c>
      <c r="D31" s="1542"/>
      <c r="E31" s="1554">
        <f>IF($U$11="x",'Cash Flow'!E27,0)+IF($U$12="x",'EPC CF'!E27,0)+IF('Global CF'!$U$13="x",'Aff 1 CF'!E27,0)+IF('Global CF'!$U$14="x",'Aff 2 CF'!E27,0)+IF('Global CF'!$U$15="x",'Aff 3 CF'!E27,0)+IF('Global CF'!$U$16="x",'Aff 4 CF'!E27,0)+IF('Global CF'!$U$17="x",'Aff 5 CF'!E27,0)</f>
        <v>0</v>
      </c>
      <c r="F31" s="1542"/>
      <c r="G31" s="1554">
        <f>IF($U$11="x",'Cash Flow'!G27,0)+IF($U$12="x",'EPC CF'!G27,0)+IF('Global CF'!$U$13="x",'Aff 1 CF'!G27,0)+IF('Global CF'!$U$14="x",'Aff 2 CF'!G27,0)+IF('Global CF'!$U$15="x",'Aff 3 CF'!G27,0)+IF('Global CF'!$U$16="x",'Aff 4 CF'!G27,0)+IF('Global CF'!$U$17="x",'Aff 5 CF'!G27,0)</f>
        <v>0</v>
      </c>
      <c r="H31" s="1542"/>
      <c r="I31" s="1554">
        <f>IF($U$11="x",'Cash Flow'!I27,0)+IF($U$12="x",'EPC CF'!I27,0)+IF('Global CF'!$U$13="x",'Aff 1 CF'!I27,0)+IF('Global CF'!$U$14="x",'Aff 2 CF'!I27,0)+IF('Global CF'!$U$15="x",'Aff 3 CF'!I27,0)+IF('Global CF'!$U$16="x",'Aff 4 CF'!I27,0)+IF('Global CF'!$U$17="x",'Aff 5 CF'!I27,0)</f>
        <v>0</v>
      </c>
      <c r="J31" s="1542"/>
      <c r="K31" s="1554">
        <f>$C$31</f>
        <v>0</v>
      </c>
      <c r="L31" s="1542"/>
      <c r="M31" s="1554">
        <f>$C$31</f>
        <v>0</v>
      </c>
      <c r="N31" s="1542"/>
      <c r="O31" s="1554">
        <f>$C$31</f>
        <v>0</v>
      </c>
      <c r="P31" s="1542"/>
      <c r="Q31" s="1554">
        <f>$C$31</f>
        <v>0</v>
      </c>
      <c r="R31" s="304"/>
    </row>
    <row r="32" spans="1:26" ht="16">
      <c r="A32" s="375" t="s">
        <v>232</v>
      </c>
      <c r="B32" s="1057"/>
      <c r="C32" s="1554">
        <f>IF($U$11="x",'Cash Flow'!C28,0)+IF($U$12="x",'EPC CF'!C28,0)+IF('Global CF'!$U$13="x",'Aff 1 CF'!C28,0)+IF('Global CF'!$U$14="x",'Aff 2 CF'!C28,0)+IF('Global CF'!$U$15="x",'Aff 3 CF'!C28,0)+IF('Global CF'!$U$16="x",'Aff 4 CF'!C28,0)+IF('Global CF'!$U$17="x",'Aff 5 CF'!C28,0)</f>
        <v>0</v>
      </c>
      <c r="D32" s="1542"/>
      <c r="E32" s="1554">
        <f>IF($U$11="x",'Cash Flow'!E28,0)+IF($U$12="x",'EPC CF'!E28,0)+IF('Global CF'!$U$13="x",'Aff 1 CF'!E28,0)+IF('Global CF'!$U$14="x",'Aff 2 CF'!E28,0)+IF('Global CF'!$U$15="x",'Aff 3 CF'!E28,0)+IF('Global CF'!$U$16="x",'Aff 4 CF'!E28,0)+IF('Global CF'!$U$17="x",'Aff 5 CF'!E28,0)</f>
        <v>0</v>
      </c>
      <c r="F32" s="1542"/>
      <c r="G32" s="1554">
        <f>IF($U$11="x",'Cash Flow'!G28,0)+IF($U$12="x",'EPC CF'!G28,0)+IF('Global CF'!$U$13="x",'Aff 1 CF'!G28,0)+IF('Global CF'!$U$14="x",'Aff 2 CF'!G28,0)+IF('Global CF'!$U$15="x",'Aff 3 CF'!G28,0)+IF('Global CF'!$U$16="x",'Aff 4 CF'!G28,0)+IF('Global CF'!$U$17="x",'Aff 5 CF'!G28,0)</f>
        <v>0</v>
      </c>
      <c r="H32" s="1542"/>
      <c r="I32" s="1554">
        <f>IF($U$11="x",'Cash Flow'!I28,0)+IF($U$12="x",'EPC CF'!I28,0)+IF('Global CF'!$U$13="x",'Aff 1 CF'!I28,0)+IF('Global CF'!$U$14="x",'Aff 2 CF'!I28,0)+IF('Global CF'!$U$15="x",'Aff 3 CF'!I28,0)+IF('Global CF'!$U$16="x",'Aff 4 CF'!I28,0)+IF('Global CF'!$U$17="x",'Aff 5 CF'!I28,0)</f>
        <v>0</v>
      </c>
      <c r="J32" s="1542"/>
      <c r="K32" s="1554">
        <f>IF($U$11="x",'Cash Flow'!K28,0)+IF($U$12="x",'EPC CF'!K28,0)+IF('Global CF'!$U$13="x",'Aff 1 CF'!K28,0)+IF('Global CF'!$U$14="x",'Aff 2 CF'!K28,0)+IF('Global CF'!$U$15="x",'Aff 3 CF'!K28,0)+IF('Global CF'!$U$16="x",'Aff 4 CF'!K28,0)+IF('Global CF'!$U$17="x",'Aff 5 CF'!K28,0)</f>
        <v>0</v>
      </c>
      <c r="L32" s="1542"/>
      <c r="M32" s="1554">
        <f>IF($U$11="x",'Cash Flow'!M28,0)+IF($U$12="x",'EPC CF'!M28,0)+IF('Global CF'!$U$13="x",'Aff 1 CF'!M28,0)+IF('Global CF'!$U$14="x",'Aff 2 CF'!M28,0)+IF('Global CF'!$U$15="x",'Aff 3 CF'!M28,0)+IF('Global CF'!$U$16="x",'Aff 4 CF'!M28,0)+IF('Global CF'!$U$17="x",'Aff 5 CF'!M28,0)</f>
        <v>0</v>
      </c>
      <c r="N32" s="1542"/>
      <c r="O32" s="1554">
        <f>IF($U$11="x",'Cash Flow'!O28,0)+IF($U$12="x",'EPC CF'!O28,0)+IF('Global CF'!$U$13="x",'Aff 1 CF'!O28,0)+IF('Global CF'!$U$14="x",'Aff 2 CF'!O28,0)+IF('Global CF'!$U$15="x",'Aff 3 CF'!O28,0)+IF('Global CF'!$U$16="x",'Aff 4 CF'!O28,0)+IF('Global CF'!$U$17="x",'Aff 5 CF'!O28,0)</f>
        <v>0</v>
      </c>
      <c r="P32" s="1542"/>
      <c r="Q32" s="1554">
        <f>IF($U$11="x",'Cash Flow'!Q28,0)+IF($U$12="x",'EPC CF'!Q28,0)+IF('Global CF'!$U$13="x",'Aff 1 CF'!Q28,0)+IF('Global CF'!$U$14="x",'Aff 2 CF'!Q28,0)+IF('Global CF'!$U$15="x",'Aff 3 CF'!Q28,0)+IF('Global CF'!$U$16="x",'Aff 4 CF'!Q28,0)+IF('Global CF'!$U$17="x",'Aff 5 CF'!Q28,0)</f>
        <v>0</v>
      </c>
      <c r="R32" s="304"/>
    </row>
    <row r="33" spans="1:26" ht="16">
      <c r="A33" s="375" t="s">
        <v>233</v>
      </c>
      <c r="B33" s="1057"/>
      <c r="C33" s="1554">
        <f>IF($U$11="x",'Cash Flow'!C29,0)+IF($U$12="x",'EPC CF'!C29,0)+IF('Global CF'!$U$13="x",'Aff 1 CF'!C29,0)+IF('Global CF'!$U$14="x",'Aff 2 CF'!C29,0)+IF('Global CF'!$U$15="x",'Aff 3 CF'!C29,0)+IF('Global CF'!$U$16="x",'Aff 4 CF'!C29,0)+IF('Global CF'!$U$17="x",'Aff 5 CF'!C29,0)</f>
        <v>0</v>
      </c>
      <c r="D33" s="1542"/>
      <c r="E33" s="1554">
        <f>IF($U$11="x",'Cash Flow'!E29,0)+IF($U$12="x",'EPC CF'!E29,0)+IF('Global CF'!$U$13="x",'Aff 1 CF'!E29,0)+IF('Global CF'!$U$14="x",'Aff 2 CF'!E29,0)+IF('Global CF'!$U$15="x",'Aff 3 CF'!E29,0)+IF('Global CF'!$U$16="x",'Aff 4 CF'!E29,0)+IF('Global CF'!$U$17="x",'Aff 5 CF'!E29,0)</f>
        <v>0</v>
      </c>
      <c r="F33" s="1542"/>
      <c r="G33" s="1554">
        <f>IF($U$11="x",'Cash Flow'!G29,0)+IF($U$12="x",'EPC CF'!G29,0)+IF('Global CF'!$U$13="x",'Aff 1 CF'!G29,0)+IF('Global CF'!$U$14="x",'Aff 2 CF'!G29,0)+IF('Global CF'!$U$15="x",'Aff 3 CF'!G29,0)+IF('Global CF'!$U$16="x",'Aff 4 CF'!G29,0)+IF('Global CF'!$U$17="x",'Aff 5 CF'!G29,0)</f>
        <v>0</v>
      </c>
      <c r="H33" s="1542"/>
      <c r="I33" s="1554">
        <f>IF($U$11="x",'Cash Flow'!I29,0)+IF($U$12="x",'EPC CF'!I29,0)+IF('Global CF'!$U$13="x",'Aff 1 CF'!I29,0)+IF('Global CF'!$U$14="x",'Aff 2 CF'!I29,0)+IF('Global CF'!$U$15="x",'Aff 3 CF'!I29,0)+IF('Global CF'!$U$16="x",'Aff 4 CF'!I29,0)+IF('Global CF'!$U$17="x",'Aff 5 CF'!I29,0)</f>
        <v>0</v>
      </c>
      <c r="J33" s="1542"/>
      <c r="K33" s="1554">
        <f>IF($U$11="x",'Cash Flow'!K29,0)+IF($U$12="x",'EPC CF'!K29,0)+IF('Global CF'!$U$13="x",'Aff 1 CF'!K29,0)+IF('Global CF'!$U$14="x",'Aff 2 CF'!K29,0)+IF('Global CF'!$U$15="x",'Aff 3 CF'!K29,0)+IF('Global CF'!$U$16="x",'Aff 4 CF'!K29,0)+IF('Global CF'!$U$17="x",'Aff 5 CF'!K29,0)</f>
        <v>0</v>
      </c>
      <c r="L33" s="1542"/>
      <c r="M33" s="1554">
        <f>IF($U$11="x",'Cash Flow'!M29,0)+IF($U$12="x",'EPC CF'!M29,0)+IF('Global CF'!$U$13="x",'Aff 1 CF'!M29,0)+IF('Global CF'!$U$14="x",'Aff 2 CF'!M29,0)+IF('Global CF'!$U$15="x",'Aff 3 CF'!M29,0)+IF('Global CF'!$U$16="x",'Aff 4 CF'!M29,0)+IF('Global CF'!$U$17="x",'Aff 5 CF'!M29,0)</f>
        <v>0</v>
      </c>
      <c r="N33" s="1542"/>
      <c r="O33" s="1554">
        <f>IF($U$11="x",'Cash Flow'!O29,0)+IF($U$12="x",'EPC CF'!O29,0)+IF('Global CF'!$U$13="x",'Aff 1 CF'!O29,0)+IF('Global CF'!$U$14="x",'Aff 2 CF'!O29,0)+IF('Global CF'!$U$15="x",'Aff 3 CF'!O29,0)+IF('Global CF'!$U$16="x",'Aff 4 CF'!O29,0)+IF('Global CF'!$U$17="x",'Aff 5 CF'!O29,0)</f>
        <v>0</v>
      </c>
      <c r="P33" s="1542"/>
      <c r="Q33" s="1554">
        <f>IF($U$11="x",'Cash Flow'!Q29,0)+IF($U$12="x",'EPC CF'!Q29,0)+IF('Global CF'!$U$13="x",'Aff 1 CF'!Q29,0)+IF('Global CF'!$U$14="x",'Aff 2 CF'!Q29,0)+IF('Global CF'!$U$15="x",'Aff 3 CF'!Q29,0)+IF('Global CF'!$U$16="x",'Aff 4 CF'!Q29,0)+IF('Global CF'!$U$17="x",'Aff 5 CF'!Q29,0)</f>
        <v>0</v>
      </c>
      <c r="R33" s="304"/>
    </row>
    <row r="34" spans="1:26" ht="16">
      <c r="A34" s="375" t="s">
        <v>234</v>
      </c>
      <c r="B34" s="1057"/>
      <c r="C34" s="1554">
        <f>IF($U$11="x",'Cash Flow'!C30,0)+IF($U$12="x",'EPC CF'!C30,0)+IF('Global CF'!$U$13="x",'Aff 1 CF'!C30,0)+IF('Global CF'!$U$14="x",'Aff 2 CF'!C30,0)+IF('Global CF'!$U$15="x",'Aff 3 CF'!C30,0)+IF('Global CF'!$U$16="x",'Aff 4 CF'!C30,0)+IF('Global CF'!$U$17="x",'Aff 5 CF'!C30,0)</f>
        <v>0</v>
      </c>
      <c r="D34" s="1542"/>
      <c r="E34" s="1554">
        <f>IF($U$11="x",'Cash Flow'!E30,0)+IF($U$12="x",'EPC CF'!E30,0)+IF('Global CF'!$U$13="x",'Aff 1 CF'!E30,0)+IF('Global CF'!$U$14="x",'Aff 2 CF'!E30,0)+IF('Global CF'!$U$15="x",'Aff 3 CF'!E30,0)+IF('Global CF'!$U$16="x",'Aff 4 CF'!E30,0)+IF('Global CF'!$U$17="x",'Aff 5 CF'!E30,0)</f>
        <v>0</v>
      </c>
      <c r="F34" s="1542"/>
      <c r="G34" s="1554">
        <f>IF($U$11="x",'Cash Flow'!G30,0)+IF($U$12="x",'EPC CF'!G30,0)+IF('Global CF'!$U$13="x",'Aff 1 CF'!G30,0)+IF('Global CF'!$U$14="x",'Aff 2 CF'!G30,0)+IF('Global CF'!$U$15="x",'Aff 3 CF'!G30,0)+IF('Global CF'!$U$16="x",'Aff 4 CF'!G30,0)+IF('Global CF'!$U$17="x",'Aff 5 CF'!G30,0)</f>
        <v>0</v>
      </c>
      <c r="H34" s="1542"/>
      <c r="I34" s="1554">
        <f>IF($U$11="x",'Cash Flow'!I30,0)+IF($U$12="x",'EPC CF'!I30,0)+IF('Global CF'!$U$13="x",'Aff 1 CF'!I30,0)+IF('Global CF'!$U$14="x",'Aff 2 CF'!I30,0)+IF('Global CF'!$U$15="x",'Aff 3 CF'!I30,0)+IF('Global CF'!$U$16="x",'Aff 4 CF'!I30,0)+IF('Global CF'!$U$17="x",'Aff 5 CF'!I30,0)</f>
        <v>0</v>
      </c>
      <c r="J34" s="1542"/>
      <c r="K34" s="1554">
        <f>IF($U$11="x",'Cash Flow'!K30,0)+IF($U$12="x",'EPC CF'!K30,0)+IF('Global CF'!$U$13="x",'Aff 1 CF'!K30,0)+IF('Global CF'!$U$14="x",'Aff 2 CF'!K30,0)+IF('Global CF'!$U$15="x",'Aff 3 CF'!K30,0)+IF('Global CF'!$U$16="x",'Aff 4 CF'!K30,0)+IF('Global CF'!$U$17="x",'Aff 5 CF'!K30,0)</f>
        <v>0</v>
      </c>
      <c r="L34" s="1542"/>
      <c r="M34" s="1554">
        <f>IF($U$11="x",'Cash Flow'!M30,0)+IF($U$12="x",'EPC CF'!M30,0)+IF('Global CF'!$U$13="x",'Aff 1 CF'!M30,0)+IF('Global CF'!$U$14="x",'Aff 2 CF'!M30,0)+IF('Global CF'!$U$15="x",'Aff 3 CF'!M30,0)+IF('Global CF'!$U$16="x",'Aff 4 CF'!M30,0)+IF('Global CF'!$U$17="x",'Aff 5 CF'!M30,0)</f>
        <v>0</v>
      </c>
      <c r="N34" s="1542"/>
      <c r="O34" s="1554">
        <f>IF($U$11="x",'Cash Flow'!O30,0)+IF($U$12="x",'EPC CF'!O30,0)+IF('Global CF'!$U$13="x",'Aff 1 CF'!O30,0)+IF('Global CF'!$U$14="x",'Aff 2 CF'!O30,0)+IF('Global CF'!$U$15="x",'Aff 3 CF'!O30,0)+IF('Global CF'!$U$16="x",'Aff 4 CF'!O30,0)+IF('Global CF'!$U$17="x",'Aff 5 CF'!O30,0)</f>
        <v>0</v>
      </c>
      <c r="P34" s="1542"/>
      <c r="Q34" s="1554">
        <f>IF($U$11="x",'Cash Flow'!Q30,0)+IF($U$12="x",'EPC CF'!Q30,0)+IF('Global CF'!$U$13="x",'Aff 1 CF'!Q30,0)+IF('Global CF'!$U$14="x",'Aff 2 CF'!Q30,0)+IF('Global CF'!$U$15="x",'Aff 3 CF'!Q30,0)+IF('Global CF'!$U$16="x",'Aff 4 CF'!Q30,0)+IF('Global CF'!$U$17="x",'Aff 5 CF'!Q30,0)</f>
        <v>0</v>
      </c>
      <c r="R34" s="304"/>
    </row>
    <row r="35" spans="1:26" ht="16">
      <c r="A35" s="352" t="s">
        <v>235</v>
      </c>
      <c r="B35" s="356"/>
      <c r="C35" s="1554">
        <f>IF($U$11="x",'Cash Flow'!C31,0)+IF($U$12="x",'EPC CF'!C29,0)+IF('Global CF'!$U$13="x",'Aff 1 CF'!C29,0)+IF('Global CF'!$U$14="x",'Aff 2 CF'!C29,0)+IF('Global CF'!$U$15="x",'Aff 3 CF'!C29,0)+IF('Global CF'!$U$16="x",'Aff 4 CF'!C29,0)+IF('Global CF'!$U$17="x",'Aff 5 CF'!C29,0)</f>
        <v>0</v>
      </c>
      <c r="D35" s="1542"/>
      <c r="E35" s="1554">
        <f>IF($U$11="x",'Cash Flow'!E31,0)+IF($U$12="x",'EPC CF'!E29,0)+IF('Global CF'!$U$13="x",'Aff 1 CF'!E29,0)+IF('Global CF'!$U$14="x",'Aff 2 CF'!E29,0)+IF('Global CF'!$U$15="x",'Aff 3 CF'!E29,0)+IF('Global CF'!$U$16="x",'Aff 4 CF'!E29,0)+IF('Global CF'!$U$17="x",'Aff 5 CF'!E29,0)</f>
        <v>0</v>
      </c>
      <c r="F35" s="1526"/>
      <c r="G35" s="1554">
        <f>IF($U$11="x",'Cash Flow'!G31,0)+IF($U$12="x",'EPC CF'!G29,0)+IF('Global CF'!$U$13="x",'Aff 1 CF'!G29,0)+IF('Global CF'!$U$14="x",'Aff 2 CF'!G29,0)+IF('Global CF'!$U$15="x",'Aff 3 CF'!G29,0)+IF('Global CF'!$U$16="x",'Aff 4 CF'!G29,0)+IF('Global CF'!$U$17="x",'Aff 5 CF'!G29,0)</f>
        <v>0</v>
      </c>
      <c r="H35" s="1526"/>
      <c r="I35" s="1554">
        <f>IF($U$11="x",'Cash Flow'!I31,0)+IF($U$12="x",'EPC CF'!I29,0)+IF('Global CF'!$U$13="x",'Aff 1 CF'!I29,0)+IF('Global CF'!$U$14="x",'Aff 2 CF'!I29,0)+IF('Global CF'!$U$15="x",'Aff 3 CF'!I29,0)+IF('Global CF'!$U$16="x",'Aff 4 CF'!I29,0)+IF('Global CF'!$U$17="x",'Aff 5 CF'!I29,0)</f>
        <v>0</v>
      </c>
      <c r="J35" s="1526"/>
      <c r="K35" s="1554">
        <f>IF($U$11="x",'Cash Flow'!K31,0)+IF($U$12="x",'EPC CF'!K29,0)+IF('Global CF'!$U$13="x",'Aff 1 CF'!K29,0)+IF('Global CF'!$U$14="x",'Aff 2 CF'!K29,0)+IF('Global CF'!$U$15="x",'Aff 3 CF'!K29,0)+IF('Global CF'!$U$16="x",'Aff 4 CF'!K29,0)+IF('Global CF'!$U$17="x",'Aff 5 CF'!K29,0)</f>
        <v>0</v>
      </c>
      <c r="L35" s="1526"/>
      <c r="M35" s="1554">
        <f>IF($U$11="x",'Cash Flow'!M31,0)+IF($U$12="x",'EPC CF'!M29,0)+IF('Global CF'!$U$13="x",'Aff 1 CF'!M29,0)+IF('Global CF'!$U$14="x",'Aff 2 CF'!M29,0)+IF('Global CF'!$U$15="x",'Aff 3 CF'!M29,0)+IF('Global CF'!$U$16="x",'Aff 4 CF'!M29,0)+IF('Global CF'!$U$17="x",'Aff 5 CF'!M29,0)</f>
        <v>0</v>
      </c>
      <c r="N35" s="1526"/>
      <c r="O35" s="1554">
        <f>IF($U$11="x",'Cash Flow'!O31,0)+IF($U$12="x",'EPC CF'!O29,0)+IF('Global CF'!$U$13="x",'Aff 1 CF'!O29,0)+IF('Global CF'!$U$14="x",'Aff 2 CF'!O29,0)+IF('Global CF'!$U$15="x",'Aff 3 CF'!O29,0)+IF('Global CF'!$U$16="x",'Aff 4 CF'!O29,0)+IF('Global CF'!$U$17="x",'Aff 5 CF'!O29,0)</f>
        <v>0</v>
      </c>
      <c r="P35" s="1526"/>
      <c r="Q35" s="1554">
        <f>IF($U$11="x",'Cash Flow'!Q31,0)+IF($U$12="x",'EPC CF'!Q29,0)+IF('Global CF'!$U$13="x",'Aff 1 CF'!Q29,0)+IF('Global CF'!$U$14="x",'Aff 2 CF'!Q29,0)+IF('Global CF'!$U$15="x",'Aff 3 CF'!Q29,0)+IF('Global CF'!$U$16="x",'Aff 4 CF'!Q29,0)+IF('Global CF'!$U$17="x",'Aff 5 CF'!Q29,0)</f>
        <v>0</v>
      </c>
      <c r="R35" s="288"/>
      <c r="T35" s="376"/>
      <c r="U35" s="79"/>
      <c r="V35" s="2978"/>
      <c r="W35" s="2978"/>
      <c r="X35" s="2978"/>
      <c r="Y35" s="2978"/>
      <c r="Z35" s="2978"/>
    </row>
    <row r="36" spans="1:26" ht="17.5" customHeight="1">
      <c r="A36" s="352" t="s">
        <v>236</v>
      </c>
      <c r="B36" s="356"/>
      <c r="C36" s="1554">
        <f>IF($U$11="x",'Cash Flow'!C32,0)+IF($U$12="x",'EPC CF'!C31,0)+IF('Global CF'!$U$13="x",'Aff 1 CF'!C31,0)+IF('Global CF'!$U$14="x",'Aff 2 CF'!C31,0)+IF('Global CF'!$U$15="x",'Aff 3 CF'!C31,0)+IF('Global CF'!$U$16="x",'Aff 4 CF'!C31,0)+IF('Global CF'!$U$17="x",'Aff 5 CF'!C31,0)</f>
        <v>0</v>
      </c>
      <c r="D36" s="1542"/>
      <c r="E36" s="1554">
        <f>IF($U$11="x",'Cash Flow'!E32,0)+IF($U$12="x",'EPC CF'!E31,0)+IF('Global CF'!$U$13="x",'Aff 1 CF'!E31,0)+IF('Global CF'!$U$14="x",'Aff 2 CF'!E31,0)+IF('Global CF'!$U$15="x",'Aff 3 CF'!E31,0)+IF('Global CF'!$U$16="x",'Aff 4 CF'!E31,0)+IF('Global CF'!$U$17="x",'Aff 5 CF'!E31,0)</f>
        <v>0</v>
      </c>
      <c r="F36" s="1526"/>
      <c r="G36" s="1554">
        <f>IF($U$11="x",'Cash Flow'!G32,0)+IF($U$12="x",'EPC CF'!G31,0)+IF('Global CF'!$U$13="x",'Aff 1 CF'!G31,0)+IF('Global CF'!$U$14="x",'Aff 2 CF'!G31,0)+IF('Global CF'!$U$15="x",'Aff 3 CF'!G31,0)+IF('Global CF'!$U$16="x",'Aff 4 CF'!G31,0)+IF('Global CF'!$U$17="x",'Aff 5 CF'!G31,0)</f>
        <v>0</v>
      </c>
      <c r="H36" s="1526"/>
      <c r="I36" s="1554">
        <f>IF($U$11="x",'Cash Flow'!I32,0)+IF($U$12="x",'EPC CF'!I31,0)+IF('Global CF'!$U$13="x",'Aff 1 CF'!I31,0)+IF('Global CF'!$U$14="x",'Aff 2 CF'!I31,0)+IF('Global CF'!$U$15="x",'Aff 3 CF'!I31,0)+IF('Global CF'!$U$16="x",'Aff 4 CF'!I31,0)+IF('Global CF'!$U$17="x",'Aff 5 CF'!I31,0)</f>
        <v>0</v>
      </c>
      <c r="J36" s="1526"/>
      <c r="K36" s="1554">
        <f>IF($U$11="x",'Cash Flow'!K32,0)+IF($U$12="x",'EPC CF'!K31,0)+IF('Global CF'!$U$13="x",'Aff 1 CF'!K31,0)+IF('Global CF'!$U$14="x",'Aff 2 CF'!K31,0)+IF('Global CF'!$U$15="x",'Aff 3 CF'!K31,0)+IF('Global CF'!$U$16="x",'Aff 4 CF'!K31,0)+IF('Global CF'!$U$17="x",'Aff 5 CF'!K31,0)</f>
        <v>0</v>
      </c>
      <c r="L36" s="1526"/>
      <c r="M36" s="1554">
        <f>IF($U$11="x",'Cash Flow'!M32,0)+IF($U$12="x",'EPC CF'!M31,0)+IF('Global CF'!$U$13="x",'Aff 1 CF'!M31,0)+IF('Global CF'!$U$14="x",'Aff 2 CF'!M31,0)+IF('Global CF'!$U$15="x",'Aff 3 CF'!M31,0)+IF('Global CF'!$U$16="x",'Aff 4 CF'!M31,0)+IF('Global CF'!$U$17="x",'Aff 5 CF'!M31,0)</f>
        <v>0</v>
      </c>
      <c r="N36" s="1526"/>
      <c r="O36" s="1554">
        <f>IF($U$11="x",'Cash Flow'!O32,0)+IF($U$12="x",'EPC CF'!O31,0)+IF('Global CF'!$U$13="x",'Aff 1 CF'!O31,0)+IF('Global CF'!$U$14="x",'Aff 2 CF'!O31,0)+IF('Global CF'!$U$15="x",'Aff 3 CF'!O31,0)+IF('Global CF'!$U$16="x",'Aff 4 CF'!O31,0)+IF('Global CF'!$U$17="x",'Aff 5 CF'!O31,0)</f>
        <v>0</v>
      </c>
      <c r="P36" s="1526"/>
      <c r="Q36" s="1554">
        <f>IF($U$11="x",'Cash Flow'!Q32,0)+IF($U$12="x",'EPC CF'!Q31,0)+IF('Global CF'!$U$13="x",'Aff 1 CF'!Q31,0)+IF('Global CF'!$U$14="x",'Aff 2 CF'!Q31,0)+IF('Global CF'!$U$15="x",'Aff 3 CF'!Q31,0)+IF('Global CF'!$U$16="x",'Aff 4 CF'!Q31,0)+IF('Global CF'!$U$17="x",'Aff 5 CF'!Q31,0)</f>
        <v>0</v>
      </c>
      <c r="R36" s="288"/>
      <c r="T36" s="376"/>
      <c r="U36" s="79"/>
      <c r="V36" s="2978"/>
      <c r="W36" s="2978"/>
      <c r="X36" s="2978"/>
      <c r="Y36" s="2978"/>
      <c r="Z36" s="2978"/>
    </row>
    <row r="37" spans="1:26" ht="17.5" customHeight="1" thickBot="1">
      <c r="A37" s="352" t="s">
        <v>228</v>
      </c>
      <c r="B37" s="356"/>
      <c r="C37" s="1554">
        <f>IF($U$11="x",'Cash Flow'!C33,0)+IF($U$12="x",'EPC CF'!C32,0)+IF('Global CF'!$U$13="x",'Aff 1 CF'!C32,0)+IF('Global CF'!$U$14="x",'Aff 2 CF'!C32,0)+IF('Global CF'!$U$15="x",'Aff 3 CF'!C32,0)+IF('Global CF'!$U$16="x",'Aff 4 CF'!C32,0)+IF('Global CF'!$U$17="x",'Aff 5 CF'!C32,0)</f>
        <v>0</v>
      </c>
      <c r="D37" s="1542"/>
      <c r="E37" s="1554">
        <f>IF($U$11="x",'Cash Flow'!E33,0)+IF($U$12="x",'EPC CF'!E32,0)+IF('Global CF'!$U$13="x",'Aff 1 CF'!E32,0)+IF('Global CF'!$U$14="x",'Aff 2 CF'!E32,0)+IF('Global CF'!$U$15="x",'Aff 3 CF'!E32,0)+IF('Global CF'!$U$16="x",'Aff 4 CF'!E32,0)+IF('Global CF'!$U$17="x",'Aff 5 CF'!E32,0)</f>
        <v>0</v>
      </c>
      <c r="F37" s="1526"/>
      <c r="G37" s="1554">
        <f>IF($U$11="x",'Cash Flow'!G33,0)+IF($U$12="x",'EPC CF'!G32,0)+IF('Global CF'!$U$13="x",'Aff 1 CF'!G32,0)+IF('Global CF'!$U$14="x",'Aff 2 CF'!G32,0)+IF('Global CF'!$U$15="x",'Aff 3 CF'!G32,0)+IF('Global CF'!$U$16="x",'Aff 4 CF'!G32,0)+IF('Global CF'!$U$17="x",'Aff 5 CF'!G32,0)</f>
        <v>0</v>
      </c>
      <c r="H37" s="1526"/>
      <c r="I37" s="1554">
        <f>IF($U$11="x",'Cash Flow'!I33,0)+IF($U$12="x",'EPC CF'!I32,0)+IF('Global CF'!$U$13="x",'Aff 1 CF'!I32,0)+IF('Global CF'!$U$14="x",'Aff 2 CF'!I32,0)+IF('Global CF'!$U$15="x",'Aff 3 CF'!I32,0)+IF('Global CF'!$U$16="x",'Aff 4 CF'!I32,0)+IF('Global CF'!$U$17="x",'Aff 5 CF'!I32,0)</f>
        <v>0</v>
      </c>
      <c r="J37" s="1526"/>
      <c r="K37" s="1554">
        <f>IF($U$11="x",'Cash Flow'!K33,0)+IF($U$12="x",'EPC CF'!K32,0)+IF('Global CF'!$U$13="x",'Aff 1 CF'!K32,0)+IF('Global CF'!$U$14="x",'Aff 2 CF'!K32,0)+IF('Global CF'!$U$15="x",'Aff 3 CF'!K32,0)+IF('Global CF'!$U$16="x",'Aff 4 CF'!K32,0)+IF('Global CF'!$U$17="x",'Aff 5 CF'!K32,0)</f>
        <v>0</v>
      </c>
      <c r="L37" s="1526"/>
      <c r="M37" s="1554">
        <f>IF($U$11="x",'Cash Flow'!M33,0)+IF($U$12="x",'EPC CF'!M32,0)+IF('Global CF'!$U$13="x",'Aff 1 CF'!M32,0)+IF('Global CF'!$U$14="x",'Aff 2 CF'!M32,0)+IF('Global CF'!$U$15="x",'Aff 3 CF'!M32,0)+IF('Global CF'!$U$16="x",'Aff 4 CF'!M32,0)+IF('Global CF'!$U$17="x",'Aff 5 CF'!M32,0)</f>
        <v>0</v>
      </c>
      <c r="N37" s="1526"/>
      <c r="O37" s="1554">
        <f>IF($U$11="x",'Cash Flow'!O33,0)+IF($U$12="x",'EPC CF'!O32,0)+IF('Global CF'!$U$13="x",'Aff 1 CF'!O32,0)+IF('Global CF'!$U$14="x",'Aff 2 CF'!O32,0)+IF('Global CF'!$U$15="x",'Aff 3 CF'!O32,0)+IF('Global CF'!$U$16="x",'Aff 4 CF'!O32,0)+IF('Global CF'!$U$17="x",'Aff 5 CF'!O32,0)</f>
        <v>0</v>
      </c>
      <c r="P37" s="1526"/>
      <c r="Q37" s="1554">
        <f>IF($U$11="x",'Cash Flow'!Q33,0)+IF($U$12="x",'EPC CF'!Q32,0)+IF('Global CF'!$U$13="x",'Aff 1 CF'!Q32,0)+IF('Global CF'!$U$14="x",'Aff 2 CF'!Q32,0)+IF('Global CF'!$U$15="x",'Aff 3 CF'!Q32,0)+IF('Global CF'!$U$16="x",'Aff 4 CF'!Q32,0)+IF('Global CF'!$U$17="x",'Aff 5 CF'!Q32,0)</f>
        <v>0</v>
      </c>
      <c r="R37" s="288"/>
      <c r="T37" s="376"/>
      <c r="U37" s="79"/>
      <c r="V37" s="2978"/>
      <c r="W37" s="2978"/>
      <c r="X37" s="2978"/>
      <c r="Y37" s="2978"/>
      <c r="Z37" s="2978"/>
    </row>
    <row r="38" spans="1:26" ht="17.5" customHeight="1" thickBot="1">
      <c r="A38" s="2965" t="s">
        <v>826</v>
      </c>
      <c r="B38" s="2966"/>
      <c r="C38" s="1548">
        <f>SUM(C31:C37)</f>
        <v>0</v>
      </c>
      <c r="D38" s="1538"/>
      <c r="E38" s="1548">
        <f>SUM(E31:E37)</f>
        <v>0</v>
      </c>
      <c r="F38" s="1538"/>
      <c r="G38" s="1548">
        <f>SUM(G31:G37)</f>
        <v>0</v>
      </c>
      <c r="H38" s="1538"/>
      <c r="I38" s="1548">
        <f>SUM(I31:I37)</f>
        <v>0</v>
      </c>
      <c r="J38" s="1538"/>
      <c r="K38" s="1548">
        <f>SUM(K31:K37)</f>
        <v>0</v>
      </c>
      <c r="L38" s="1538"/>
      <c r="M38" s="1548">
        <f>SUM(M31:M37)</f>
        <v>0</v>
      </c>
      <c r="N38" s="1538"/>
      <c r="O38" s="1548">
        <f>SUM(O31:O37)</f>
        <v>0</v>
      </c>
      <c r="P38" s="1538"/>
      <c r="Q38" s="1637">
        <f>SUM(Q31:Q37)</f>
        <v>0</v>
      </c>
      <c r="R38" s="304"/>
      <c r="U38" s="79"/>
      <c r="W38" s="6"/>
    </row>
    <row r="39" spans="1:26" ht="16">
      <c r="A39" s="280" t="s">
        <v>827</v>
      </c>
      <c r="B39" s="1078"/>
      <c r="C39" s="1548">
        <f>+C30-C38</f>
        <v>0</v>
      </c>
      <c r="D39" s="1538"/>
      <c r="E39" s="1548">
        <f>+E30-E38</f>
        <v>0</v>
      </c>
      <c r="F39" s="1538"/>
      <c r="G39" s="1548">
        <f>+G30-G38</f>
        <v>0</v>
      </c>
      <c r="H39" s="1538"/>
      <c r="I39" s="1548" t="e">
        <f>+I30-I38</f>
        <v>#REF!</v>
      </c>
      <c r="J39" s="1538"/>
      <c r="K39" s="1548">
        <f>+K30-K38</f>
        <v>0</v>
      </c>
      <c r="L39" s="1538"/>
      <c r="M39" s="1548">
        <f>+M30-M38</f>
        <v>0</v>
      </c>
      <c r="N39" s="1638"/>
      <c r="O39" s="1548">
        <f>+O30-O38</f>
        <v>0</v>
      </c>
      <c r="P39" s="1538"/>
      <c r="Q39" s="1548">
        <f>+Q30-Q38</f>
        <v>0</v>
      </c>
      <c r="R39" s="1639"/>
      <c r="U39" s="79"/>
      <c r="W39" s="6"/>
    </row>
    <row r="40" spans="1:26" ht="16">
      <c r="A40" s="236" t="s">
        <v>238</v>
      </c>
      <c r="B40" s="1079"/>
      <c r="C40" s="289">
        <f>IF(C$38=0,0,+C$30/C38)</f>
        <v>0</v>
      </c>
      <c r="D40" s="290"/>
      <c r="E40" s="289">
        <f>IF(E38=0,0,+E$30/E38)</f>
        <v>0</v>
      </c>
      <c r="F40" s="290"/>
      <c r="G40" s="289">
        <f>IF(G38=0,0,+G$30/G38)</f>
        <v>0</v>
      </c>
      <c r="H40" s="290"/>
      <c r="I40" s="289">
        <f>IF(I38=0,0,+I$30/I38)</f>
        <v>0</v>
      </c>
      <c r="J40" s="290"/>
      <c r="K40" s="289">
        <f>IF(K38=0,0,+K$30/K38)</f>
        <v>0</v>
      </c>
      <c r="L40" s="290"/>
      <c r="M40" s="289">
        <f>IF(M38=0,0,+M$30/M38)</f>
        <v>0</v>
      </c>
      <c r="N40" s="290"/>
      <c r="O40" s="289">
        <f>IF(O38=0,0,+O$30/O38)</f>
        <v>0</v>
      </c>
      <c r="P40" s="290"/>
      <c r="Q40" s="289">
        <f>IF(Q38=0,0,+Q$30/Q38)</f>
        <v>0</v>
      </c>
      <c r="R40" s="291"/>
      <c r="U40" s="79"/>
      <c r="W40" s="6"/>
    </row>
    <row r="41" spans="1:26" ht="16">
      <c r="A41" s="236"/>
      <c r="B41" s="1079"/>
      <c r="C41" s="306"/>
      <c r="D41" s="287"/>
      <c r="E41" s="306"/>
      <c r="F41" s="287"/>
      <c r="G41" s="306"/>
      <c r="H41" s="287"/>
      <c r="I41" s="306"/>
      <c r="J41" s="287"/>
      <c r="K41" s="306"/>
      <c r="L41" s="287"/>
      <c r="M41" s="306"/>
      <c r="N41" s="287"/>
      <c r="O41" s="306"/>
      <c r="P41" s="287"/>
      <c r="Q41" s="306"/>
      <c r="R41" s="291"/>
      <c r="U41" s="79"/>
      <c r="W41" s="6"/>
    </row>
    <row r="42" spans="1:26" ht="16">
      <c r="A42" s="233" t="s">
        <v>828</v>
      </c>
      <c r="B42" s="1080"/>
      <c r="C42" s="1526">
        <f>C$30-C$31-C$34-C$35-C$36-C$37-C43-C44</f>
        <v>0</v>
      </c>
      <c r="D42" s="1526"/>
      <c r="E42" s="1526">
        <f>E$30-E$31-E$34-E$35-E$36-E$37-E43-E44</f>
        <v>0</v>
      </c>
      <c r="F42" s="1526"/>
      <c r="G42" s="1526">
        <f>G$30-G$31-G$34-G$35-G$36-G$37-G43-G44</f>
        <v>0</v>
      </c>
      <c r="H42" s="1526"/>
      <c r="I42" s="1526" t="e">
        <f>I$30-I$31-I$34-I$35-I$36-I$37-I43-I44</f>
        <v>#REF!</v>
      </c>
      <c r="J42" s="1526"/>
      <c r="K42" s="1526">
        <f>K$30-K$31-K$34-K$35-K$36-K$37-K43-K44</f>
        <v>0</v>
      </c>
      <c r="L42" s="1526"/>
      <c r="M42" s="1526">
        <f>M$30-M$31-M$34-M$35-M$36-M$37-M43-M44</f>
        <v>0</v>
      </c>
      <c r="N42" s="1526"/>
      <c r="O42" s="1526">
        <f>O$30-O$31-O$34-O$35-O$36-O$37-O43-O44</f>
        <v>0</v>
      </c>
      <c r="P42" s="1526"/>
      <c r="Q42" s="1526">
        <f>Q$30-Q$31-Q$34-Q$35-Q$36-Q$37-Q43-Q44</f>
        <v>0</v>
      </c>
      <c r="R42" s="374"/>
      <c r="U42" s="79"/>
      <c r="W42" s="6"/>
    </row>
    <row r="43" spans="1:26" ht="16">
      <c r="A43" s="233" t="s">
        <v>829</v>
      </c>
      <c r="B43" s="1080"/>
      <c r="C43" s="1526">
        <f>IF($U$11="x",'Cash Flow'!C39,0)+IF($U$12="x",'EPC CF'!C40,0)+IF('Global CF'!$U$13="x",'Aff 1 CF'!C40,0)+IF('Global CF'!$U$14="x",'Aff 2 CF'!C40,0)+IF('Global CF'!$U$15="x",'Aff 3 CF'!C40,0)+IF('Global CF'!$U$16="x",'Aff 4 CF'!C40,0)+IF('Global CF'!$U$17="x",'Aff 5 CF'!C40,0)</f>
        <v>0</v>
      </c>
      <c r="D43" s="1526"/>
      <c r="E43" s="1526">
        <f>IF($U$11="x",'Cash Flow'!E39,0)+IF($U$12="x",'EPC CF'!E40,0)+IF('Global CF'!$U$13="x",'Aff 1 CF'!E40,0)+IF('Global CF'!$U$14="x",'Aff 2 CF'!E40,0)+IF('Global CF'!$U$15="x",'Aff 3 CF'!E40,0)+IF('Global CF'!$U$16="x",'Aff 4 CF'!E40,0)+IF('Global CF'!$U$17="x",'Aff 5 CF'!E40,0)</f>
        <v>0</v>
      </c>
      <c r="F43" s="1526"/>
      <c r="G43" s="1526">
        <f>IF($U$11="x",'Cash Flow'!G39,0)+IF($U$12="x",'EPC CF'!G40,0)+IF('Global CF'!$U$13="x",'Aff 1 CF'!G40,0)+IF('Global CF'!$U$14="x",'Aff 2 CF'!G40,0)+IF('Global CF'!$U$15="x",'Aff 3 CF'!G40,0)+IF('Global CF'!$U$16="x",'Aff 4 CF'!G40,0)+IF('Global CF'!$U$17="x",'Aff 5 CF'!G40,0)</f>
        <v>0</v>
      </c>
      <c r="H43" s="1526"/>
      <c r="I43" s="1526">
        <f>IF($U$11="x",'Cash Flow'!I39,0)+IF($U$12="x",'EPC CF'!I40,0)+IF('Global CF'!$U$13="x",'Aff 1 CF'!I40,0)+IF('Global CF'!$U$14="x",'Aff 2 CF'!I40,0)+IF('Global CF'!$U$15="x",'Aff 3 CF'!I40,0)+IF('Global CF'!$U$16="x",'Aff 4 CF'!I40,0)+IF('Global CF'!$U$17="x",'Aff 5 CF'!I40,0)</f>
        <v>0</v>
      </c>
      <c r="J43" s="1526"/>
      <c r="K43" s="1526">
        <f>IF($U$11="x",'Cash Flow'!K39,0)+IF($U$12="x",'EPC CF'!K40,0)+IF('Global CF'!$U$13="x",'Aff 1 CF'!K40,0)+IF('Global CF'!$U$14="x",'Aff 2 CF'!K40,0)+IF('Global CF'!$U$15="x",'Aff 3 CF'!K40,0)+IF('Global CF'!$U$16="x",'Aff 4 CF'!K40,0)+IF('Global CF'!$U$17="x",'Aff 5 CF'!K40,0)</f>
        <v>0</v>
      </c>
      <c r="L43" s="1551"/>
      <c r="M43" s="1526">
        <f>IF($U$11="x",'Cash Flow'!M39,0)+IF($U$12="x",'EPC CF'!M40,0)+IF('Global CF'!$U$13="x",'Aff 1 CF'!M40,0)+IF('Global CF'!$U$14="x",'Aff 2 CF'!M40,0)+IF('Global CF'!$U$15="x",'Aff 3 CF'!M40,0)+IF('Global CF'!$U$16="x",'Aff 4 CF'!M40,0)+IF('Global CF'!$U$17="x",'Aff 5 CF'!M40,0)</f>
        <v>0</v>
      </c>
      <c r="N43" s="1551"/>
      <c r="O43" s="1526">
        <f>IF($U$11="x",'Cash Flow'!O39,0)+IF($U$12="x",'EPC CF'!O40,0)+IF('Global CF'!$U$13="x",'Aff 1 CF'!O40,0)+IF('Global CF'!$U$14="x",'Aff 2 CF'!O40,0)+IF('Global CF'!$U$15="x",'Aff 3 CF'!O40,0)+IF('Global CF'!$U$16="x",'Aff 4 CF'!O40,0)+IF('Global CF'!$U$17="x",'Aff 5 CF'!O40,0)</f>
        <v>0</v>
      </c>
      <c r="P43" s="1551"/>
      <c r="Q43" s="1526">
        <f>IF($U$11="x",'Cash Flow'!Q39,0)+IF($U$12="x",'EPC CF'!Q40,0)+IF('Global CF'!$U$13="x",'Aff 1 CF'!Q40,0)+IF('Global CF'!$U$14="x",'Aff 2 CF'!Q40,0)+IF('Global CF'!$U$15="x",'Aff 3 CF'!Q40,0)+IF('Global CF'!$U$16="x",'Aff 4 CF'!Q40,0)+IF('Global CF'!$U$17="x",'Aff 5 CF'!Q40,0)</f>
        <v>0</v>
      </c>
      <c r="R43" s="374"/>
      <c r="U43" s="79"/>
      <c r="W43" s="6"/>
    </row>
    <row r="44" spans="1:26" ht="15" customHeight="1">
      <c r="A44" s="233" t="s">
        <v>830</v>
      </c>
      <c r="B44" s="1080"/>
      <c r="C44" s="1526">
        <f>IF($U$11="x",'Cash Flow'!C40,0)+IF($U$12="x",'EPC CF'!C40,0)+IF('Global CF'!$U$13="x",'Aff 1 CF'!C40,0)+IF('Global CF'!$U$14="x",'Aff 2 CF'!C40,0)+IF('Global CF'!$U$15="x",'Aff 3 CF'!C40,0)+IF('Global CF'!$U$16="x",'Aff 4 CF'!C40,0)+IF('Global CF'!$U$17="x",'Aff 5 CF'!C40,0)</f>
        <v>0</v>
      </c>
      <c r="D44" s="1526"/>
      <c r="E44" s="1526">
        <f>IF($U$11="x",'Cash Flow'!E40,0)+IF($U$12="x",'EPC CF'!E40,0)+IF('Global CF'!$U$13="x",'Aff 1 CF'!E40,0)+IF('Global CF'!$U$14="x",'Aff 2 CF'!E40,0)+IF('Global CF'!$U$15="x",'Aff 3 CF'!E40,0)+IF('Global CF'!$U$16="x",'Aff 4 CF'!E40,0)+IF('Global CF'!$U$17="x",'Aff 5 CF'!E40,0)</f>
        <v>0</v>
      </c>
      <c r="F44" s="1526"/>
      <c r="G44" s="1526">
        <f>IF($U$11="x",'Cash Flow'!G40,0)+IF($U$12="x",'EPC CF'!G40,0)+IF('Global CF'!$U$13="x",'Aff 1 CF'!G40,0)+IF('Global CF'!$U$14="x",'Aff 2 CF'!G40,0)+IF('Global CF'!$U$15="x",'Aff 3 CF'!G40,0)+IF('Global CF'!$U$16="x",'Aff 4 CF'!G40,0)+IF('Global CF'!$U$17="x",'Aff 5 CF'!G40,0)</f>
        <v>0</v>
      </c>
      <c r="H44" s="1526"/>
      <c r="I44" s="1526">
        <f>IF($U$11="x",'Cash Flow'!I40,0)+IF($U$12="x",'EPC CF'!I40,0)+IF('Global CF'!$U$13="x",'Aff 1 CF'!I40,0)+IF('Global CF'!$U$14="x",'Aff 2 CF'!I40,0)+IF('Global CF'!$U$15="x",'Aff 3 CF'!I40,0)+IF('Global CF'!$U$16="x",'Aff 4 CF'!I40,0)+IF('Global CF'!$U$17="x",'Aff 5 CF'!I40,0)</f>
        <v>0</v>
      </c>
      <c r="J44" s="1526"/>
      <c r="K44" s="1526">
        <f>IF($U$11="x",'Cash Flow'!K40,0)+IF($U$12="x",'EPC CF'!K40,0)+IF('Global CF'!$U$13="x",'Aff 1 CF'!K40,0)+IF('Global CF'!$U$14="x",'Aff 2 CF'!K40,0)+IF('Global CF'!$U$15="x",'Aff 3 CF'!K40,0)+IF('Global CF'!$U$16="x",'Aff 4 CF'!K40,0)+IF('Global CF'!$U$17="x",'Aff 5 CF'!K40,0)</f>
        <v>0</v>
      </c>
      <c r="L44" s="1551"/>
      <c r="M44" s="1526">
        <f>IF($U$11="x",'Cash Flow'!M40,0)+IF($U$12="x",'EPC CF'!M40,0)+IF('Global CF'!$U$13="x",'Aff 1 CF'!M40,0)+IF('Global CF'!$U$14="x",'Aff 2 CF'!M40,0)+IF('Global CF'!$U$15="x",'Aff 3 CF'!M40,0)+IF('Global CF'!$U$16="x",'Aff 4 CF'!M40,0)+IF('Global CF'!$U$17="x",'Aff 5 CF'!M40,0)</f>
        <v>0</v>
      </c>
      <c r="N44" s="1551"/>
      <c r="O44" s="1526">
        <f>IF($U$11="x",'Cash Flow'!O40,0)+IF($U$12="x",'EPC CF'!O40,0)+IF('Global CF'!$U$13="x",'Aff 1 CF'!O40,0)+IF('Global CF'!$U$14="x",'Aff 2 CF'!O40,0)+IF('Global CF'!$U$15="x",'Aff 3 CF'!O40,0)+IF('Global CF'!$U$16="x",'Aff 4 CF'!O40,0)+IF('Global CF'!$U$17="x",'Aff 5 CF'!O40,0)</f>
        <v>0</v>
      </c>
      <c r="P44" s="1551"/>
      <c r="Q44" s="1526">
        <f>IF($U$11="x",'Cash Flow'!Q40,0)+IF($U$12="x",'EPC CF'!Q40,0)+IF('Global CF'!$U$13="x",'Aff 1 CF'!Q40,0)+IF('Global CF'!$U$14="x",'Aff 2 CF'!Q40,0)+IF('Global CF'!$U$15="x",'Aff 3 CF'!Q40,0)+IF('Global CF'!$U$16="x",'Aff 4 CF'!Q40,0)+IF('Global CF'!$U$17="x",'Aff 5 CF'!Q40,0)</f>
        <v>0</v>
      </c>
      <c r="R44" s="288"/>
      <c r="U44" s="79"/>
      <c r="W44" s="6"/>
    </row>
    <row r="45" spans="1:26" ht="15" customHeight="1">
      <c r="A45" s="233" t="s">
        <v>239</v>
      </c>
      <c r="B45" s="1080"/>
      <c r="C45" s="1081">
        <f>IF(C38=0,0,+C$30/(C$43+C$44+C$31+C$34+C$35+C$36+C$37))</f>
        <v>0</v>
      </c>
      <c r="D45" s="1081"/>
      <c r="E45" s="1081">
        <f>IF(E38=0,0,+E$30/(E$43+E$44+E$31+E$34+E$35+E$36+E$37))</f>
        <v>0</v>
      </c>
      <c r="F45" s="1081"/>
      <c r="G45" s="1081">
        <f>IF(G38=0,0,+G$30/(G$43+G$44+G$31+G$34+G$35+G$36+G$37))</f>
        <v>0</v>
      </c>
      <c r="H45" s="1081"/>
      <c r="I45" s="1081">
        <f>IF(I38=0,0,+I$30/(I$43+I$44+I$31+I$34+I$35+I$36+I$37))</f>
        <v>0</v>
      </c>
      <c r="J45" s="1081"/>
      <c r="K45" s="1081">
        <f>IF(K38=0,0,+K$30/(K$43+K$44+K$31+K$34+K$35+K$36+K$37))</f>
        <v>0</v>
      </c>
      <c r="L45" s="1081"/>
      <c r="M45" s="1081">
        <f>IF(M38=0,0,+M$30/(M$43+M$44+M$31+M$34+M$35+M$36+M$37))</f>
        <v>0</v>
      </c>
      <c r="N45" s="1081"/>
      <c r="O45" s="1081">
        <f>IF(O38=0,0,+O$30/(O$43+O$44+O$31+O$34+O$35+O$36+O$37))</f>
        <v>0</v>
      </c>
      <c r="P45" s="1081"/>
      <c r="Q45" s="1081">
        <f>IF(Q38=0,0,+Q$30/(Q$43+Q$44+Q$31+Q$34+Q$35+Q$36+Q$37))</f>
        <v>0</v>
      </c>
      <c r="R45" s="1082"/>
      <c r="U45" s="79"/>
      <c r="W45" s="6"/>
    </row>
    <row r="46" spans="1:26" ht="15" customHeight="1">
      <c r="A46" s="233"/>
      <c r="B46" s="1080"/>
      <c r="C46" s="307"/>
      <c r="D46" s="294"/>
      <c r="E46" s="307"/>
      <c r="F46" s="294"/>
      <c r="G46" s="307"/>
      <c r="H46" s="294"/>
      <c r="I46" s="307"/>
      <c r="J46" s="294"/>
      <c r="K46" s="307"/>
      <c r="L46" s="294"/>
      <c r="M46" s="307"/>
      <c r="N46" s="294"/>
      <c r="O46" s="307"/>
      <c r="P46" s="294"/>
      <c r="Q46" s="307"/>
      <c r="R46" s="293"/>
      <c r="U46" s="79"/>
      <c r="W46" s="6"/>
    </row>
    <row r="47" spans="1:26" ht="15" customHeight="1">
      <c r="A47" s="233" t="s">
        <v>831</v>
      </c>
      <c r="B47" s="1080"/>
      <c r="C47" s="1526">
        <f>C$30-C$31-C$34-C$35-C$36-C$37-C48-C49</f>
        <v>0</v>
      </c>
      <c r="D47" s="1526"/>
      <c r="E47" s="1526">
        <f>E$30-E$31-E$34-E$35-E$36-E$37-E48-E49</f>
        <v>0</v>
      </c>
      <c r="F47" s="1526"/>
      <c r="G47" s="1526">
        <f>G$30-G$31-G$34-G$35-G$36-G$37-G48-G49</f>
        <v>0</v>
      </c>
      <c r="H47" s="1526"/>
      <c r="I47" s="1526" t="e">
        <f>I$30-I$31-I$34-I$35-I$36-I$37-I48-I49</f>
        <v>#REF!</v>
      </c>
      <c r="J47" s="1526"/>
      <c r="K47" s="1526">
        <f>K$30-K$31-K$34-K$35-K$36-K$37-K48-K49</f>
        <v>0</v>
      </c>
      <c r="L47" s="1526"/>
      <c r="M47" s="1526">
        <f>M$30-M$31-M$34-M$35-M$36-M$37-M48-M49</f>
        <v>0</v>
      </c>
      <c r="N47" s="1526"/>
      <c r="O47" s="1526">
        <f>O$30-O$31-O$34-O$35-O$36-O$37-O48-O49</f>
        <v>0</v>
      </c>
      <c r="P47" s="1526"/>
      <c r="Q47" s="1526">
        <f>Q$30-Q$31-Q$34-Q$35-Q$36-Q$37-Q48-Q49</f>
        <v>0</v>
      </c>
      <c r="R47" s="293"/>
      <c r="W47" s="6"/>
    </row>
    <row r="48" spans="1:26" ht="15" customHeight="1">
      <c r="A48" s="233" t="s">
        <v>832</v>
      </c>
      <c r="B48" s="1080"/>
      <c r="C48" s="1526">
        <f>IF($U$11="x",'Cash Flow'!C44,0)+IF($U$12="x",'EPC CF'!C46,0)+IF('Global CF'!$U$13="x",'Aff 1 CF'!C46,0)+IF('Global CF'!$U$14="x",'Aff 2 CF'!C46,0)+IF('Global CF'!$U$15="x",'Aff 3 CF'!C46,0)+IF('Global CF'!$U$16="x",'Aff 4 CF'!C46,0)+IF('Global CF'!$U$17="x",'Aff 5 CF'!C46,0)</f>
        <v>0</v>
      </c>
      <c r="D48" s="1526"/>
      <c r="E48" s="1526">
        <f>IF($U$11="x",'Cash Flow'!E44,0)+IF($U$12="x",'EPC CF'!E46,0)+IF('Global CF'!$U$13="x",'Aff 1 CF'!E46,0)+IF('Global CF'!$U$14="x",'Aff 2 CF'!E46,0)+IF('Global CF'!$U$15="x",'Aff 3 CF'!E46,0)+IF('Global CF'!$U$16="x",'Aff 4 CF'!E46,0)+IF('Global CF'!$U$17="x",'Aff 5 CF'!E46,0)</f>
        <v>0</v>
      </c>
      <c r="F48" s="1526"/>
      <c r="G48" s="1526">
        <f>IF($U$11="x",'Cash Flow'!G44,0)+IF($U$12="x",'EPC CF'!G46,0)+IF('Global CF'!$U$13="x",'Aff 1 CF'!G46,0)+IF('Global CF'!$U$14="x",'Aff 2 CF'!G46,0)+IF('Global CF'!$U$15="x",'Aff 3 CF'!G46,0)+IF('Global CF'!$U$16="x",'Aff 4 CF'!G46,0)+IF('Global CF'!$U$17="x",'Aff 5 CF'!G46,0)</f>
        <v>0</v>
      </c>
      <c r="H48" s="1526"/>
      <c r="I48" s="1526">
        <f>IF($U$11="x",'Cash Flow'!I44,0)+IF($U$12="x",'EPC CF'!I46,0)+IF('Global CF'!$U$13="x",'Aff 1 CF'!I46,0)+IF('Global CF'!$U$14="x",'Aff 2 CF'!I46,0)+IF('Global CF'!$U$15="x",'Aff 3 CF'!I46,0)+IF('Global CF'!$U$16="x",'Aff 4 CF'!I46,0)+IF('Global CF'!$U$17="x",'Aff 5 CF'!I46,0)</f>
        <v>0</v>
      </c>
      <c r="J48" s="1526"/>
      <c r="K48" s="1526">
        <f>IF($U$11="x",'Cash Flow'!K44,0)+IF($U$12="x",'EPC CF'!K46,0)+IF('Global CF'!$U$13="x",'Aff 1 CF'!K46,0)+IF('Global CF'!$U$14="x",'Aff 2 CF'!K46,0)+IF('Global CF'!$U$15="x",'Aff 3 CF'!K46,0)+IF('Global CF'!$U$16="x",'Aff 4 CF'!K46,0)+IF('Global CF'!$U$17="x",'Aff 5 CF'!K46,0)</f>
        <v>0</v>
      </c>
      <c r="L48" s="1526"/>
      <c r="M48" s="1526">
        <f>IF($U$11="x",'Cash Flow'!M44,0)+IF($U$12="x",'EPC CF'!M46,0)+IF('Global CF'!$U$13="x",'Aff 1 CF'!M46,0)+IF('Global CF'!$U$14="x",'Aff 2 CF'!M46,0)+IF('Global CF'!$U$15="x",'Aff 3 CF'!M46,0)+IF('Global CF'!$U$16="x",'Aff 4 CF'!M46,0)+IF('Global CF'!$U$17="x",'Aff 5 CF'!M46,0)</f>
        <v>0</v>
      </c>
      <c r="N48" s="1526"/>
      <c r="O48" s="1526">
        <f>IF($U$11="x",'Cash Flow'!O44,0)+IF($U$12="x",'EPC CF'!O46,0)+IF('Global CF'!$U$13="x",'Aff 1 CF'!O46,0)+IF('Global CF'!$U$14="x",'Aff 2 CF'!O46,0)+IF('Global CF'!$U$15="x",'Aff 3 CF'!O46,0)+IF('Global CF'!$U$16="x",'Aff 4 CF'!O46,0)+IF('Global CF'!$U$17="x",'Aff 5 CF'!O46,0)</f>
        <v>0</v>
      </c>
      <c r="P48" s="1526"/>
      <c r="Q48" s="1526">
        <f>IF($U$11="x",'Cash Flow'!Q44,0)+IF($U$12="x",'EPC CF'!Q46,0)+IF('Global CF'!$U$13="x",'Aff 1 CF'!Q46,0)+IF('Global CF'!$U$14="x",'Aff 2 CF'!Q46,0)+IF('Global CF'!$U$15="x",'Aff 3 CF'!Q46,0)+IF('Global CF'!$U$16="x",'Aff 4 CF'!Q46,0)+IF('Global CF'!$U$17="x",'Aff 5 CF'!Q46,0)</f>
        <v>0</v>
      </c>
      <c r="R48" s="288"/>
    </row>
    <row r="49" spans="1:23" ht="15" customHeight="1">
      <c r="A49" s="233" t="s">
        <v>833</v>
      </c>
      <c r="B49" s="1080"/>
      <c r="C49" s="1526">
        <f>IF($U$11="x",'Cash Flow'!C45,0)+IF($U$12="x",'EPC CF'!C45,0)+IF('Global CF'!$U$13="x",'Aff 1 CF'!C45,0)+IF('Global CF'!$U$14="x",'Aff 2 CF'!C45,0)+IF('Global CF'!$U$15="x",'Aff 3 CF'!C45,0)+IF('Global CF'!$U$16="x",'Aff 4 CF'!C45,0)+IF('Global CF'!$U$17="x",'Aff 5 CF'!C45,0)</f>
        <v>0</v>
      </c>
      <c r="D49" s="1526"/>
      <c r="E49" s="1526">
        <f>IF($U$11="x",'Cash Flow'!E45,0)+IF($U$12="x",'EPC CF'!E45,0)+IF('Global CF'!$U$13="x",'Aff 1 CF'!E45,0)+IF('Global CF'!$U$14="x",'Aff 2 CF'!E45,0)+IF('Global CF'!$U$15="x",'Aff 3 CF'!E45,0)+IF('Global CF'!$U$16="x",'Aff 4 CF'!E45,0)+IF('Global CF'!$U$17="x",'Aff 5 CF'!E45,0)</f>
        <v>0</v>
      </c>
      <c r="F49" s="1526"/>
      <c r="G49" s="1526">
        <f>IF($U$11="x",'Cash Flow'!G45,0)+IF($U$12="x",'EPC CF'!G45,0)+IF('Global CF'!$U$13="x",'Aff 1 CF'!G45,0)+IF('Global CF'!$U$14="x",'Aff 2 CF'!G45,0)+IF('Global CF'!$U$15="x",'Aff 3 CF'!G45,0)+IF('Global CF'!$U$16="x",'Aff 4 CF'!G45,0)+IF('Global CF'!$U$17="x",'Aff 5 CF'!G45,0)</f>
        <v>0</v>
      </c>
      <c r="H49" s="1526"/>
      <c r="I49" s="1526">
        <f>IF($U$11="x",'Cash Flow'!I45,0)+IF($U$12="x",'EPC CF'!I45,0)+IF('Global CF'!$U$13="x",'Aff 1 CF'!I45,0)+IF('Global CF'!$U$14="x",'Aff 2 CF'!I45,0)+IF('Global CF'!$U$15="x",'Aff 3 CF'!I45,0)+IF('Global CF'!$U$16="x",'Aff 4 CF'!I45,0)+IF('Global CF'!$U$17="x",'Aff 5 CF'!I45,0)</f>
        <v>0</v>
      </c>
      <c r="J49" s="1526"/>
      <c r="K49" s="1526">
        <f>IF($U$11="x",'Cash Flow'!K45,0)+IF($U$12="x",'EPC CF'!K45,0)+IF('Global CF'!$U$13="x",'Aff 1 CF'!K45,0)+IF('Global CF'!$U$14="x",'Aff 2 CF'!K45,0)+IF('Global CF'!$U$15="x",'Aff 3 CF'!K45,0)+IF('Global CF'!$U$16="x",'Aff 4 CF'!K45,0)+IF('Global CF'!$U$17="x",'Aff 5 CF'!K45,0)</f>
        <v>0</v>
      </c>
      <c r="L49" s="1526"/>
      <c r="M49" s="1526">
        <f>IF($U$11="x",'Cash Flow'!M45,0)+IF($U$12="x",'EPC CF'!M45,0)+IF('Global CF'!$U$13="x",'Aff 1 CF'!M45,0)+IF('Global CF'!$U$14="x",'Aff 2 CF'!M45,0)+IF('Global CF'!$U$15="x",'Aff 3 CF'!M45,0)+IF('Global CF'!$U$16="x",'Aff 4 CF'!M45,0)+IF('Global CF'!$U$17="x",'Aff 5 CF'!M45,0)</f>
        <v>0</v>
      </c>
      <c r="N49" s="1526"/>
      <c r="O49" s="1526">
        <f>IF($U$11="x",'Cash Flow'!O45,0)+IF($U$12="x",'EPC CF'!O45,0)+IF('Global CF'!$U$13="x",'Aff 1 CF'!O45,0)+IF('Global CF'!$U$14="x",'Aff 2 CF'!O45,0)+IF('Global CF'!$U$15="x",'Aff 3 CF'!O45,0)+IF('Global CF'!$U$16="x",'Aff 4 CF'!O45,0)+IF('Global CF'!$U$17="x",'Aff 5 CF'!O45,0)</f>
        <v>0</v>
      </c>
      <c r="P49" s="1526"/>
      <c r="Q49" s="1526">
        <f>IF($U$11="x",'Cash Flow'!Q45,0)+IF($U$12="x",'EPC CF'!Q45,0)+IF('Global CF'!$U$13="x",'Aff 1 CF'!Q45,0)+IF('Global CF'!$U$14="x",'Aff 2 CF'!Q45,0)+IF('Global CF'!$U$15="x",'Aff 3 CF'!Q45,0)+IF('Global CF'!$U$16="x",'Aff 4 CF'!Q45,0)+IF('Global CF'!$U$17="x",'Aff 5 CF'!Q45,0)</f>
        <v>0</v>
      </c>
      <c r="R49" s="288"/>
    </row>
    <row r="50" spans="1:23" ht="15" customHeight="1">
      <c r="A50" s="233" t="s">
        <v>240</v>
      </c>
      <c r="B50" s="1080"/>
      <c r="C50" s="1081">
        <f>IF(C38=0,0,+C$30/(C$48+C$49+C$31+C$34+C$35+C$36+C$37))</f>
        <v>0</v>
      </c>
      <c r="D50" s="1081"/>
      <c r="E50" s="1081">
        <f>IF(E38=0,0,+E$30/(E$48+E$49+E$31+E$34+E$35+E$36+E$37))</f>
        <v>0</v>
      </c>
      <c r="F50" s="1081"/>
      <c r="G50" s="1081">
        <f>IF(G38=0,0,+G$30/(G$48+G$49+G$31+G$34+G$35+G$36+G$37))</f>
        <v>0</v>
      </c>
      <c r="H50" s="1081"/>
      <c r="I50" s="1081">
        <f>IF(I38=0,0,+I$30/(I$48+I$49+I$31+I$34+I$35+I$36+I$37))</f>
        <v>0</v>
      </c>
      <c r="J50" s="1081"/>
      <c r="K50" s="1081">
        <f>IF(K38=0,0,+K$30/(K$48+K$49+K$31+K$34+K$35+K$36+K$37))</f>
        <v>0</v>
      </c>
      <c r="L50" s="1081"/>
      <c r="M50" s="1081">
        <f>IF(M38=0,0,+M$30/(M$48+M$49+M$31+M$34+M$35+M$36+M$37))</f>
        <v>0</v>
      </c>
      <c r="N50" s="1081"/>
      <c r="O50" s="1081">
        <f>IF(O38=0,0,+O$30/(O$48+O$49+O$31+O$34+O$35+O$36+O$37))</f>
        <v>0</v>
      </c>
      <c r="P50" s="1081"/>
      <c r="Q50" s="1081">
        <f>IF(Q38=0,0,+Q$30/(Q$48+Q$49+Q$31+Q$34+Q$35+Q$36+Q$37))</f>
        <v>0</v>
      </c>
      <c r="R50" s="288"/>
    </row>
    <row r="51" spans="1:23" ht="15" customHeight="1">
      <c r="A51" s="233"/>
      <c r="B51" s="1080"/>
      <c r="C51" s="307"/>
      <c r="D51" s="294"/>
      <c r="E51" s="307"/>
      <c r="F51" s="294"/>
      <c r="G51" s="307"/>
      <c r="H51" s="294"/>
      <c r="I51" s="307"/>
      <c r="J51" s="294"/>
      <c r="K51" s="307"/>
      <c r="L51" s="294"/>
      <c r="M51" s="307"/>
      <c r="N51" s="294"/>
      <c r="O51" s="307"/>
      <c r="P51" s="294"/>
      <c r="Q51" s="307"/>
      <c r="R51" s="293"/>
    </row>
    <row r="52" spans="1:23" ht="15" customHeight="1">
      <c r="A52" s="233" t="s">
        <v>834</v>
      </c>
      <c r="B52" s="1080"/>
      <c r="C52" s="1526">
        <f>C$30-C$31-C$34-C$35-C$36-C$37-C53-C54</f>
        <v>0</v>
      </c>
      <c r="D52" s="1526"/>
      <c r="E52" s="1526">
        <f>E$30-E$31-E$34-E$35-E$36-E$37-E53-E54</f>
        <v>0</v>
      </c>
      <c r="F52" s="1526"/>
      <c r="G52" s="1526">
        <f>G$30-G$31-G$34-G$35-G$36-G$37-G53-G54</f>
        <v>0</v>
      </c>
      <c r="H52" s="1526"/>
      <c r="I52" s="1526" t="e">
        <f>I$30-I$31-I$34-I$35-I$36-I$37-I53-I54</f>
        <v>#REF!</v>
      </c>
      <c r="J52" s="1526"/>
      <c r="K52" s="1526">
        <f>K$30-K$31-K$34-K$35-K$36-K$37-K53-K54</f>
        <v>0</v>
      </c>
      <c r="L52" s="1526"/>
      <c r="M52" s="1526">
        <f>M$30-M$31-M$34-M$35-M$36-M$37-M53-M54</f>
        <v>0</v>
      </c>
      <c r="N52" s="1526"/>
      <c r="O52" s="1526">
        <f>O$30-O$31-O$34-O$35-O$36-O$37-O53-O54</f>
        <v>0</v>
      </c>
      <c r="P52" s="1526"/>
      <c r="Q52" s="1526">
        <f>Q$30-Q$31-Q$34-Q$35-Q$36-Q$37-Q53-Q54</f>
        <v>0</v>
      </c>
      <c r="R52" s="293"/>
    </row>
    <row r="53" spans="1:23" ht="15" customHeight="1">
      <c r="A53" s="233" t="s">
        <v>835</v>
      </c>
      <c r="B53" s="1080"/>
      <c r="C53" s="1526">
        <f>IF($U$11="x",'Cash Flow'!C49,0)+IF($U$12="x",'EPC CF'!C52,0)+IF('Global CF'!$U$13="x",'Aff 1 CF'!C52,0)+IF('Global CF'!$U$14="x",'Aff 2 CF'!C52,0)+IF('Global CF'!$U$15="x",'Aff 3 CF'!C52,0)+IF('Global CF'!$U$16="x",'Aff 4 CF'!C52,0)+IF('Global CF'!$U$17="x",'Aff 5 CF'!C52,0)</f>
        <v>0</v>
      </c>
      <c r="D53" s="1526"/>
      <c r="E53" s="1526">
        <f>IF($U$11="x",'Cash Flow'!E49,0)+IF($U$12="x",'EPC CF'!E52,0)+IF('Global CF'!$U$13="x",'Aff 1 CF'!E52,0)+IF('Global CF'!$U$14="x",'Aff 2 CF'!E52,0)+IF('Global CF'!$U$15="x",'Aff 3 CF'!E52,0)+IF('Global CF'!$U$16="x",'Aff 4 CF'!E52,0)+IF('Global CF'!$U$17="x",'Aff 5 CF'!E52,0)</f>
        <v>0</v>
      </c>
      <c r="F53" s="1526"/>
      <c r="G53" s="1526">
        <f>IF($U$11="x",'Cash Flow'!G49,0)+IF($U$12="x",'EPC CF'!G52,0)+IF('Global CF'!$U$13="x",'Aff 1 CF'!G52,0)+IF('Global CF'!$U$14="x",'Aff 2 CF'!G52,0)+IF('Global CF'!$U$15="x",'Aff 3 CF'!G52,0)+IF('Global CF'!$U$16="x",'Aff 4 CF'!G52,0)+IF('Global CF'!$U$17="x",'Aff 5 CF'!G52,0)</f>
        <v>0</v>
      </c>
      <c r="H53" s="1526"/>
      <c r="I53" s="1526">
        <f>IF($U$11="x",'Cash Flow'!I49,0)+IF($U$12="x",'EPC CF'!I52,0)+IF('Global CF'!$U$13="x",'Aff 1 CF'!I52,0)+IF('Global CF'!$U$14="x",'Aff 2 CF'!I52,0)+IF('Global CF'!$U$15="x",'Aff 3 CF'!I52,0)+IF('Global CF'!$U$16="x",'Aff 4 CF'!I52,0)+IF('Global CF'!$U$17="x",'Aff 5 CF'!I52,0)</f>
        <v>0</v>
      </c>
      <c r="J53" s="1526"/>
      <c r="K53" s="1526">
        <f>IF($U$11="x",'Cash Flow'!K49,0)+IF($U$12="x",'EPC CF'!K52,0)+IF('Global CF'!$U$13="x",'Aff 1 CF'!K52,0)+IF('Global CF'!$U$14="x",'Aff 2 CF'!K52,0)+IF('Global CF'!$U$15="x",'Aff 3 CF'!K52,0)+IF('Global CF'!$U$16="x",'Aff 4 CF'!K52,0)+IF('Global CF'!$U$17="x",'Aff 5 CF'!K52,0)</f>
        <v>0</v>
      </c>
      <c r="L53" s="1526"/>
      <c r="M53" s="1526">
        <f>IF($U$11="x",'Cash Flow'!M49,0)+IF($U$12="x",'EPC CF'!M52,0)+IF('Global CF'!$U$13="x",'Aff 1 CF'!M52,0)+IF('Global CF'!$U$14="x",'Aff 2 CF'!M52,0)+IF('Global CF'!$U$15="x",'Aff 3 CF'!M52,0)+IF('Global CF'!$U$16="x",'Aff 4 CF'!M52,0)+IF('Global CF'!$U$17="x",'Aff 5 CF'!M52,0)</f>
        <v>0</v>
      </c>
      <c r="N53" s="1526"/>
      <c r="O53" s="1526">
        <f>IF($U$11="x",'Cash Flow'!O49,0)+IF($U$12="x",'EPC CF'!O52,0)+IF('Global CF'!$U$13="x",'Aff 1 CF'!O52,0)+IF('Global CF'!$U$14="x",'Aff 2 CF'!O52,0)+IF('Global CF'!$U$15="x",'Aff 3 CF'!O52,0)+IF('Global CF'!$U$16="x",'Aff 4 CF'!O52,0)+IF('Global CF'!$U$17="x",'Aff 5 CF'!O52,0)</f>
        <v>0</v>
      </c>
      <c r="P53" s="1526"/>
      <c r="Q53" s="1526">
        <f>IF($U$11="x",'Cash Flow'!Q49,0)+IF($U$12="x",'EPC CF'!Q52,0)+IF('Global CF'!$U$13="x",'Aff 1 CF'!Q52,0)+IF('Global CF'!$U$14="x",'Aff 2 CF'!Q52,0)+IF('Global CF'!$U$15="x",'Aff 3 CF'!Q52,0)+IF('Global CF'!$U$16="x",'Aff 4 CF'!Q52,0)+IF('Global CF'!$U$17="x",'Aff 5 CF'!Q52,0)</f>
        <v>0</v>
      </c>
      <c r="R53" s="293"/>
    </row>
    <row r="54" spans="1:23" ht="15" customHeight="1">
      <c r="A54" s="233" t="s">
        <v>836</v>
      </c>
      <c r="B54" s="1080"/>
      <c r="C54" s="1526">
        <f>IF($U$11="x",'Cash Flow'!C50,0)+IF($U$12="x",'EPC CF'!C50,0)+IF('Global CF'!$U$13="x",'Aff 1 CF'!C50,0)+IF('Global CF'!$U$14="x",'Aff 2 CF'!C50,0)+IF('Global CF'!$U$15="x",'Aff 3 CF'!C50,0)+IF('Global CF'!$U$16="x",'Aff 4 CF'!C50,0)+IF('Global CF'!$U$17="x",'Aff 5 CF'!C50,0)</f>
        <v>0</v>
      </c>
      <c r="D54" s="1526"/>
      <c r="E54" s="1526">
        <f>IF($U$11="x",'Cash Flow'!E50,0)+IF($U$12="x",'EPC CF'!E50,0)+IF('Global CF'!$U$13="x",'Aff 1 CF'!E50,0)+IF('Global CF'!$U$14="x",'Aff 2 CF'!E50,0)+IF('Global CF'!$U$15="x",'Aff 3 CF'!E50,0)+IF('Global CF'!$U$16="x",'Aff 4 CF'!E50,0)+IF('Global CF'!$U$17="x",'Aff 5 CF'!E50,0)</f>
        <v>0</v>
      </c>
      <c r="F54" s="1526"/>
      <c r="G54" s="1526">
        <f>IF($U$11="x",'Cash Flow'!G50,0)+IF($U$12="x",'EPC CF'!G50,0)+IF('Global CF'!$U$13="x",'Aff 1 CF'!G50,0)+IF('Global CF'!$U$14="x",'Aff 2 CF'!G50,0)+IF('Global CF'!$U$15="x",'Aff 3 CF'!G50,0)+IF('Global CF'!$U$16="x",'Aff 4 CF'!G50,0)+IF('Global CF'!$U$17="x",'Aff 5 CF'!G50,0)</f>
        <v>0</v>
      </c>
      <c r="H54" s="1526"/>
      <c r="I54" s="1526">
        <f>IF($U$11="x",'Cash Flow'!I50,0)+IF($U$12="x",'EPC CF'!I50,0)+IF('Global CF'!$U$13="x",'Aff 1 CF'!I50,0)+IF('Global CF'!$U$14="x",'Aff 2 CF'!I50,0)+IF('Global CF'!$U$15="x",'Aff 3 CF'!I50,0)+IF('Global CF'!$U$16="x",'Aff 4 CF'!I50,0)+IF('Global CF'!$U$17="x",'Aff 5 CF'!I50,0)</f>
        <v>0</v>
      </c>
      <c r="J54" s="1526"/>
      <c r="K54" s="1526">
        <f>IF($U$11="x",'Cash Flow'!K50,0)+IF($U$12="x",'EPC CF'!K50,0)+IF('Global CF'!$U$13="x",'Aff 1 CF'!K50,0)+IF('Global CF'!$U$14="x",'Aff 2 CF'!K50,0)+IF('Global CF'!$U$15="x",'Aff 3 CF'!K50,0)+IF('Global CF'!$U$16="x",'Aff 4 CF'!K50,0)+IF('Global CF'!$U$17="x",'Aff 5 CF'!K50,0)</f>
        <v>0</v>
      </c>
      <c r="L54" s="1526"/>
      <c r="M54" s="1526">
        <f>IF($U$11="x",'Cash Flow'!M50,0)+IF($U$12="x",'EPC CF'!M50,0)+IF('Global CF'!$U$13="x",'Aff 1 CF'!M50,0)+IF('Global CF'!$U$14="x",'Aff 2 CF'!M50,0)+IF('Global CF'!$U$15="x",'Aff 3 CF'!M50,0)+IF('Global CF'!$U$16="x",'Aff 4 CF'!M50,0)+IF('Global CF'!$U$17="x",'Aff 5 CF'!M50,0)</f>
        <v>0</v>
      </c>
      <c r="N54" s="1526"/>
      <c r="O54" s="1526">
        <f>IF($U$11="x",'Cash Flow'!O50,0)+IF($U$12="x",'EPC CF'!O50,0)+IF('Global CF'!$U$13="x",'Aff 1 CF'!O50,0)+IF('Global CF'!$U$14="x",'Aff 2 CF'!O50,0)+IF('Global CF'!$U$15="x",'Aff 3 CF'!O50,0)+IF('Global CF'!$U$16="x",'Aff 4 CF'!O50,0)+IF('Global CF'!$U$17="x",'Aff 5 CF'!O50,0)</f>
        <v>0</v>
      </c>
      <c r="P54" s="1526"/>
      <c r="Q54" s="1526">
        <f>IF($U$11="x",'Cash Flow'!Q50,0)+IF($U$12="x",'EPC CF'!Q50,0)+IF('Global CF'!$U$13="x",'Aff 1 CF'!Q50,0)+IF('Global CF'!$U$14="x",'Aff 2 CF'!Q50,0)+IF('Global CF'!$U$15="x",'Aff 3 CF'!Q50,0)+IF('Global CF'!$U$16="x",'Aff 4 CF'!Q50,0)+IF('Global CF'!$U$17="x",'Aff 5 CF'!Q50,0)</f>
        <v>0</v>
      </c>
      <c r="R54" s="293"/>
    </row>
    <row r="55" spans="1:23" ht="15" customHeight="1">
      <c r="A55" s="233" t="s">
        <v>241</v>
      </c>
      <c r="B55" s="1083"/>
      <c r="C55" s="1081">
        <f>IF(C38=0,0,+C$30/(C$53+C$54+C$31+C$34+C$35+C$36+C$37))</f>
        <v>0</v>
      </c>
      <c r="D55" s="1081"/>
      <c r="E55" s="1081">
        <f>IF(E38=0,0,+E$30/(E$53+E$54+E$31+E$34+E$35+E$36+E$37))</f>
        <v>0</v>
      </c>
      <c r="F55" s="1081"/>
      <c r="G55" s="1081">
        <f>IF(G38=0,0,+G$30/(G$53+G$54+G$31+G$34+G$35+G$36+G$37))</f>
        <v>0</v>
      </c>
      <c r="H55" s="1081"/>
      <c r="I55" s="1081">
        <f>IF(I38=0,0,+I$30/(I$53+I$54+I$31+I$34+I$35+I$36+I$37))</f>
        <v>0</v>
      </c>
      <c r="J55" s="1081"/>
      <c r="K55" s="1081">
        <f>IF(K38=0,0,+K$30/(K$53+K$54+K$31+K$34+K$35+K$36+K$37))</f>
        <v>0</v>
      </c>
      <c r="L55" s="1081"/>
      <c r="M55" s="1081">
        <f>IF(M38=0,0,+M$30/(M$53+M$54+M$31+M$34+M$35+M$36+M$37))</f>
        <v>0</v>
      </c>
      <c r="N55" s="1081"/>
      <c r="O55" s="1081">
        <f>IF(O38=0,0,+O$30/(O$53+O$54+O$31+O$34+O$35+O$36+O$37))</f>
        <v>0</v>
      </c>
      <c r="P55" s="1081"/>
      <c r="Q55" s="1081">
        <f>IF(Q38=0,0,+Q$30/(Q$53+Q$54+Q$31+Q$34+Q$35+Q$36+Q$37))</f>
        <v>0</v>
      </c>
      <c r="R55" s="293"/>
      <c r="W55" s="199"/>
    </row>
    <row r="56" spans="1:23" ht="15" customHeight="1" thickBot="1">
      <c r="A56" s="1097"/>
      <c r="B56" s="1640"/>
      <c r="C56" s="1643"/>
      <c r="D56" s="1641"/>
      <c r="E56" s="1643"/>
      <c r="F56" s="1641"/>
      <c r="G56" s="1643"/>
      <c r="H56" s="1641"/>
      <c r="I56" s="1643"/>
      <c r="J56" s="1641"/>
      <c r="K56" s="1643"/>
      <c r="L56" s="1641"/>
      <c r="M56" s="1643"/>
      <c r="N56" s="1641"/>
      <c r="O56" s="1643"/>
      <c r="P56" s="1641"/>
      <c r="Q56" s="1643"/>
      <c r="R56" s="1642"/>
      <c r="T56" s="200"/>
    </row>
    <row r="57" spans="1:23" ht="15" hidden="1" customHeight="1">
      <c r="A57" s="233" t="s">
        <v>837</v>
      </c>
      <c r="B57" s="1080"/>
      <c r="C57" s="1526">
        <f>C$30-C$31-C$34-C$35-C$36-C$37-C58-C59</f>
        <v>0</v>
      </c>
      <c r="D57" s="1526"/>
      <c r="E57" s="1526">
        <f>E$30-E$31-E$34-E$35-E$36-E$37-E58-E59</f>
        <v>0</v>
      </c>
      <c r="F57" s="1526"/>
      <c r="G57" s="1526">
        <f>G$30-G$31-G$34-G$35-G$36-G$37-G58-G59</f>
        <v>0</v>
      </c>
      <c r="H57" s="1526"/>
      <c r="I57" s="1526" t="e">
        <f>I$30-I$31-I$34-I$35-I$36-I$37-I58-I59</f>
        <v>#REF!</v>
      </c>
      <c r="J57" s="1526"/>
      <c r="K57" s="1526">
        <f>K$30-K$31-K$34-K$35-K$36-K$37-K58-K59</f>
        <v>0</v>
      </c>
      <c r="L57" s="1526"/>
      <c r="M57" s="1526">
        <f>M$30-M$31-M$34-M$35-M$36-M$37-M58-M59</f>
        <v>0</v>
      </c>
      <c r="N57" s="1526"/>
      <c r="O57" s="1526">
        <f>O$30-O$31-O$34-O$35-O$36-O$37-O58-O59</f>
        <v>0</v>
      </c>
      <c r="P57" s="1526"/>
      <c r="Q57" s="1526">
        <f>Q$30-Q$31-Q$34-Q$35-Q$36-Q$37-Q58-Q59</f>
        <v>0</v>
      </c>
      <c r="R57" s="293"/>
      <c r="T57" s="201"/>
    </row>
    <row r="58" spans="1:23" ht="15" hidden="1" customHeight="1">
      <c r="A58" s="233" t="s">
        <v>838</v>
      </c>
      <c r="B58" s="1080"/>
      <c r="C58" s="1526">
        <f>IF($U$11="x",'Cash Flow'!C54,0)+IF($U$12="x",'EPC CF'!C57,0)+IF('Global CF'!$U$13="x",'Aff 1 CF'!C57,0)+IF('Global CF'!$U$14="x",'Aff 2 CF'!C57,0)+IF('Global CF'!$U$15="x",'Aff 3 CF'!C57,0)+IF('Global CF'!$U$16="x",'Aff 4 CF'!C57,0)+IF('Global CF'!$U$17="x",'Aff 5 CF'!C57,0)</f>
        <v>0</v>
      </c>
      <c r="D58" s="1526"/>
      <c r="E58" s="1526">
        <f>IF($U$11="x",'Cash Flow'!E54,0)+IF($U$12="x",'EPC CF'!E57,0)+IF('Global CF'!$U$13="x",'Aff 1 CF'!E57,0)+IF('Global CF'!$U$14="x",'Aff 2 CF'!E57,0)+IF('Global CF'!$U$15="x",'Aff 3 CF'!E57,0)+IF('Global CF'!$U$16="x",'Aff 4 CF'!E57,0)+IF('Global CF'!$U$17="x",'Aff 5 CF'!E57,0)</f>
        <v>0</v>
      </c>
      <c r="F58" s="1526"/>
      <c r="G58" s="1526">
        <f>IF($U$11="x",'Cash Flow'!G54,0)+IF($U$12="x",'EPC CF'!G57,0)+IF('Global CF'!$U$13="x",'Aff 1 CF'!G57,0)+IF('Global CF'!$U$14="x",'Aff 2 CF'!G57,0)+IF('Global CF'!$U$15="x",'Aff 3 CF'!G57,0)+IF('Global CF'!$U$16="x",'Aff 4 CF'!G57,0)+IF('Global CF'!$U$17="x",'Aff 5 CF'!G57,0)</f>
        <v>0</v>
      </c>
      <c r="H58" s="1526"/>
      <c r="I58" s="1526">
        <f>IF($U$11="x",'Cash Flow'!I54,0)+IF($U$12="x",'EPC CF'!I57,0)+IF('Global CF'!$U$13="x",'Aff 1 CF'!I57,0)+IF('Global CF'!$U$14="x",'Aff 2 CF'!I57,0)+IF('Global CF'!$U$15="x",'Aff 3 CF'!I57,0)+IF('Global CF'!$U$16="x",'Aff 4 CF'!I57,0)+IF('Global CF'!$U$17="x",'Aff 5 CF'!I57,0)</f>
        <v>0</v>
      </c>
      <c r="J58" s="1526"/>
      <c r="K58" s="1526">
        <f>IF($U$11="x",'Cash Flow'!K54,0)+IF($U$12="x",'EPC CF'!K57,0)+IF('Global CF'!$U$13="x",'Aff 1 CF'!K57,0)+IF('Global CF'!$U$14="x",'Aff 2 CF'!K57,0)+IF('Global CF'!$U$15="x",'Aff 3 CF'!K57,0)+IF('Global CF'!$U$16="x",'Aff 4 CF'!K57,0)+IF('Global CF'!$U$17="x",'Aff 5 CF'!K57,0)</f>
        <v>0</v>
      </c>
      <c r="L58" s="1526"/>
      <c r="M58" s="1526">
        <f>IF($U$11="x",'Cash Flow'!M54,0)+IF($U$12="x",'EPC CF'!M57,0)+IF('Global CF'!$U$13="x",'Aff 1 CF'!M57,0)+IF('Global CF'!$U$14="x",'Aff 2 CF'!M57,0)+IF('Global CF'!$U$15="x",'Aff 3 CF'!M57,0)+IF('Global CF'!$U$16="x",'Aff 4 CF'!M57,0)+IF('Global CF'!$U$17="x",'Aff 5 CF'!M57,0)</f>
        <v>0</v>
      </c>
      <c r="N58" s="1526"/>
      <c r="O58" s="1526">
        <f>IF($U$11="x",'Cash Flow'!O54,0)+IF($U$12="x",'EPC CF'!O57,0)+IF('Global CF'!$U$13="x",'Aff 1 CF'!O57,0)+IF('Global CF'!$U$14="x",'Aff 2 CF'!O57,0)+IF('Global CF'!$U$15="x",'Aff 3 CF'!O57,0)+IF('Global CF'!$U$16="x",'Aff 4 CF'!O57,0)+IF('Global CF'!$U$17="x",'Aff 5 CF'!O57,0)</f>
        <v>0</v>
      </c>
      <c r="P58" s="1526"/>
      <c r="Q58" s="1526">
        <f>IF($U$11="x",'Cash Flow'!Q54,0)+IF($U$12="x",'EPC CF'!Q57,0)+IF('Global CF'!$U$13="x",'Aff 1 CF'!Q57,0)+IF('Global CF'!$U$14="x",'Aff 2 CF'!Q57,0)+IF('Global CF'!$U$15="x",'Aff 3 CF'!Q57,0)+IF('Global CF'!$U$16="x",'Aff 4 CF'!Q57,0)+IF('Global CF'!$U$17="x",'Aff 5 CF'!Q57,0)</f>
        <v>0</v>
      </c>
      <c r="R58" s="293"/>
      <c r="T58" s="201"/>
    </row>
    <row r="59" spans="1:23" ht="15" hidden="1" customHeight="1">
      <c r="A59" s="233" t="s">
        <v>839</v>
      </c>
      <c r="B59" s="1080"/>
      <c r="C59" s="1526">
        <f>IF($U$11="x",'Cash Flow'!C55,0)+IF($U$12="x",'EPC CF'!C55,0)+IF('Global CF'!$U$13="x",'Aff 1 CF'!C55,0)+IF('Global CF'!$U$14="x",'Aff 2 CF'!C55,0)+IF('Global CF'!$U$15="x",'Aff 3 CF'!C55,0)+IF('Global CF'!$U$16="x",'Aff 4 CF'!C55,0)+IF('Global CF'!$U$17="x",'Aff 5 CF'!C55,0)</f>
        <v>0</v>
      </c>
      <c r="D59" s="1526"/>
      <c r="E59" s="1526">
        <f>IF($U$11="x",'Cash Flow'!E55,0)+IF($U$12="x",'EPC CF'!E55,0)+IF('Global CF'!$U$13="x",'Aff 1 CF'!E55,0)+IF('Global CF'!$U$14="x",'Aff 2 CF'!E55,0)+IF('Global CF'!$U$15="x",'Aff 3 CF'!E55,0)+IF('Global CF'!$U$16="x",'Aff 4 CF'!E55,0)+IF('Global CF'!$U$17="x",'Aff 5 CF'!E55,0)</f>
        <v>0</v>
      </c>
      <c r="F59" s="1526"/>
      <c r="G59" s="1526">
        <f>IF($U$11="x",'Cash Flow'!G55,0)+IF($U$12="x",'EPC CF'!G55,0)+IF('Global CF'!$U$13="x",'Aff 1 CF'!G55,0)+IF('Global CF'!$U$14="x",'Aff 2 CF'!G55,0)+IF('Global CF'!$U$15="x",'Aff 3 CF'!G55,0)+IF('Global CF'!$U$16="x",'Aff 4 CF'!G55,0)+IF('Global CF'!$U$17="x",'Aff 5 CF'!G55,0)</f>
        <v>0</v>
      </c>
      <c r="H59" s="1526"/>
      <c r="I59" s="1526">
        <f>IF($U$11="x",'Cash Flow'!I55,0)+IF($U$12="x",'EPC CF'!I55,0)+IF('Global CF'!$U$13="x",'Aff 1 CF'!I55,0)+IF('Global CF'!$U$14="x",'Aff 2 CF'!I55,0)+IF('Global CF'!$U$15="x",'Aff 3 CF'!I55,0)+IF('Global CF'!$U$16="x",'Aff 4 CF'!I55,0)+IF('Global CF'!$U$17="x",'Aff 5 CF'!I55,0)</f>
        <v>0</v>
      </c>
      <c r="J59" s="1526"/>
      <c r="K59" s="1526">
        <f>IF($U$11="x",'Cash Flow'!K55,0)+IF($U$12="x",'EPC CF'!K55,0)+IF('Global CF'!$U$13="x",'Aff 1 CF'!K55,0)+IF('Global CF'!$U$14="x",'Aff 2 CF'!K55,0)+IF('Global CF'!$U$15="x",'Aff 3 CF'!K55,0)+IF('Global CF'!$U$16="x",'Aff 4 CF'!K55,0)+IF('Global CF'!$U$17="x",'Aff 5 CF'!K55,0)</f>
        <v>0</v>
      </c>
      <c r="L59" s="1526"/>
      <c r="M59" s="1526">
        <f>IF($U$11="x",'Cash Flow'!M55,0)+IF($U$12="x",'EPC CF'!M55,0)+IF('Global CF'!$U$13="x",'Aff 1 CF'!M55,0)+IF('Global CF'!$U$14="x",'Aff 2 CF'!M55,0)+IF('Global CF'!$U$15="x",'Aff 3 CF'!M55,0)+IF('Global CF'!$U$16="x",'Aff 4 CF'!M55,0)+IF('Global CF'!$U$17="x",'Aff 5 CF'!M55,0)</f>
        <v>0</v>
      </c>
      <c r="N59" s="1526"/>
      <c r="O59" s="1526">
        <f>IF($U$11="x",'Cash Flow'!O55,0)+IF($U$12="x",'EPC CF'!O55,0)+IF('Global CF'!$U$13="x",'Aff 1 CF'!O55,0)+IF('Global CF'!$U$14="x",'Aff 2 CF'!O55,0)+IF('Global CF'!$U$15="x",'Aff 3 CF'!O55,0)+IF('Global CF'!$U$16="x",'Aff 4 CF'!O55,0)+IF('Global CF'!$U$17="x",'Aff 5 CF'!O55,0)</f>
        <v>0</v>
      </c>
      <c r="P59" s="1526"/>
      <c r="Q59" s="1526">
        <f>IF($U$11="x",'Cash Flow'!Q55,0)+IF($U$12="x",'EPC CF'!Q55,0)+IF('Global CF'!$U$13="x",'Aff 1 CF'!Q55,0)+IF('Global CF'!$U$14="x",'Aff 2 CF'!Q55,0)+IF('Global CF'!$U$15="x",'Aff 3 CF'!Q55,0)+IF('Global CF'!$U$16="x",'Aff 4 CF'!Q55,0)+IF('Global CF'!$U$17="x",'Aff 5 CF'!Q55,0)</f>
        <v>0</v>
      </c>
      <c r="R59" s="293"/>
      <c r="T59" s="200"/>
    </row>
    <row r="60" spans="1:23" ht="15" hidden="1" customHeight="1" thickBot="1">
      <c r="A60" s="1097" t="s">
        <v>840</v>
      </c>
      <c r="B60" s="1640"/>
      <c r="C60" s="1641">
        <f>IF(C38=0,0,+C$30/(C$58+C$59+C$31+C$34+C$35+C$36+C$37))</f>
        <v>0</v>
      </c>
      <c r="D60" s="1641"/>
      <c r="E60" s="1641">
        <f>IF(E38=0,0,+E$30/(E$58+E$59+E$31+E$34+E$35+E$36+E$37))</f>
        <v>0</v>
      </c>
      <c r="F60" s="1641"/>
      <c r="G60" s="1641">
        <f>IF(G38=0,0,+G$30/(G$58+G$59+G$31+G$34+G$35+G$36+G$37))</f>
        <v>0</v>
      </c>
      <c r="H60" s="1641"/>
      <c r="I60" s="1641">
        <f>IF(I38=0,0,+I$30/(I$58+I$59+I$31+I$34+I$35+I$36+I$37))</f>
        <v>0</v>
      </c>
      <c r="J60" s="1641"/>
      <c r="K60" s="1641">
        <f>IF(K38=0,0,+K$30/(K$58+K$59+K$31+K$34+K$35+K$36+K$37))</f>
        <v>0</v>
      </c>
      <c r="L60" s="1641"/>
      <c r="M60" s="1641">
        <f>IF(M38=0,0,+M$30/(M$58+M$59+M$31+M$34+M$35+M$36+M$37))</f>
        <v>0</v>
      </c>
      <c r="N60" s="1641"/>
      <c r="O60" s="1641">
        <f>IF(O38=0,0,+O$30/(O$58+O$59+O$31+O$34+O$35+O$36+O$37))</f>
        <v>0</v>
      </c>
      <c r="P60" s="1641"/>
      <c r="Q60" s="1641">
        <f>IF(Q38=0,0,+Q$30/(Q$58+Q$59+Q$31+Q$34+Q$35+Q$36+Q$37))</f>
        <v>0</v>
      </c>
      <c r="R60" s="1642"/>
      <c r="T60" s="200"/>
    </row>
    <row r="61" spans="1:23" ht="15" hidden="1" customHeight="1">
      <c r="A61" s="900" t="s">
        <v>920</v>
      </c>
      <c r="B61" s="901"/>
      <c r="C61" s="901"/>
      <c r="D61" s="901"/>
      <c r="E61" s="901"/>
      <c r="F61" s="901"/>
      <c r="G61" s="901"/>
      <c r="H61" s="901"/>
      <c r="I61" s="901"/>
      <c r="J61" s="901"/>
      <c r="K61" s="901"/>
      <c r="L61" s="901"/>
      <c r="M61" s="901"/>
      <c r="N61" s="901"/>
      <c r="O61" s="901"/>
      <c r="P61" s="901"/>
      <c r="Q61" s="901"/>
      <c r="R61" s="1084"/>
      <c r="T61" s="200"/>
    </row>
    <row r="62" spans="1:23" ht="15" hidden="1" customHeight="1">
      <c r="A62" s="2964"/>
      <c r="B62" s="2964"/>
      <c r="C62" s="2964"/>
      <c r="D62" s="2964"/>
      <c r="E62" s="2964"/>
      <c r="F62" s="2964"/>
      <c r="G62" s="2964"/>
      <c r="H62" s="2964"/>
      <c r="I62" s="2964"/>
      <c r="J62" s="2964"/>
      <c r="K62" s="2964"/>
      <c r="L62" s="2964"/>
      <c r="M62" s="2964"/>
      <c r="N62" s="2964"/>
      <c r="O62" s="2964"/>
      <c r="P62" s="2964"/>
      <c r="Q62" s="2964"/>
      <c r="R62" s="2964"/>
      <c r="T62" s="200"/>
    </row>
    <row r="63" spans="1:23" ht="16" hidden="1">
      <c r="R63" s="141"/>
      <c r="T63" s="200"/>
    </row>
    <row r="64" spans="1:23" ht="16" hidden="1">
      <c r="T64" s="200"/>
    </row>
    <row r="65" spans="20:20" ht="15" customHeight="1">
      <c r="T65" s="200"/>
    </row>
    <row r="66" spans="20:20" ht="16">
      <c r="T66" s="200"/>
    </row>
    <row r="67" spans="20:20" ht="16">
      <c r="T67" s="200"/>
    </row>
    <row r="68" spans="20:20" ht="16">
      <c r="T68" s="200"/>
    </row>
    <row r="69" spans="20:20" ht="16">
      <c r="T69" s="200"/>
    </row>
    <row r="70" spans="20:20" ht="16">
      <c r="T70" s="200"/>
    </row>
    <row r="71" spans="20:20" ht="16">
      <c r="T71" s="200"/>
    </row>
    <row r="72" spans="20:20" ht="16">
      <c r="T72" s="200"/>
    </row>
    <row r="73" spans="20:20" ht="16">
      <c r="T73" s="200"/>
    </row>
    <row r="74" spans="20:20" ht="16">
      <c r="T74" s="200"/>
    </row>
    <row r="75" spans="20:20" ht="16">
      <c r="T75" s="200"/>
    </row>
    <row r="76" spans="20:20" ht="16">
      <c r="T76" s="200"/>
    </row>
    <row r="77" spans="20:20" ht="16">
      <c r="T77" s="200"/>
    </row>
  </sheetData>
  <sheetProtection algorithmName="SHA-512" hashValue="jAFBaVCRbzLb5N/GPY4P+Mh2E2OrnM7zR1lnhX87XszG+3CQZMdnku7DTK/mXkynDb9U8a30TSmwSj6cbv6GHg==" saltValue="l+SOSsiyZjrMa8lA/7ZFsg==" spinCount="100000" sheet="1" scenarios="1" formatCells="0" formatColumns="0" formatRows="0"/>
  <mergeCells count="29">
    <mergeCell ref="V36:Z36"/>
    <mergeCell ref="V37:Z37"/>
    <mergeCell ref="V22:Z22"/>
    <mergeCell ref="V23:Z23"/>
    <mergeCell ref="V24:Z24"/>
    <mergeCell ref="V25:Z25"/>
    <mergeCell ref="V35:Z35"/>
    <mergeCell ref="Q3:Q4"/>
    <mergeCell ref="G3:G4"/>
    <mergeCell ref="I3:I4"/>
    <mergeCell ref="K3:K4"/>
    <mergeCell ref="M3:M4"/>
    <mergeCell ref="O3:O4"/>
    <mergeCell ref="T10:Z10"/>
    <mergeCell ref="A62:R62"/>
    <mergeCell ref="A38:B38"/>
    <mergeCell ref="A1:R1"/>
    <mergeCell ref="A2:R2"/>
    <mergeCell ref="A17:B17"/>
    <mergeCell ref="A30:B30"/>
    <mergeCell ref="V11:Z11"/>
    <mergeCell ref="V12:Z12"/>
    <mergeCell ref="V13:Z13"/>
    <mergeCell ref="V14:Z14"/>
    <mergeCell ref="V15:Z15"/>
    <mergeCell ref="V16:Z16"/>
    <mergeCell ref="V17:Z17"/>
    <mergeCell ref="C3:C4"/>
    <mergeCell ref="E3:E4"/>
  </mergeCells>
  <hyperlinks>
    <hyperlink ref="U1" location="Index!A1" display="Index" xr:uid="{507D4280-00CB-4F31-A1F5-A63809858973}"/>
  </hyperlinks>
  <printOptions horizontalCentered="1"/>
  <pageMargins left="0.7" right="0.7" top="0.75" bottom="0.75" header="0.3" footer="0.3"/>
  <pageSetup scale="59" orientation="portrait" r:id="rId1"/>
  <headerFooter differentFirst="1">
    <firstHeader>&amp;L&amp;G&amp;C&amp;8
&amp;18Credit Memo</firstHeader>
  </headerFooter>
  <rowBreaks count="1" manualBreakCount="1">
    <brk id="82" max="17" man="1"/>
  </row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00B050"/>
  </sheetPr>
  <dimension ref="A1:O122"/>
  <sheetViews>
    <sheetView showGridLines="0" zoomScale="85" zoomScaleNormal="85" workbookViewId="0">
      <selection activeCell="F18" sqref="F18"/>
    </sheetView>
  </sheetViews>
  <sheetFormatPr baseColWidth="10" defaultColWidth="8.83203125" defaultRowHeight="15"/>
  <cols>
    <col min="1" max="1" width="26.5" bestFit="1" customWidth="1"/>
    <col min="2" max="2" width="4.6640625" customWidth="1"/>
    <col min="3" max="3" width="12.5" bestFit="1" customWidth="1"/>
    <col min="4" max="4" width="8" bestFit="1" customWidth="1"/>
    <col min="5" max="5" width="11.6640625" bestFit="1" customWidth="1"/>
    <col min="6" max="6" width="8" bestFit="1" customWidth="1"/>
    <col min="7" max="7" width="11.6640625" bestFit="1" customWidth="1"/>
    <col min="8" max="8" width="8" bestFit="1" customWidth="1"/>
    <col min="9" max="9" width="11.6640625" bestFit="1" customWidth="1"/>
    <col min="10" max="10" width="8" bestFit="1" customWidth="1"/>
  </cols>
  <sheetData>
    <row r="1" spans="1:15" ht="16">
      <c r="A1" s="2922" t="s">
        <v>921</v>
      </c>
      <c r="B1" s="2923"/>
      <c r="C1" s="2923"/>
      <c r="D1" s="2923"/>
      <c r="E1" s="2923"/>
      <c r="F1" s="2923"/>
      <c r="G1" s="2923"/>
      <c r="H1" s="2923"/>
      <c r="I1" s="2923"/>
      <c r="J1" s="2924"/>
      <c r="M1" s="1179"/>
      <c r="N1" s="1179"/>
      <c r="O1" s="1179"/>
    </row>
    <row r="2" spans="1:15" ht="16">
      <c r="A2" s="2927" t="str">
        <f>'Hist IS and Proj'!B2</f>
        <v>{Insert business name which represents PSOR}</v>
      </c>
      <c r="B2" s="2928"/>
      <c r="C2" s="2928"/>
      <c r="D2" s="2928"/>
      <c r="E2" s="2928"/>
      <c r="F2" s="2928"/>
      <c r="G2" s="2928"/>
      <c r="H2" s="2928"/>
      <c r="I2" s="2928"/>
      <c r="J2" s="2989"/>
      <c r="M2" s="1189"/>
      <c r="N2" s="1189"/>
      <c r="O2" s="1189"/>
    </row>
    <row r="3" spans="1:15" ht="16">
      <c r="A3" s="1155" t="s">
        <v>182</v>
      </c>
      <c r="B3" s="1150"/>
      <c r="C3" s="1190">
        <f>'Hist IS and Proj'!D4</f>
        <v>44561</v>
      </c>
      <c r="D3" s="1151"/>
      <c r="E3" s="1190">
        <f>'Hist IS and Proj'!F4</f>
        <v>44926</v>
      </c>
      <c r="F3" s="1151"/>
      <c r="G3" s="1190">
        <f>'Hist IS and Proj'!H4</f>
        <v>45291</v>
      </c>
      <c r="H3" s="1151"/>
      <c r="I3" s="1190">
        <f>'Hist IS and Proj'!J4</f>
        <v>45657</v>
      </c>
      <c r="J3" s="1154"/>
      <c r="M3" s="1189"/>
      <c r="N3" s="1189"/>
      <c r="O3" s="1189"/>
    </row>
    <row r="4" spans="1:15" ht="16">
      <c r="A4" s="1155" t="s">
        <v>183</v>
      </c>
      <c r="B4" s="1150"/>
      <c r="C4" s="1191">
        <f>'Hist IS and Proj'!D5</f>
        <v>12</v>
      </c>
      <c r="D4" s="1151"/>
      <c r="E4" s="1191">
        <f>'Hist IS and Proj'!F5</f>
        <v>12</v>
      </c>
      <c r="F4" s="1151"/>
      <c r="G4" s="1191">
        <f>'Hist IS and Proj'!H5</f>
        <v>12</v>
      </c>
      <c r="H4" s="1151"/>
      <c r="I4" s="1191" t="e">
        <f>'Hist IS and Proj'!J5</f>
        <v>#REF!</v>
      </c>
      <c r="J4" s="1160"/>
      <c r="M4" s="1189"/>
      <c r="N4" s="1189"/>
      <c r="O4" s="1189"/>
    </row>
    <row r="5" spans="1:15" ht="16">
      <c r="A5" s="1155" t="s">
        <v>185</v>
      </c>
      <c r="B5" s="1150"/>
      <c r="C5" s="1191">
        <f>'Hist IS and Proj'!D6</f>
        <v>0</v>
      </c>
      <c r="D5" s="1162"/>
      <c r="E5" s="1191">
        <f>'Hist IS and Proj'!F6</f>
        <v>0</v>
      </c>
      <c r="F5" s="1162"/>
      <c r="G5" s="1191">
        <f>'Hist IS and Proj'!H6</f>
        <v>0</v>
      </c>
      <c r="H5" s="1162"/>
      <c r="I5" s="1191">
        <f>'Hist IS and Proj'!J6</f>
        <v>0</v>
      </c>
      <c r="J5" s="1160"/>
      <c r="M5" s="1189"/>
      <c r="N5" s="1189"/>
      <c r="O5" s="1189"/>
    </row>
    <row r="6" spans="1:15" ht="16">
      <c r="A6" s="1155" t="s">
        <v>188</v>
      </c>
      <c r="B6" s="1150"/>
      <c r="C6" s="1192">
        <f>'Hist IS and Proj'!D7</f>
        <v>0</v>
      </c>
      <c r="D6" s="1162"/>
      <c r="E6" s="1192">
        <f>'Hist IS and Proj'!F7</f>
        <v>0</v>
      </c>
      <c r="F6" s="1162"/>
      <c r="G6" s="1192">
        <f>'Hist IS and Proj'!H7</f>
        <v>0</v>
      </c>
      <c r="H6" s="1162"/>
      <c r="I6" s="1192">
        <f>'Hist IS and Proj'!J7</f>
        <v>0</v>
      </c>
      <c r="J6" s="1160"/>
      <c r="M6" s="2901"/>
      <c r="N6" s="2901"/>
      <c r="O6" s="2901"/>
    </row>
    <row r="7" spans="1:15" ht="16">
      <c r="A7" s="1161" t="s">
        <v>922</v>
      </c>
      <c r="B7" s="1162" t="s">
        <v>795</v>
      </c>
      <c r="C7" s="1163"/>
      <c r="D7" s="1164"/>
      <c r="E7" s="1163" t="s">
        <v>923</v>
      </c>
      <c r="F7" s="1165"/>
      <c r="G7" s="1163"/>
      <c r="H7" s="1165"/>
      <c r="I7" s="1163"/>
      <c r="J7" s="1166"/>
      <c r="M7" s="2901"/>
      <c r="N7" s="2901"/>
      <c r="O7" s="2901"/>
    </row>
    <row r="8" spans="1:15" ht="16">
      <c r="A8" s="1167" t="s">
        <v>924</v>
      </c>
      <c r="B8" s="891"/>
      <c r="C8" s="308"/>
      <c r="D8" s="1169">
        <f>IF($C$31=0,0,C8/$C$31)</f>
        <v>0</v>
      </c>
      <c r="E8" s="308"/>
      <c r="F8" s="1169">
        <f>IF($E$31=0,0,E8/$E$31)</f>
        <v>0</v>
      </c>
      <c r="G8" s="308"/>
      <c r="H8" s="1169">
        <f>IF($G$31=0,0,G8/$G$31)</f>
        <v>0</v>
      </c>
      <c r="I8" s="308"/>
      <c r="J8" s="1170">
        <f>IF($I$31=0,0,I8/$I$31)</f>
        <v>0</v>
      </c>
      <c r="M8" s="2901"/>
      <c r="N8" s="2901"/>
      <c r="O8" s="2901"/>
    </row>
    <row r="9" spans="1:15"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M9" s="2776"/>
      <c r="N9" s="2776"/>
      <c r="O9" s="2776"/>
    </row>
    <row r="10" spans="1:15" ht="16">
      <c r="A10" s="1167" t="s">
        <v>147</v>
      </c>
      <c r="B10" s="311"/>
      <c r="C10" s="309"/>
      <c r="D10" s="1169">
        <f t="shared" si="0"/>
        <v>0</v>
      </c>
      <c r="E10" s="309"/>
      <c r="F10" s="1169">
        <f t="shared" si="1"/>
        <v>0</v>
      </c>
      <c r="G10" s="309"/>
      <c r="H10" s="1169">
        <f t="shared" si="2"/>
        <v>0</v>
      </c>
      <c r="I10" s="309"/>
      <c r="J10" s="1170">
        <f t="shared" si="3"/>
        <v>0</v>
      </c>
      <c r="M10" s="2776"/>
      <c r="N10" s="2776"/>
      <c r="O10" s="2776"/>
    </row>
    <row r="11" spans="1:15" ht="16">
      <c r="A11" s="1167" t="s">
        <v>926</v>
      </c>
      <c r="B11" s="311"/>
      <c r="C11" s="309"/>
      <c r="D11" s="1169">
        <f t="shared" si="0"/>
        <v>0</v>
      </c>
      <c r="E11" s="309"/>
      <c r="F11" s="1169">
        <f t="shared" si="1"/>
        <v>0</v>
      </c>
      <c r="G11" s="309"/>
      <c r="H11" s="1169">
        <f t="shared" si="2"/>
        <v>0</v>
      </c>
      <c r="I11" s="309"/>
      <c r="J11" s="1170">
        <f t="shared" si="3"/>
        <v>0</v>
      </c>
      <c r="M11" s="2776"/>
      <c r="N11" s="2776"/>
      <c r="O11" s="2776"/>
    </row>
    <row r="12" spans="1:15" ht="16">
      <c r="A12" s="1167" t="s">
        <v>927</v>
      </c>
      <c r="B12" s="311"/>
      <c r="C12" s="309"/>
      <c r="D12" s="1169">
        <f t="shared" si="0"/>
        <v>0</v>
      </c>
      <c r="E12" s="309"/>
      <c r="F12" s="1169">
        <f t="shared" si="1"/>
        <v>0</v>
      </c>
      <c r="G12" s="309"/>
      <c r="H12" s="1169">
        <f t="shared" si="2"/>
        <v>0</v>
      </c>
      <c r="I12" s="309"/>
      <c r="J12" s="1170">
        <f t="shared" si="3"/>
        <v>0</v>
      </c>
      <c r="M12" s="2776"/>
      <c r="N12" s="2776"/>
      <c r="O12" s="2776"/>
    </row>
    <row r="13" spans="1:15" ht="16">
      <c r="A13" s="1167" t="s">
        <v>928</v>
      </c>
      <c r="B13" s="311"/>
      <c r="C13" s="310"/>
      <c r="D13" s="1169">
        <f t="shared" si="0"/>
        <v>0</v>
      </c>
      <c r="E13" s="310"/>
      <c r="F13" s="1169">
        <f t="shared" si="1"/>
        <v>0</v>
      </c>
      <c r="G13" s="310"/>
      <c r="H13" s="1169">
        <f t="shared" si="2"/>
        <v>0</v>
      </c>
      <c r="I13" s="310"/>
      <c r="J13" s="1170">
        <f t="shared" si="3"/>
        <v>0</v>
      </c>
      <c r="M13" s="2776"/>
      <c r="N13" s="2776"/>
      <c r="O13" s="2776"/>
    </row>
    <row r="14" spans="1:15"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M14" s="2776"/>
      <c r="N14" s="2776"/>
      <c r="O14" s="2776"/>
    </row>
    <row r="15" spans="1:15" ht="16">
      <c r="A15" s="1167"/>
      <c r="B15" s="311"/>
      <c r="C15" s="1172"/>
      <c r="D15" s="1169"/>
      <c r="E15" s="1172"/>
      <c r="F15" s="1169"/>
      <c r="G15" s="1172"/>
      <c r="H15" s="1169"/>
      <c r="I15" s="1172"/>
      <c r="J15" s="1170"/>
      <c r="M15" s="2776"/>
      <c r="N15" s="2776"/>
      <c r="O15" s="2776"/>
    </row>
    <row r="16" spans="1:15"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M16" s="2776"/>
      <c r="N16" s="2776"/>
      <c r="O16" s="2776"/>
    </row>
    <row r="17" spans="1:15" ht="16">
      <c r="A17" s="1167" t="s">
        <v>931</v>
      </c>
      <c r="B17" s="311"/>
      <c r="C17" s="309"/>
      <c r="D17" s="1169">
        <f t="shared" si="0"/>
        <v>0</v>
      </c>
      <c r="E17" s="309"/>
      <c r="F17" s="1169">
        <f t="shared" si="4"/>
        <v>0</v>
      </c>
      <c r="G17" s="309"/>
      <c r="H17" s="1169">
        <f t="shared" si="5"/>
        <v>0</v>
      </c>
      <c r="I17" s="309"/>
      <c r="J17" s="1170">
        <f t="shared" si="6"/>
        <v>0</v>
      </c>
      <c r="M17" s="2776"/>
      <c r="N17" s="2776"/>
      <c r="O17" s="2776"/>
    </row>
    <row r="18" spans="1:15" ht="16">
      <c r="A18" s="1167" t="s">
        <v>932</v>
      </c>
      <c r="B18" s="311"/>
      <c r="C18" s="309"/>
      <c r="D18" s="1169">
        <f t="shared" si="0"/>
        <v>0</v>
      </c>
      <c r="E18" s="309"/>
      <c r="F18" s="1169">
        <f t="shared" si="4"/>
        <v>0</v>
      </c>
      <c r="G18" s="309"/>
      <c r="H18" s="1169">
        <f t="shared" si="5"/>
        <v>0</v>
      </c>
      <c r="I18" s="309"/>
      <c r="J18" s="1170">
        <f t="shared" si="6"/>
        <v>0</v>
      </c>
      <c r="M18" s="2776"/>
      <c r="N18" s="2776"/>
      <c r="O18" s="2776"/>
    </row>
    <row r="19" spans="1:15" ht="16">
      <c r="A19" s="1167" t="s">
        <v>933</v>
      </c>
      <c r="B19" s="311"/>
      <c r="C19" s="309"/>
      <c r="D19" s="1169">
        <f t="shared" si="0"/>
        <v>0</v>
      </c>
      <c r="E19" s="309"/>
      <c r="F19" s="1169">
        <f t="shared" si="4"/>
        <v>0</v>
      </c>
      <c r="G19" s="309"/>
      <c r="H19" s="1169">
        <f t="shared" si="5"/>
        <v>0</v>
      </c>
      <c r="I19" s="309"/>
      <c r="J19" s="1170">
        <f t="shared" si="6"/>
        <v>0</v>
      </c>
      <c r="M19" s="2776"/>
      <c r="N19" s="2776"/>
      <c r="O19" s="2776"/>
    </row>
    <row r="20" spans="1:15" ht="16">
      <c r="A20" s="1167" t="s">
        <v>934</v>
      </c>
      <c r="B20" s="311"/>
      <c r="C20" s="309"/>
      <c r="D20" s="1169">
        <f t="shared" si="0"/>
        <v>0</v>
      </c>
      <c r="E20" s="309"/>
      <c r="F20" s="1169">
        <f t="shared" si="4"/>
        <v>0</v>
      </c>
      <c r="G20" s="309"/>
      <c r="H20" s="1169">
        <f t="shared" si="5"/>
        <v>0</v>
      </c>
      <c r="I20" s="309"/>
      <c r="J20" s="1170">
        <f t="shared" si="6"/>
        <v>0</v>
      </c>
      <c r="M20" s="2776"/>
      <c r="N20" s="2776"/>
      <c r="O20" s="2776"/>
    </row>
    <row r="21" spans="1:15" ht="16">
      <c r="A21" s="1167" t="s">
        <v>935</v>
      </c>
      <c r="B21" s="311"/>
      <c r="C21" s="309"/>
      <c r="D21" s="1169">
        <f t="shared" si="0"/>
        <v>0</v>
      </c>
      <c r="E21" s="309"/>
      <c r="F21" s="1169">
        <f t="shared" si="4"/>
        <v>0</v>
      </c>
      <c r="G21" s="309"/>
      <c r="H21" s="1169">
        <f t="shared" si="5"/>
        <v>0</v>
      </c>
      <c r="I21" s="309"/>
      <c r="J21" s="1170">
        <f t="shared" si="6"/>
        <v>0</v>
      </c>
      <c r="M21" s="2776"/>
      <c r="N21" s="2776"/>
      <c r="O21" s="2776"/>
    </row>
    <row r="22" spans="1:15" ht="16">
      <c r="A22" s="1167" t="s">
        <v>936</v>
      </c>
      <c r="B22" s="311"/>
      <c r="C22" s="309"/>
      <c r="D22" s="1169">
        <f t="shared" si="0"/>
        <v>0</v>
      </c>
      <c r="E22" s="309"/>
      <c r="F22" s="1169">
        <f t="shared" si="4"/>
        <v>0</v>
      </c>
      <c r="G22" s="309"/>
      <c r="H22" s="1169">
        <f t="shared" si="5"/>
        <v>0</v>
      </c>
      <c r="I22" s="309"/>
      <c r="J22" s="1170">
        <f t="shared" si="6"/>
        <v>0</v>
      </c>
      <c r="M22" s="2776"/>
      <c r="N22" s="2776"/>
      <c r="O22" s="2776"/>
    </row>
    <row r="23" spans="1:15" ht="16">
      <c r="A23" s="1319" t="s">
        <v>218</v>
      </c>
      <c r="B23" s="311"/>
      <c r="C23" s="309"/>
      <c r="D23" s="1169">
        <f t="shared" si="0"/>
        <v>0</v>
      </c>
      <c r="E23" s="309"/>
      <c r="F23" s="1169">
        <f t="shared" si="4"/>
        <v>0</v>
      </c>
      <c r="G23" s="309"/>
      <c r="H23" s="1169">
        <f t="shared" si="5"/>
        <v>0</v>
      </c>
      <c r="I23" s="309"/>
      <c r="J23" s="1170">
        <f t="shared" si="6"/>
        <v>0</v>
      </c>
      <c r="M23" s="2776"/>
      <c r="N23" s="2776"/>
      <c r="O23" s="2776"/>
    </row>
    <row r="24" spans="1:15" ht="16">
      <c r="A24" s="1167" t="s">
        <v>937</v>
      </c>
      <c r="B24" s="311"/>
      <c r="C24" s="310"/>
      <c r="D24" s="1169">
        <f t="shared" si="0"/>
        <v>0</v>
      </c>
      <c r="E24" s="310"/>
      <c r="F24" s="1169">
        <f t="shared" si="4"/>
        <v>0</v>
      </c>
      <c r="G24" s="310"/>
      <c r="H24" s="1169">
        <f t="shared" si="5"/>
        <v>0</v>
      </c>
      <c r="I24" s="310"/>
      <c r="J24" s="1170">
        <f t="shared" si="6"/>
        <v>0</v>
      </c>
      <c r="M24" s="2776"/>
      <c r="N24" s="2776"/>
      <c r="O24" s="2776"/>
    </row>
    <row r="25" spans="1:15"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M25" s="2776"/>
      <c r="N25" s="2776"/>
      <c r="O25" s="2776"/>
    </row>
    <row r="26" spans="1:15" ht="16">
      <c r="A26" s="1167"/>
      <c r="B26" s="311"/>
      <c r="C26" s="1172"/>
      <c r="D26" s="1169"/>
      <c r="E26" s="1172"/>
      <c r="F26" s="1169"/>
      <c r="G26" s="1172"/>
      <c r="H26" s="1169"/>
      <c r="I26" s="1172"/>
      <c r="J26" s="1170"/>
      <c r="M26" s="2776"/>
      <c r="N26" s="2776"/>
      <c r="O26" s="2776"/>
    </row>
    <row r="27" spans="1:15"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M27" s="2776"/>
      <c r="N27" s="2776"/>
      <c r="O27" s="2776"/>
    </row>
    <row r="28" spans="1:15" ht="16">
      <c r="A28" s="1167" t="s">
        <v>940</v>
      </c>
      <c r="B28" s="311"/>
      <c r="C28" s="309"/>
      <c r="D28" s="1169">
        <f t="shared" si="0"/>
        <v>0</v>
      </c>
      <c r="E28" s="309"/>
      <c r="F28" s="1169">
        <f t="shared" si="7"/>
        <v>0</v>
      </c>
      <c r="G28" s="309"/>
      <c r="H28" s="1169">
        <f t="shared" si="8"/>
        <v>0</v>
      </c>
      <c r="I28" s="309"/>
      <c r="J28" s="1170">
        <f t="shared" si="9"/>
        <v>0</v>
      </c>
      <c r="M28" s="2776"/>
      <c r="N28" s="2776"/>
      <c r="O28" s="2776"/>
    </row>
    <row r="29" spans="1:15" ht="16">
      <c r="A29" s="1319" t="s">
        <v>941</v>
      </c>
      <c r="B29" s="311"/>
      <c r="C29" s="310"/>
      <c r="D29" s="1169">
        <f t="shared" si="0"/>
        <v>0</v>
      </c>
      <c r="E29" s="310"/>
      <c r="F29" s="1169">
        <f t="shared" si="7"/>
        <v>0</v>
      </c>
      <c r="G29" s="310"/>
      <c r="H29" s="1169">
        <f t="shared" si="8"/>
        <v>0</v>
      </c>
      <c r="I29" s="310"/>
      <c r="J29" s="1170">
        <f t="shared" si="9"/>
        <v>0</v>
      </c>
      <c r="M29" s="2776"/>
      <c r="N29" s="2776"/>
      <c r="O29" s="2776"/>
    </row>
    <row r="30" spans="1:15"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M30" s="2776"/>
      <c r="N30" s="2776"/>
      <c r="O30" s="2776"/>
    </row>
    <row r="31" spans="1:15"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15"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'Hist IS and Proj'!D60</f>
        <v>0</v>
      </c>
      <c r="D64" s="1193"/>
      <c r="E64" s="1196">
        <f>'Hist IS and Proj'!F60</f>
        <v>0</v>
      </c>
      <c r="F64" s="1194"/>
      <c r="G64" s="1196">
        <f>'Hist IS and Proj'!H60</f>
        <v>0</v>
      </c>
      <c r="H64" s="1195"/>
      <c r="I64" s="1196">
        <f>'Hist IS and Proj'!J60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6">
      <c r="A69" s="1167" t="s">
        <v>975</v>
      </c>
      <c r="B69" s="311"/>
      <c r="C69" s="309"/>
      <c r="D69" s="1193"/>
      <c r="E69" s="309"/>
      <c r="F69" s="1194"/>
      <c r="G69" s="309"/>
      <c r="H69" s="1195"/>
      <c r="I69" s="309"/>
      <c r="J69" s="1154"/>
    </row>
    <row r="70" spans="1:10" ht="16">
      <c r="A70" s="1167" t="s">
        <v>976</v>
      </c>
      <c r="B70" s="311"/>
      <c r="C70" s="309"/>
      <c r="D70" s="1193"/>
      <c r="E70" s="309"/>
      <c r="F70" s="1194"/>
      <c r="G70" s="309"/>
      <c r="H70" s="1195"/>
      <c r="I70" s="309"/>
      <c r="J70" s="1154"/>
    </row>
    <row r="71" spans="1:10" ht="16">
      <c r="A71" s="1167" t="s">
        <v>977</v>
      </c>
      <c r="B71" s="311"/>
      <c r="C71" s="309"/>
      <c r="D71" s="1193"/>
      <c r="E71" s="309"/>
      <c r="F71" s="1194"/>
      <c r="G71" s="309"/>
      <c r="H71" s="1195"/>
      <c r="I71" s="309"/>
      <c r="J71" s="1154"/>
    </row>
    <row r="72" spans="1:10" ht="16">
      <c r="A72" s="1167" t="s">
        <v>292</v>
      </c>
      <c r="B72" s="311"/>
      <c r="C72" s="309"/>
      <c r="D72" s="1193"/>
      <c r="E72" s="309"/>
      <c r="F72" s="1194"/>
      <c r="G72" s="309"/>
      <c r="H72" s="1195"/>
      <c r="I72" s="309"/>
      <c r="J72" s="1154"/>
    </row>
    <row r="73" spans="1:10" ht="16">
      <c r="A73" s="1167" t="s">
        <v>962</v>
      </c>
      <c r="B73" s="311"/>
      <c r="C73" s="309"/>
      <c r="D73" s="1193"/>
      <c r="E73" s="309"/>
      <c r="F73" s="1194"/>
      <c r="G73" s="309"/>
      <c r="H73" s="1195"/>
      <c r="I73" s="309"/>
      <c r="J73" s="1154"/>
    </row>
    <row r="74" spans="1:10" ht="16">
      <c r="A74" s="1167" t="s">
        <v>978</v>
      </c>
      <c r="B74" s="311"/>
      <c r="C74" s="309"/>
      <c r="D74" s="1193"/>
      <c r="E74" s="309"/>
      <c r="F74" s="1194"/>
      <c r="G74" s="309"/>
      <c r="H74" s="1195"/>
      <c r="I74" s="309"/>
      <c r="J74" s="1154"/>
    </row>
    <row r="75" spans="1:10" ht="16">
      <c r="A75" s="1167" t="s">
        <v>979</v>
      </c>
      <c r="B75" s="311"/>
      <c r="C75" s="309"/>
      <c r="D75" s="1193"/>
      <c r="E75" s="309"/>
      <c r="F75" s="1194"/>
      <c r="G75" s="309"/>
      <c r="H75" s="1195"/>
      <c r="I75" s="309"/>
      <c r="J75" s="1154"/>
    </row>
    <row r="76" spans="1:10" ht="16">
      <c r="A76" s="1167" t="s">
        <v>980</v>
      </c>
      <c r="B76" s="311"/>
      <c r="C76" s="1196">
        <f>SUM(C63:C75)</f>
        <v>0</v>
      </c>
      <c r="D76" s="1197"/>
      <c r="E76" s="1196">
        <f>SUM(E63:E75)</f>
        <v>0</v>
      </c>
      <c r="F76" s="1197"/>
      <c r="G76" s="1196">
        <f>SUM(G63:G75)</f>
        <v>0</v>
      </c>
      <c r="H76" s="1163"/>
      <c r="I76" s="1196">
        <f>SUM(I63:I75)</f>
        <v>0</v>
      </c>
      <c r="J76" s="1154"/>
    </row>
    <row r="77" spans="1:10" ht="17" thickBot="1">
      <c r="A77" s="1198" t="s">
        <v>981</v>
      </c>
      <c r="B77" s="1204"/>
      <c r="C77" s="1199">
        <f>C76-C57</f>
        <v>0</v>
      </c>
      <c r="D77" s="124"/>
      <c r="E77" s="1199">
        <f>E76-E57</f>
        <v>0</v>
      </c>
      <c r="F77" s="124"/>
      <c r="G77" s="1199">
        <f>G76-G57</f>
        <v>0</v>
      </c>
      <c r="H77" s="124"/>
      <c r="I77" s="1199">
        <f>I76-I57</f>
        <v>0</v>
      </c>
      <c r="J77" s="1200"/>
    </row>
    <row r="78" spans="1:10" ht="17" thickBot="1">
      <c r="A78" s="2946" t="s">
        <v>982</v>
      </c>
      <c r="B78" s="2947"/>
      <c r="C78" s="2947"/>
      <c r="D78" s="2947"/>
      <c r="E78" s="2947"/>
      <c r="F78" s="2947"/>
      <c r="G78" s="2947"/>
      <c r="H78" s="2947"/>
      <c r="I78" s="2947"/>
      <c r="J78" s="2948"/>
    </row>
    <row r="79" spans="1:10" ht="15" customHeight="1">
      <c r="A79" s="2987"/>
      <c r="B79" s="2879"/>
      <c r="C79" s="2879"/>
      <c r="D79" s="2879"/>
      <c r="E79" s="2879"/>
      <c r="F79" s="2879"/>
      <c r="G79" s="2879"/>
      <c r="H79" s="2879"/>
      <c r="I79" s="2879"/>
      <c r="J79" s="2988"/>
    </row>
    <row r="80" spans="1:10" ht="15" customHeight="1">
      <c r="A80" s="2985"/>
      <c r="B80" s="2777"/>
      <c r="C80" s="2777"/>
      <c r="D80" s="2777"/>
      <c r="E80" s="2777"/>
      <c r="F80" s="2777"/>
      <c r="G80" s="2777"/>
      <c r="H80" s="2777"/>
      <c r="I80" s="2777"/>
      <c r="J80" s="2986"/>
    </row>
    <row r="81" spans="1:10" ht="15" customHeight="1">
      <c r="A81" s="2985"/>
      <c r="B81" s="2777"/>
      <c r="C81" s="2777"/>
      <c r="D81" s="2777"/>
      <c r="E81" s="2777"/>
      <c r="F81" s="2777"/>
      <c r="G81" s="2777"/>
      <c r="H81" s="2777"/>
      <c r="I81" s="2777"/>
      <c r="J81" s="2986"/>
    </row>
    <row r="82" spans="1:10" ht="15" customHeight="1">
      <c r="A82" s="2985"/>
      <c r="B82" s="2777"/>
      <c r="C82" s="2777"/>
      <c r="D82" s="2777"/>
      <c r="E82" s="2777"/>
      <c r="F82" s="2777"/>
      <c r="G82" s="2777"/>
      <c r="H82" s="2777"/>
      <c r="I82" s="2777"/>
      <c r="J82" s="2986"/>
    </row>
    <row r="83" spans="1:10" ht="15" customHeight="1">
      <c r="A83" s="2985"/>
      <c r="B83" s="2777"/>
      <c r="C83" s="2777"/>
      <c r="D83" s="2777"/>
      <c r="E83" s="2777"/>
      <c r="F83" s="2777"/>
      <c r="G83" s="2777"/>
      <c r="H83" s="2777"/>
      <c r="I83" s="2777"/>
      <c r="J83" s="2986"/>
    </row>
    <row r="84" spans="1:10" ht="15" customHeight="1">
      <c r="A84" s="2985"/>
      <c r="B84" s="2777"/>
      <c r="C84" s="2777"/>
      <c r="D84" s="2777"/>
      <c r="E84" s="2777"/>
      <c r="F84" s="2777"/>
      <c r="G84" s="2777"/>
      <c r="H84" s="2777"/>
      <c r="I84" s="2777"/>
      <c r="J84" s="2986"/>
    </row>
    <row r="85" spans="1:10" ht="15" customHeight="1">
      <c r="A85" s="2985"/>
      <c r="B85" s="2777"/>
      <c r="C85" s="2777"/>
      <c r="D85" s="2777"/>
      <c r="E85" s="2777"/>
      <c r="F85" s="2777"/>
      <c r="G85" s="2777"/>
      <c r="H85" s="2777"/>
      <c r="I85" s="2777"/>
      <c r="J85" s="2986"/>
    </row>
    <row r="86" spans="1:10" ht="15" customHeight="1">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GrGIRv8tsc6ec5AaDGWTl8qzBtbR5hiiTthf055PDDzz+kvM4KLM40Iwmx799yWE4j+QY++iOfmvMeXeUfYNEg==" saltValue="9tFjVKBP3aszJtqJJ841DA==" spinCount="100000" sheet="1" scenarios="1" formatCells="0" formatColumns="0" formatRows="0"/>
  <customSheetViews>
    <customSheetView guid="{EDC0EC15-0264-48C8-A990-093960AE8EF3}" scale="85" showPageBreaks="1" showGridLines="0" printArea="1">
      <selection activeCell="C8" sqref="C8"/>
      <rowBreaks count="1" manualBreakCount="1">
        <brk id="67" max="9"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6E1FDEE6-49D0-4876-8C7C-09893145D2CE}" scale="85" showPageBreaks="1" showGridLines="0" printArea="1">
      <selection activeCell="C8" sqref="C8"/>
      <rowBreaks count="1" manualBreakCount="1">
        <brk id="67" max="9"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DB1F6E98-7FCC-445F-9DA6-47D8BF8BE969}" scale="85" showPageBreaks="1" showGridLines="0" printArea="1">
      <selection activeCell="C8" sqref="C8"/>
      <rowBreaks count="1" manualBreakCount="1">
        <brk id="67" max="9" man="1"/>
      </rowBreaks>
      <pageMargins left="0" right="0" top="0" bottom="0" header="0" footer="0"/>
      <printOptions horizontalCentered="1"/>
      <pageSetup scale="64" orientation="portrait" r:id="rId3"/>
      <headerFooter differentFirst="1">
        <firstHeader>&amp;L&amp;G&amp;C&amp;8
&amp;18Credit Memo</firstHeader>
      </headerFooter>
    </customSheetView>
    <customSheetView guid="{C02CA8E5-5D4C-45E5-BC4A-4C9BE481059B}" scale="85" showPageBreaks="1" showGridLines="0" printArea="1">
      <selection activeCell="C8" sqref="C8"/>
      <rowBreaks count="1" manualBreakCount="1">
        <brk id="67" max="9" man="1"/>
      </rowBreaks>
      <pageMargins left="0" right="0" top="0" bottom="0" header="0" footer="0"/>
      <printOptions horizontalCentered="1"/>
      <pageSetup scale="64" orientation="portrait" r:id="rId4"/>
      <headerFooter differentFirst="1">
        <firstHeader>&amp;L&amp;G&amp;C&amp;8
&amp;18Credit Memo</firstHeader>
      </headerFooter>
    </customSheetView>
  </customSheetViews>
  <mergeCells count="79">
    <mergeCell ref="M33:O33"/>
    <mergeCell ref="M34:O34"/>
    <mergeCell ref="M35:O35"/>
    <mergeCell ref="M27:O27"/>
    <mergeCell ref="M28:O28"/>
    <mergeCell ref="M29:O29"/>
    <mergeCell ref="M30:O30"/>
    <mergeCell ref="M31:O31"/>
    <mergeCell ref="M23:O23"/>
    <mergeCell ref="M24:O24"/>
    <mergeCell ref="M25:O25"/>
    <mergeCell ref="M26:O26"/>
    <mergeCell ref="M32:O32"/>
    <mergeCell ref="M18:O18"/>
    <mergeCell ref="M19:O19"/>
    <mergeCell ref="M20:O20"/>
    <mergeCell ref="M21:O21"/>
    <mergeCell ref="M22:O22"/>
    <mergeCell ref="M8:O8"/>
    <mergeCell ref="A78:J78"/>
    <mergeCell ref="A1:J1"/>
    <mergeCell ref="A2:J2"/>
    <mergeCell ref="A62:J62"/>
    <mergeCell ref="M6:O6"/>
    <mergeCell ref="M7:O7"/>
    <mergeCell ref="M9:O9"/>
    <mergeCell ref="M10:O10"/>
    <mergeCell ref="M11:O11"/>
    <mergeCell ref="M12:O12"/>
    <mergeCell ref="M13:O13"/>
    <mergeCell ref="M14:O14"/>
    <mergeCell ref="M15:O15"/>
    <mergeCell ref="M16:O16"/>
    <mergeCell ref="M17:O17"/>
    <mergeCell ref="A79:J79"/>
    <mergeCell ref="A80:J80"/>
    <mergeCell ref="A81:J81"/>
    <mergeCell ref="A82:J82"/>
    <mergeCell ref="A83:J83"/>
    <mergeCell ref="A89:J89"/>
    <mergeCell ref="A90:J90"/>
    <mergeCell ref="A91:J91"/>
    <mergeCell ref="A84:J84"/>
    <mergeCell ref="A85:J85"/>
    <mergeCell ref="A86:J86"/>
    <mergeCell ref="A87:J87"/>
    <mergeCell ref="A88:J88"/>
    <mergeCell ref="A92:J92"/>
    <mergeCell ref="A93:J93"/>
    <mergeCell ref="A94:J94"/>
    <mergeCell ref="A95:J95"/>
    <mergeCell ref="A96:J96"/>
    <mergeCell ref="A97:J97"/>
    <mergeCell ref="A98:J98"/>
    <mergeCell ref="A99:J99"/>
    <mergeCell ref="A100:J100"/>
    <mergeCell ref="A101:J101"/>
    <mergeCell ref="A111:J111"/>
    <mergeCell ref="A102:J102"/>
    <mergeCell ref="A103:J103"/>
    <mergeCell ref="A104:J104"/>
    <mergeCell ref="A105:J105"/>
    <mergeCell ref="A106:J106"/>
    <mergeCell ref="A61:J61"/>
    <mergeCell ref="A122:J122"/>
    <mergeCell ref="A117:J117"/>
    <mergeCell ref="A118:J118"/>
    <mergeCell ref="A119:J119"/>
    <mergeCell ref="A120:J120"/>
    <mergeCell ref="A121:J121"/>
    <mergeCell ref="A112:J112"/>
    <mergeCell ref="A113:J113"/>
    <mergeCell ref="A114:J114"/>
    <mergeCell ref="A115:J115"/>
    <mergeCell ref="A116:J116"/>
    <mergeCell ref="A107:J107"/>
    <mergeCell ref="A108:J108"/>
    <mergeCell ref="A109:J109"/>
    <mergeCell ref="A110:J110"/>
  </mergeCells>
  <printOptions horizontalCentered="1"/>
  <pageMargins left="0.7" right="0.7" top="0.75" bottom="0.75" header="0.3" footer="0.3"/>
  <pageSetup scale="65" fitToHeight="0" orientation="portrait" r:id="rId5"/>
  <headerFooter differentFirst="1">
    <firstHeader>&amp;L&amp;G&amp;C&amp;8
&amp;18Credit Memo</firstHeader>
  </headerFooter>
  <rowBreaks count="1" manualBreakCount="1">
    <brk id="60" max="9" man="1"/>
  </rowBreaks>
  <drawing r:id="rId6"/>
  <legacyDrawing r:id="rId7"/>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00B050"/>
    <pageSetUpPr autoPageBreaks="0"/>
  </sheetPr>
  <dimension ref="A1:O74"/>
  <sheetViews>
    <sheetView showGridLines="0" zoomScale="85" zoomScaleNormal="85" workbookViewId="0">
      <selection activeCell="F18" sqref="F18"/>
    </sheetView>
  </sheetViews>
  <sheetFormatPr baseColWidth="10" defaultColWidth="8.83203125" defaultRowHeight="15"/>
  <cols>
    <col min="1" max="1" width="33.5" bestFit="1" customWidth="1"/>
    <col min="2" max="2" width="4.6640625" customWidth="1"/>
    <col min="3" max="3" width="9.83203125" bestFit="1" customWidth="1"/>
    <col min="4" max="4" width="8" bestFit="1" customWidth="1"/>
    <col min="5" max="5" width="13.5" customWidth="1"/>
    <col min="6" max="6" width="5.6640625" customWidth="1"/>
    <col min="7" max="7" width="15.33203125" customWidth="1"/>
    <col min="8" max="8" width="5.6640625" customWidth="1"/>
    <col min="9" max="9" width="17" customWidth="1"/>
    <col min="10" max="10" width="8" bestFit="1" customWidth="1"/>
  </cols>
  <sheetData>
    <row r="1" spans="1:15" ht="16">
      <c r="A1" s="2922" t="s">
        <v>983</v>
      </c>
      <c r="B1" s="2923"/>
      <c r="C1" s="2923"/>
      <c r="D1" s="2923"/>
      <c r="E1" s="2923"/>
      <c r="F1" s="2923"/>
      <c r="G1" s="2923"/>
      <c r="H1" s="2923"/>
      <c r="I1" s="2923"/>
      <c r="J1" s="2924"/>
      <c r="M1" s="1179"/>
      <c r="N1" s="1179"/>
      <c r="O1" s="1179"/>
    </row>
    <row r="2" spans="1:15" ht="16">
      <c r="A2" s="2927" t="str">
        <f>'Hist IS and Proj'!B2</f>
        <v>{Insert business name which represents PSOR}</v>
      </c>
      <c r="B2" s="2928"/>
      <c r="C2" s="2928"/>
      <c r="D2" s="2928"/>
      <c r="E2" s="2928"/>
      <c r="F2" s="2928"/>
      <c r="G2" s="2928"/>
      <c r="H2" s="2928"/>
      <c r="I2" s="2928"/>
      <c r="J2" s="2989"/>
    </row>
    <row r="3" spans="1:15" ht="16">
      <c r="A3" s="1147" t="s">
        <v>984</v>
      </c>
      <c r="B3" s="2994"/>
      <c r="C3" s="2995"/>
      <c r="D3" s="1148"/>
      <c r="E3" s="1148"/>
      <c r="F3" s="1148"/>
      <c r="G3" s="1148"/>
      <c r="H3" s="1148"/>
      <c r="I3" s="1148"/>
      <c r="J3" s="1149"/>
    </row>
    <row r="4" spans="1:15" ht="16">
      <c r="A4" s="121"/>
      <c r="B4" s="1150"/>
      <c r="C4" s="122"/>
      <c r="D4" s="1151"/>
      <c r="E4" s="1152"/>
      <c r="F4" s="1151"/>
      <c r="G4" s="1152"/>
      <c r="H4" s="1151"/>
      <c r="I4" s="1153"/>
      <c r="J4" s="1154"/>
    </row>
    <row r="5" spans="1:15" ht="16">
      <c r="A5" s="1155" t="s">
        <v>182</v>
      </c>
      <c r="B5" s="1150"/>
      <c r="C5" s="1156">
        <f>IF(B3="Interim",'Hist BS'!I3,'Hist BS'!G3)</f>
        <v>45291</v>
      </c>
      <c r="D5" s="1157"/>
      <c r="E5" s="1158" t="s">
        <v>985</v>
      </c>
      <c r="F5" s="1159"/>
      <c r="G5" s="1158" t="s">
        <v>986</v>
      </c>
      <c r="H5" s="1159"/>
      <c r="I5" s="1156" t="s">
        <v>755</v>
      </c>
      <c r="J5" s="1160"/>
    </row>
    <row r="6" spans="1:15" ht="16">
      <c r="A6" s="1161" t="s">
        <v>922</v>
      </c>
      <c r="B6" s="1162" t="s">
        <v>795</v>
      </c>
      <c r="C6" s="1163"/>
      <c r="D6" s="1164"/>
      <c r="E6" s="1163"/>
      <c r="F6" s="1165" t="s">
        <v>795</v>
      </c>
      <c r="G6" s="1163"/>
      <c r="H6" s="1165" t="s">
        <v>795</v>
      </c>
      <c r="I6" s="1163"/>
      <c r="J6" s="1166"/>
    </row>
    <row r="7" spans="1:15" ht="16">
      <c r="A7" s="1167" t="s">
        <v>924</v>
      </c>
      <c r="B7" s="891"/>
      <c r="C7" s="1168">
        <f>IF($B$3="New BS",0,IF($B$3="Interim",'Hist BS'!I8,'Hist BS'!G8))</f>
        <v>0</v>
      </c>
      <c r="D7" s="1169">
        <f>IF($C$30=0,0,C7/$C$30)</f>
        <v>0</v>
      </c>
      <c r="E7" s="308">
        <f>UOP!$H$10+UOP!$H$11</f>
        <v>0</v>
      </c>
      <c r="F7" s="1462"/>
      <c r="G7" s="308"/>
      <c r="H7" s="1462"/>
      <c r="I7" s="1168">
        <f>+C7+E7-G7</f>
        <v>0</v>
      </c>
      <c r="J7" s="1170">
        <f>IF($I$30=0,0,I7/$I$30)</f>
        <v>0</v>
      </c>
    </row>
    <row r="8" spans="1:15" ht="16">
      <c r="A8" s="1167" t="s">
        <v>925</v>
      </c>
      <c r="B8" s="311"/>
      <c r="C8" s="1171">
        <f>IF($B$3="New BS",0,IF($B$3="Interim",'Hist BS'!I9,'Hist BS'!G9))</f>
        <v>0</v>
      </c>
      <c r="D8" s="1169">
        <f t="shared" ref="D8:D30" si="0">IF($C$30=0,0,C8/$C$30)</f>
        <v>0</v>
      </c>
      <c r="E8" s="309"/>
      <c r="F8" s="1462"/>
      <c r="G8" s="309"/>
      <c r="H8" s="1462"/>
      <c r="I8" s="1171">
        <f t="shared" ref="I8:I12" si="1">+C8+E8-G8</f>
        <v>0</v>
      </c>
      <c r="J8" s="1170">
        <f t="shared" ref="J8:J13" si="2">IF($I$30=0,0,I8/$I$30)</f>
        <v>0</v>
      </c>
    </row>
    <row r="9" spans="1:15" ht="16">
      <c r="A9" s="1167" t="s">
        <v>147</v>
      </c>
      <c r="B9" s="311"/>
      <c r="C9" s="1171">
        <f>IF($B$3="New BS",0,IF($B$3="Interim",'Hist BS'!I10,'Hist BS'!G10))</f>
        <v>0</v>
      </c>
      <c r="D9" s="1169">
        <f t="shared" si="0"/>
        <v>0</v>
      </c>
      <c r="E9" s="309">
        <f>UOP!$H$9</f>
        <v>0</v>
      </c>
      <c r="F9" s="1462"/>
      <c r="G9" s="309"/>
      <c r="H9" s="1462"/>
      <c r="I9" s="1171">
        <f t="shared" si="1"/>
        <v>0</v>
      </c>
      <c r="J9" s="1170">
        <f t="shared" si="2"/>
        <v>0</v>
      </c>
    </row>
    <row r="10" spans="1:15" ht="16">
      <c r="A10" s="1167" t="s">
        <v>926</v>
      </c>
      <c r="B10" s="311"/>
      <c r="C10" s="1171">
        <f>IF($B$3="New BS",0,IF($B$3="Interim",'Hist BS'!I11,'Hist BS'!G11))</f>
        <v>0</v>
      </c>
      <c r="D10" s="1169">
        <f t="shared" si="0"/>
        <v>0</v>
      </c>
      <c r="E10" s="309"/>
      <c r="F10" s="1462"/>
      <c r="G10" s="309"/>
      <c r="H10" s="1462"/>
      <c r="I10" s="1171">
        <f t="shared" si="1"/>
        <v>0</v>
      </c>
      <c r="J10" s="1170">
        <f t="shared" si="2"/>
        <v>0</v>
      </c>
    </row>
    <row r="11" spans="1:15" ht="16">
      <c r="A11" s="1167" t="s">
        <v>927</v>
      </c>
      <c r="B11" s="311"/>
      <c r="C11" s="1171">
        <f>IF($B$3="New BS",0,IF($B$3="Interim",'Hist BS'!I12,'Hist BS'!G12))</f>
        <v>0</v>
      </c>
      <c r="D11" s="1169">
        <f t="shared" si="0"/>
        <v>0</v>
      </c>
      <c r="E11" s="309"/>
      <c r="F11" s="1462"/>
      <c r="G11" s="309"/>
      <c r="H11" s="1462"/>
      <c r="I11" s="1171">
        <f t="shared" si="1"/>
        <v>0</v>
      </c>
      <c r="J11" s="1170">
        <f t="shared" si="2"/>
        <v>0</v>
      </c>
    </row>
    <row r="12" spans="1:15" ht="16">
      <c r="A12" s="1319" t="s">
        <v>928</v>
      </c>
      <c r="B12" s="311"/>
      <c r="C12" s="1172">
        <f>IF($B$3="New BS",0,IF($B$3="Interim",'Hist BS'!I13,'Hist BS'!G13))</f>
        <v>0</v>
      </c>
      <c r="D12" s="1169">
        <f t="shared" si="0"/>
        <v>0</v>
      </c>
      <c r="E12" s="310"/>
      <c r="F12" s="1462"/>
      <c r="G12" s="310"/>
      <c r="H12" s="1462"/>
      <c r="I12" s="1172">
        <f t="shared" si="1"/>
        <v>0</v>
      </c>
      <c r="J12" s="1170">
        <f t="shared" si="2"/>
        <v>0</v>
      </c>
    </row>
    <row r="13" spans="1:15" ht="16">
      <c r="A13" s="1161" t="s">
        <v>929</v>
      </c>
      <c r="B13" s="1178"/>
      <c r="C13" s="643">
        <f>SUM(C7:C12)</f>
        <v>0</v>
      </c>
      <c r="D13" s="1169">
        <f t="shared" si="0"/>
        <v>0</v>
      </c>
      <c r="E13" s="643"/>
      <c r="F13" s="1462"/>
      <c r="G13" s="643"/>
      <c r="H13" s="1462"/>
      <c r="I13" s="643">
        <f>SUM(I7:I12)</f>
        <v>0</v>
      </c>
      <c r="J13" s="1170">
        <f t="shared" si="2"/>
        <v>0</v>
      </c>
    </row>
    <row r="14" spans="1:15" ht="16">
      <c r="A14" s="1167"/>
      <c r="B14" s="311"/>
      <c r="C14" s="1172"/>
      <c r="D14" s="1169"/>
      <c r="E14" s="1172"/>
      <c r="F14" s="1462"/>
      <c r="G14" s="1172"/>
      <c r="H14" s="1462"/>
      <c r="I14" s="1172"/>
      <c r="J14" s="1170"/>
    </row>
    <row r="15" spans="1:15" ht="16">
      <c r="A15" s="1167" t="s">
        <v>930</v>
      </c>
      <c r="B15" s="311"/>
      <c r="C15" s="1171">
        <f>IF($B$3="New BS",0,IF($B$3="Interim",'Hist BS'!I16,'Hist BS'!G16))</f>
        <v>0</v>
      </c>
      <c r="D15" s="1169">
        <f t="shared" si="0"/>
        <v>0</v>
      </c>
      <c r="E15" s="309"/>
      <c r="F15" s="1462"/>
      <c r="G15" s="309"/>
      <c r="H15" s="1462"/>
      <c r="I15" s="1171">
        <f t="shared" ref="I15:I23" si="3">+C15+E15-G15</f>
        <v>0</v>
      </c>
      <c r="J15" s="1170">
        <f t="shared" ref="J15:J24" si="4">IF($I$30=0,0,I15/$I$30)</f>
        <v>0</v>
      </c>
    </row>
    <row r="16" spans="1:15" ht="16">
      <c r="A16" s="1167" t="s">
        <v>931</v>
      </c>
      <c r="B16" s="311"/>
      <c r="C16" s="1171">
        <f>IF($B$3="New BS",0,IF($B$3="Interim",'Hist BS'!I17,'Hist BS'!G17))</f>
        <v>0</v>
      </c>
      <c r="D16" s="1169">
        <f t="shared" si="0"/>
        <v>0</v>
      </c>
      <c r="E16" s="309">
        <f>+UOP!$H$4+UOP!$H$37+UOP!$H$56</f>
        <v>0</v>
      </c>
      <c r="F16" s="1462"/>
      <c r="G16" s="309">
        <f>UOP!$H$5</f>
        <v>0</v>
      </c>
      <c r="H16" s="1462"/>
      <c r="I16" s="1171">
        <f t="shared" si="3"/>
        <v>0</v>
      </c>
      <c r="J16" s="1170">
        <f t="shared" si="4"/>
        <v>0</v>
      </c>
    </row>
    <row r="17" spans="1:10" ht="16">
      <c r="A17" s="1167" t="s">
        <v>932</v>
      </c>
      <c r="B17" s="311"/>
      <c r="C17" s="1171">
        <f>IF($B$3="New BS",0,IF($B$3="Interim",'Hist BS'!I18,'Hist BS'!G18))</f>
        <v>0</v>
      </c>
      <c r="D17" s="1169">
        <f t="shared" si="0"/>
        <v>0</v>
      </c>
      <c r="E17" s="309">
        <f>UOP!$H$7+UOP!$H$38</f>
        <v>0</v>
      </c>
      <c r="F17" s="1462"/>
      <c r="G17" s="309"/>
      <c r="H17" s="1462"/>
      <c r="I17" s="1171">
        <f t="shared" si="3"/>
        <v>0</v>
      </c>
      <c r="J17" s="1170">
        <f t="shared" si="4"/>
        <v>0</v>
      </c>
    </row>
    <row r="18" spans="1:10" ht="16">
      <c r="A18" s="1167" t="s">
        <v>933</v>
      </c>
      <c r="B18" s="311"/>
      <c r="C18" s="1171">
        <f>IF($B$3="New BS",0,IF($B$3="Interim",'Hist BS'!I19,'Hist BS'!G19))</f>
        <v>0</v>
      </c>
      <c r="D18" s="1169">
        <f t="shared" si="0"/>
        <v>0</v>
      </c>
      <c r="E18" s="309"/>
      <c r="F18" s="1462"/>
      <c r="G18" s="309"/>
      <c r="H18" s="1462"/>
      <c r="I18" s="1171">
        <f t="shared" si="3"/>
        <v>0</v>
      </c>
      <c r="J18" s="1170">
        <f t="shared" si="4"/>
        <v>0</v>
      </c>
    </row>
    <row r="19" spans="1:10" ht="16">
      <c r="A19" s="1167" t="s">
        <v>934</v>
      </c>
      <c r="B19" s="311"/>
      <c r="C19" s="1171">
        <f>IF($B$3="New BS",0,IF($B$3="Interim",'Hist BS'!I20,'Hist BS'!G20))</f>
        <v>0</v>
      </c>
      <c r="D19" s="1169">
        <f t="shared" si="0"/>
        <v>0</v>
      </c>
      <c r="E19" s="309">
        <f>UOP!$H$8</f>
        <v>0</v>
      </c>
      <c r="F19" s="1462"/>
      <c r="G19" s="309"/>
      <c r="H19" s="1462"/>
      <c r="I19" s="1171">
        <f t="shared" si="3"/>
        <v>0</v>
      </c>
      <c r="J19" s="1170">
        <f t="shared" si="4"/>
        <v>0</v>
      </c>
    </row>
    <row r="20" spans="1:10" ht="16">
      <c r="A20" s="1167" t="s">
        <v>935</v>
      </c>
      <c r="B20" s="311"/>
      <c r="C20" s="1171">
        <f>IF($B$3="New BS",0,IF($B$3="Interim",'Hist BS'!I21,'Hist BS'!G21))</f>
        <v>0</v>
      </c>
      <c r="D20" s="1169">
        <f t="shared" si="0"/>
        <v>0</v>
      </c>
      <c r="E20" s="309"/>
      <c r="F20" s="1462"/>
      <c r="G20" s="309"/>
      <c r="H20" s="1462"/>
      <c r="I20" s="1171">
        <f t="shared" si="3"/>
        <v>0</v>
      </c>
      <c r="J20" s="1170">
        <f t="shared" si="4"/>
        <v>0</v>
      </c>
    </row>
    <row r="21" spans="1:10" ht="16">
      <c r="A21" s="1167" t="s">
        <v>936</v>
      </c>
      <c r="B21" s="311"/>
      <c r="C21" s="1171">
        <f>IF($B$3="New BS",0,IF($B$3="Interim",'Hist BS'!I22,'Hist BS'!G22))</f>
        <v>0</v>
      </c>
      <c r="D21" s="1169">
        <f t="shared" si="0"/>
        <v>0</v>
      </c>
      <c r="E21" s="309"/>
      <c r="F21" s="1462"/>
      <c r="G21" s="309"/>
      <c r="H21" s="1462"/>
      <c r="I21" s="1171">
        <f t="shared" si="3"/>
        <v>0</v>
      </c>
      <c r="J21" s="1170">
        <f t="shared" si="4"/>
        <v>0</v>
      </c>
    </row>
    <row r="22" spans="1:10" ht="16">
      <c r="A22" s="1319" t="s">
        <v>218</v>
      </c>
      <c r="B22" s="311"/>
      <c r="C22" s="1171">
        <f>IF($B$3="New BS",0,IF($B$3="Interim",'Hist BS'!I23,'Hist BS'!G23))</f>
        <v>0</v>
      </c>
      <c r="D22" s="1169">
        <f t="shared" si="0"/>
        <v>0</v>
      </c>
      <c r="E22" s="309"/>
      <c r="F22" s="1462"/>
      <c r="G22" s="309">
        <f>UOP!$H$6</f>
        <v>0</v>
      </c>
      <c r="H22" s="1462"/>
      <c r="I22" s="1171">
        <f t="shared" si="3"/>
        <v>0</v>
      </c>
      <c r="J22" s="1170">
        <f t="shared" si="4"/>
        <v>0</v>
      </c>
    </row>
    <row r="23" spans="1:10" ht="16">
      <c r="A23" s="1167" t="s">
        <v>937</v>
      </c>
      <c r="B23" s="311"/>
      <c r="C23" s="1172">
        <f>IF($B$3="New BS",0,IF($B$3="Interim",'Hist BS'!I24,'Hist BS'!G24))</f>
        <v>0</v>
      </c>
      <c r="D23" s="1169">
        <f t="shared" si="0"/>
        <v>0</v>
      </c>
      <c r="E23" s="310"/>
      <c r="F23" s="1462"/>
      <c r="G23" s="310"/>
      <c r="H23" s="1462"/>
      <c r="I23" s="1172">
        <f t="shared" si="3"/>
        <v>0</v>
      </c>
      <c r="J23" s="1170">
        <f t="shared" si="4"/>
        <v>0</v>
      </c>
    </row>
    <row r="24" spans="1:10" ht="16">
      <c r="A24" s="1161" t="s">
        <v>938</v>
      </c>
      <c r="B24" s="1178"/>
      <c r="C24" s="643">
        <f>SUM(C15:C23)</f>
        <v>0</v>
      </c>
      <c r="D24" s="1169">
        <f t="shared" si="0"/>
        <v>0</v>
      </c>
      <c r="E24" s="643"/>
      <c r="F24" s="1462"/>
      <c r="G24" s="643"/>
      <c r="H24" s="1462"/>
      <c r="I24" s="643">
        <f>SUM(I15:I23)</f>
        <v>0</v>
      </c>
      <c r="J24" s="1170">
        <f t="shared" si="4"/>
        <v>0</v>
      </c>
    </row>
    <row r="25" spans="1:10" ht="16">
      <c r="A25" s="1167"/>
      <c r="B25" s="311"/>
      <c r="C25" s="1172"/>
      <c r="D25" s="1169"/>
      <c r="E25" s="1172"/>
      <c r="F25" s="1462"/>
      <c r="G25" s="1172"/>
      <c r="H25" s="1462"/>
      <c r="I25" s="1172"/>
      <c r="J25" s="1170"/>
    </row>
    <row r="26" spans="1:10" ht="16">
      <c r="A26" s="1167" t="s">
        <v>939</v>
      </c>
      <c r="B26" s="311"/>
      <c r="C26" s="1171">
        <f>IF($B$3="New BS",0,IF($B$3="Interim",'Hist BS'!I27,'Hist BS'!G27))</f>
        <v>0</v>
      </c>
      <c r="D26" s="1169">
        <f t="shared" si="0"/>
        <v>0</v>
      </c>
      <c r="E26" s="309"/>
      <c r="F26" s="1462"/>
      <c r="G26" s="309"/>
      <c r="H26" s="1462"/>
      <c r="I26" s="1171">
        <f t="shared" ref="I26:I28" si="5">+C26+E26-G26</f>
        <v>0</v>
      </c>
      <c r="J26" s="1170">
        <f t="shared" ref="J26:J30" si="6">IF($I$30=0,0,I26/$I$30)</f>
        <v>0</v>
      </c>
    </row>
    <row r="27" spans="1:10" ht="16">
      <c r="A27" s="1167" t="s">
        <v>940</v>
      </c>
      <c r="B27" s="311"/>
      <c r="C27" s="1171">
        <f>IF($B$3="New BS",0,IF($B$3="Interim",'Hist BS'!I28,'Hist BS'!G28))</f>
        <v>0</v>
      </c>
      <c r="D27" s="1169">
        <f t="shared" si="0"/>
        <v>0</v>
      </c>
      <c r="E27" s="309">
        <f>UOP!$H$12+UOP!$H$13+UOP!$H$34</f>
        <v>0</v>
      </c>
      <c r="F27" s="1462"/>
      <c r="G27" s="309"/>
      <c r="H27" s="1462"/>
      <c r="I27" s="1171">
        <f t="shared" si="5"/>
        <v>0</v>
      </c>
      <c r="J27" s="1170">
        <f t="shared" si="6"/>
        <v>0</v>
      </c>
    </row>
    <row r="28" spans="1:10" ht="16">
      <c r="A28" s="1319" t="s">
        <v>941</v>
      </c>
      <c r="B28" s="311"/>
      <c r="C28" s="1172">
        <f>IF($B$3="New BS",0,IF($B$3="Interim",'Hist BS'!I29,'Hist BS'!G29))</f>
        <v>0</v>
      </c>
      <c r="D28" s="1169">
        <f t="shared" si="0"/>
        <v>0</v>
      </c>
      <c r="E28" s="310"/>
      <c r="F28" s="1462"/>
      <c r="G28" s="310"/>
      <c r="H28" s="1462"/>
      <c r="I28" s="1172">
        <f t="shared" si="5"/>
        <v>0</v>
      </c>
      <c r="J28" s="1170">
        <f t="shared" si="6"/>
        <v>0</v>
      </c>
    </row>
    <row r="29" spans="1:10" ht="16">
      <c r="A29" s="1161" t="s">
        <v>942</v>
      </c>
      <c r="B29" s="1178"/>
      <c r="C29" s="645">
        <f>SUM(C26:C28)</f>
        <v>0</v>
      </c>
      <c r="D29" s="1169">
        <f t="shared" si="0"/>
        <v>0</v>
      </c>
      <c r="E29" s="645"/>
      <c r="F29" s="1462"/>
      <c r="G29" s="645"/>
      <c r="H29" s="1462"/>
      <c r="I29" s="645">
        <f>SUM(I26:I28)</f>
        <v>0</v>
      </c>
      <c r="J29" s="1170">
        <f t="shared" si="6"/>
        <v>0</v>
      </c>
    </row>
    <row r="30" spans="1:10" ht="16">
      <c r="A30" s="1161" t="s">
        <v>943</v>
      </c>
      <c r="B30" s="1178"/>
      <c r="C30" s="643">
        <f>C13+C24+C29</f>
        <v>0</v>
      </c>
      <c r="D30" s="1169">
        <f t="shared" si="0"/>
        <v>0</v>
      </c>
      <c r="E30" s="643"/>
      <c r="F30" s="1462"/>
      <c r="G30" s="643"/>
      <c r="H30" s="1462"/>
      <c r="I30" s="643">
        <f>I13+I24+I29</f>
        <v>0</v>
      </c>
      <c r="J30" s="1170">
        <f t="shared" si="6"/>
        <v>0</v>
      </c>
    </row>
    <row r="31" spans="1:10" ht="16">
      <c r="A31" s="1167"/>
      <c r="B31" s="311"/>
      <c r="C31" s="1168"/>
      <c r="D31" s="1169"/>
      <c r="E31" s="1168"/>
      <c r="F31" s="1462"/>
      <c r="G31" s="1168"/>
      <c r="H31" s="1462"/>
      <c r="I31" s="1168"/>
      <c r="J31" s="1170"/>
    </row>
    <row r="32" spans="1:10" ht="16">
      <c r="A32" s="1161" t="s">
        <v>944</v>
      </c>
      <c r="B32" s="311"/>
      <c r="C32" s="1172"/>
      <c r="D32" s="1169"/>
      <c r="E32" s="1172"/>
      <c r="F32" s="1462"/>
      <c r="G32" s="1172"/>
      <c r="H32" s="1462"/>
      <c r="I32" s="1172"/>
      <c r="J32" s="1170"/>
    </row>
    <row r="33" spans="1:10" ht="16">
      <c r="A33" s="1167" t="s">
        <v>945</v>
      </c>
      <c r="B33" s="311"/>
      <c r="C33" s="1171">
        <f>IF($B$3="New BS",0,IF($B$3="Interim",'Hist BS'!I34,'Hist BS'!G34))</f>
        <v>0</v>
      </c>
      <c r="D33" s="1169">
        <f t="shared" ref="D33:D39" si="7">IF($C$30=0,0,C33/$C$30)</f>
        <v>0</v>
      </c>
      <c r="E33" s="309"/>
      <c r="F33" s="1462"/>
      <c r="G33" s="309"/>
      <c r="H33" s="1462"/>
      <c r="I33" s="1171">
        <f t="shared" ref="I33:I38" si="8">+C33-E33+G33</f>
        <v>0</v>
      </c>
      <c r="J33" s="1170">
        <f t="shared" ref="J33:J39" si="9">IF($I$30=0,0,I33/$I$30)</f>
        <v>0</v>
      </c>
    </row>
    <row r="34" spans="1:10" ht="16">
      <c r="A34" s="1167" t="s">
        <v>946</v>
      </c>
      <c r="B34" s="311"/>
      <c r="C34" s="1171">
        <f>IF($B$3="New BS",0,IF($B$3="Interim",'Hist BS'!I35,'Hist BS'!G35))</f>
        <v>0</v>
      </c>
      <c r="D34" s="1169">
        <f t="shared" si="7"/>
        <v>0</v>
      </c>
      <c r="E34" s="309"/>
      <c r="F34" s="1462"/>
      <c r="G34" s="309"/>
      <c r="H34" s="1462"/>
      <c r="I34" s="1171">
        <f t="shared" si="8"/>
        <v>0</v>
      </c>
      <c r="J34" s="1170">
        <f t="shared" si="9"/>
        <v>0</v>
      </c>
    </row>
    <row r="35" spans="1:10" ht="16">
      <c r="A35" s="1167" t="s">
        <v>947</v>
      </c>
      <c r="B35" s="311"/>
      <c r="C35" s="1171">
        <f>IF($B$3="New BS",0,IF($B$3="Interim",'Hist BS'!I36,'Hist BS'!G36))</f>
        <v>0</v>
      </c>
      <c r="D35" s="1169">
        <f t="shared" si="7"/>
        <v>0</v>
      </c>
      <c r="E35" s="309"/>
      <c r="F35" s="1462"/>
      <c r="G35" s="309"/>
      <c r="H35" s="1462"/>
      <c r="I35" s="1171">
        <f t="shared" si="8"/>
        <v>0</v>
      </c>
      <c r="J35" s="1170">
        <f t="shared" si="9"/>
        <v>0</v>
      </c>
    </row>
    <row r="36" spans="1:10" ht="16">
      <c r="A36" s="1167" t="s">
        <v>948</v>
      </c>
      <c r="B36" s="311"/>
      <c r="C36" s="1171">
        <f>IF($B$3="New BS",0,IF($B$3="Interim",'Hist BS'!I37,'Hist BS'!G37))</f>
        <v>0</v>
      </c>
      <c r="D36" s="1169">
        <f t="shared" si="7"/>
        <v>0</v>
      </c>
      <c r="E36" s="309"/>
      <c r="F36" s="1462"/>
      <c r="G36" s="309"/>
      <c r="H36" s="1462"/>
      <c r="I36" s="1171">
        <f t="shared" si="8"/>
        <v>0</v>
      </c>
      <c r="J36" s="1170">
        <f t="shared" si="9"/>
        <v>0</v>
      </c>
    </row>
    <row r="37" spans="1:10" ht="16">
      <c r="A37" s="1319" t="s">
        <v>949</v>
      </c>
      <c r="B37" s="311"/>
      <c r="C37" s="1171">
        <f>IF($B$3="New BS",0,IF($B$3="Interim",'Hist BS'!I38,'Hist BS'!G38))</f>
        <v>0</v>
      </c>
      <c r="D37" s="1169">
        <f t="shared" si="7"/>
        <v>0</v>
      </c>
      <c r="E37" s="309"/>
      <c r="F37" s="1462"/>
      <c r="G37" s="309">
        <f>'Amort Sch'!M19+'Amort Sch (2)'!M19</f>
        <v>0</v>
      </c>
      <c r="H37" s="1462"/>
      <c r="I37" s="1171">
        <f t="shared" si="8"/>
        <v>0</v>
      </c>
      <c r="J37" s="1170">
        <f t="shared" si="9"/>
        <v>0</v>
      </c>
    </row>
    <row r="38" spans="1:10" ht="16">
      <c r="A38" s="1167" t="s">
        <v>950</v>
      </c>
      <c r="B38" s="311"/>
      <c r="C38" s="1172">
        <f>IF($B$3="New BS",0,IF($B$3="Interim",'Hist BS'!I39,'Hist BS'!G39))</f>
        <v>0</v>
      </c>
      <c r="D38" s="1169">
        <f t="shared" si="7"/>
        <v>0</v>
      </c>
      <c r="E38" s="310"/>
      <c r="F38" s="1462"/>
      <c r="G38" s="310"/>
      <c r="H38" s="1462"/>
      <c r="I38" s="1172">
        <f t="shared" si="8"/>
        <v>0</v>
      </c>
      <c r="J38" s="1170">
        <f t="shared" si="9"/>
        <v>0</v>
      </c>
    </row>
    <row r="39" spans="1:10" ht="16">
      <c r="A39" s="1161" t="s">
        <v>951</v>
      </c>
      <c r="B39" s="1178"/>
      <c r="C39" s="643">
        <f>SUM(C33:C38)</f>
        <v>0</v>
      </c>
      <c r="D39" s="1169">
        <f t="shared" si="7"/>
        <v>0</v>
      </c>
      <c r="E39" s="643"/>
      <c r="F39" s="1462"/>
      <c r="G39" s="643"/>
      <c r="H39" s="1462"/>
      <c r="I39" s="643">
        <f>SUM(I33:I38)</f>
        <v>0</v>
      </c>
      <c r="J39" s="1170">
        <f t="shared" si="9"/>
        <v>0</v>
      </c>
    </row>
    <row r="40" spans="1:10" ht="16">
      <c r="A40" s="1167"/>
      <c r="B40" s="311"/>
      <c r="C40" s="1172"/>
      <c r="D40" s="1169"/>
      <c r="E40" s="1172"/>
      <c r="F40" s="1462"/>
      <c r="G40" s="1172"/>
      <c r="H40" s="1462"/>
      <c r="I40" s="1172"/>
      <c r="J40" s="1170"/>
    </row>
    <row r="41" spans="1:10" ht="16">
      <c r="A41" s="1167" t="s">
        <v>952</v>
      </c>
      <c r="B41" s="311"/>
      <c r="C41" s="1171">
        <f>IF($B$3="New BS",0,IF($B$3="Interim",'Hist BS'!I42,'Hist BS'!G42))</f>
        <v>0</v>
      </c>
      <c r="D41" s="1169">
        <f t="shared" ref="D41:D45" si="10">IF($C$30=0,0,C41/$C$30)</f>
        <v>0</v>
      </c>
      <c r="E41" s="309"/>
      <c r="F41" s="1462"/>
      <c r="G41" s="309"/>
      <c r="H41" s="1462"/>
      <c r="I41" s="1171">
        <f>+C41-E41+G41</f>
        <v>0</v>
      </c>
      <c r="J41" s="1170">
        <f t="shared" ref="J41:J45" si="11">IF($I$30=0,0,I41/$I$30)</f>
        <v>0</v>
      </c>
    </row>
    <row r="42" spans="1:10" ht="16">
      <c r="A42" s="1167" t="s">
        <v>953</v>
      </c>
      <c r="B42" s="311"/>
      <c r="C42" s="1171">
        <f>IF($B$3="New BS",0,IF($B$3="Interim",'Hist BS'!I43,'Hist BS'!G43))</f>
        <v>0</v>
      </c>
      <c r="D42" s="1169">
        <f t="shared" si="10"/>
        <v>0</v>
      </c>
      <c r="E42" s="309"/>
      <c r="F42" s="1462"/>
      <c r="G42" s="309">
        <f>UOP!D59+UOP!F59+UOP!G59+'UOP (2)'!D59+'UOP (2)'!F59+'UOP (2)'!G59-G37</f>
        <v>0</v>
      </c>
      <c r="H42" s="1462"/>
      <c r="I42" s="1171">
        <f>+C42-E42+G42</f>
        <v>0</v>
      </c>
      <c r="J42" s="1170">
        <f t="shared" si="11"/>
        <v>0</v>
      </c>
    </row>
    <row r="43" spans="1:10" ht="16">
      <c r="A43" s="1167" t="s">
        <v>954</v>
      </c>
      <c r="B43" s="311"/>
      <c r="C43" s="1171">
        <f>IF($B$3="New BS",0,IF($B$3="Interim",'Hist BS'!I44,'Hist BS'!G44))</f>
        <v>0</v>
      </c>
      <c r="D43" s="1169">
        <f t="shared" si="10"/>
        <v>0</v>
      </c>
      <c r="E43" s="309"/>
      <c r="F43" s="1462"/>
      <c r="G43" s="309"/>
      <c r="H43" s="1462"/>
      <c r="I43" s="1171">
        <f>+C43-E43+G43</f>
        <v>0</v>
      </c>
      <c r="J43" s="1170">
        <f t="shared" si="11"/>
        <v>0</v>
      </c>
    </row>
    <row r="44" spans="1:10" ht="16">
      <c r="A44" s="1319" t="s">
        <v>955</v>
      </c>
      <c r="B44" s="311"/>
      <c r="C44" s="1172">
        <f>IF($B$3="New BS",0,IF($B$3="Interim",'Hist BS'!I45,'Hist BS'!G45))</f>
        <v>0</v>
      </c>
      <c r="D44" s="1169">
        <f t="shared" si="10"/>
        <v>0</v>
      </c>
      <c r="E44" s="310"/>
      <c r="F44" s="1462"/>
      <c r="G44" s="310"/>
      <c r="H44" s="1462"/>
      <c r="I44" s="1172">
        <f>+C44-E44+G44</f>
        <v>0</v>
      </c>
      <c r="J44" s="1170">
        <f t="shared" si="11"/>
        <v>0</v>
      </c>
    </row>
    <row r="45" spans="1:10" ht="16">
      <c r="A45" s="1161" t="s">
        <v>956</v>
      </c>
      <c r="B45" s="1178"/>
      <c r="C45" s="643">
        <f>SUM(C41:C44)</f>
        <v>0</v>
      </c>
      <c r="D45" s="1169">
        <f t="shared" si="10"/>
        <v>0</v>
      </c>
      <c r="E45" s="643"/>
      <c r="F45" s="1462"/>
      <c r="G45" s="643"/>
      <c r="H45" s="1462"/>
      <c r="I45" s="643">
        <f>SUM(I41:I44)</f>
        <v>0</v>
      </c>
      <c r="J45" s="1170">
        <f t="shared" si="11"/>
        <v>0</v>
      </c>
    </row>
    <row r="46" spans="1:10" ht="16">
      <c r="A46" s="1167"/>
      <c r="B46" s="311"/>
      <c r="C46" s="1172"/>
      <c r="D46" s="1169"/>
      <c r="E46" s="1172"/>
      <c r="F46" s="1462"/>
      <c r="G46" s="1172"/>
      <c r="H46" s="1462"/>
      <c r="I46" s="1172"/>
      <c r="J46" s="1170"/>
    </row>
    <row r="47" spans="1:10" ht="16">
      <c r="A47" s="1167" t="s">
        <v>957</v>
      </c>
      <c r="B47" s="311"/>
      <c r="C47" s="1171">
        <f>IF($B$3="New BS",0,IF($B$3="Interim",'Hist BS'!I48,'Hist BS'!G48))</f>
        <v>0</v>
      </c>
      <c r="D47" s="1169">
        <f t="shared" ref="D47:D50" si="12">IF($C$30=0,0,C47/$C$30)</f>
        <v>0</v>
      </c>
      <c r="E47" s="309"/>
      <c r="F47" s="1462"/>
      <c r="G47" s="309"/>
      <c r="H47" s="1462"/>
      <c r="I47" s="1171">
        <f>+C47-E47+G47</f>
        <v>0</v>
      </c>
      <c r="J47" s="1170">
        <f t="shared" ref="J47:J50" si="13">IF($I$30=0,0,I47/$I$30)</f>
        <v>0</v>
      </c>
    </row>
    <row r="48" spans="1:10" ht="16">
      <c r="A48" s="1319" t="s">
        <v>958</v>
      </c>
      <c r="B48" s="311"/>
      <c r="C48" s="1172">
        <f>IF($B$3="New BS",0,IF($B$3="Interim",'Hist BS'!I49,'Hist BS'!G49))</f>
        <v>0</v>
      </c>
      <c r="D48" s="1169">
        <f t="shared" si="12"/>
        <v>0</v>
      </c>
      <c r="E48" s="310"/>
      <c r="F48" s="1462"/>
      <c r="G48" s="310"/>
      <c r="H48" s="1462"/>
      <c r="I48" s="1172">
        <f>+C48-E48+G48</f>
        <v>0</v>
      </c>
      <c r="J48" s="1170">
        <f t="shared" si="13"/>
        <v>0</v>
      </c>
    </row>
    <row r="49" spans="1:14" ht="16">
      <c r="A49" s="1161" t="s">
        <v>959</v>
      </c>
      <c r="B49" s="1178"/>
      <c r="C49" s="645">
        <f>SUM(C47:C48)</f>
        <v>0</v>
      </c>
      <c r="D49" s="1169">
        <f t="shared" si="12"/>
        <v>0</v>
      </c>
      <c r="E49" s="645"/>
      <c r="F49" s="1462"/>
      <c r="G49" s="645"/>
      <c r="H49" s="1462"/>
      <c r="I49" s="645">
        <f>SUM(I47:I48)</f>
        <v>0</v>
      </c>
      <c r="J49" s="1170">
        <f t="shared" si="13"/>
        <v>0</v>
      </c>
    </row>
    <row r="50" spans="1:14" ht="16">
      <c r="A50" s="1161" t="s">
        <v>960</v>
      </c>
      <c r="B50" s="1178"/>
      <c r="C50" s="643">
        <f>C39+C45+C49</f>
        <v>0</v>
      </c>
      <c r="D50" s="1169">
        <f t="shared" si="12"/>
        <v>0</v>
      </c>
      <c r="E50" s="643"/>
      <c r="F50" s="1462"/>
      <c r="G50" s="643"/>
      <c r="H50" s="1462"/>
      <c r="I50" s="643">
        <f>I39+I45+I49</f>
        <v>0</v>
      </c>
      <c r="J50" s="1170">
        <f t="shared" si="13"/>
        <v>0</v>
      </c>
    </row>
    <row r="51" spans="1:14" ht="16">
      <c r="A51" s="1167"/>
      <c r="B51" s="311"/>
      <c r="C51" s="1172"/>
      <c r="D51" s="1169"/>
      <c r="E51" s="1172"/>
      <c r="F51" s="1462"/>
      <c r="G51" s="1172"/>
      <c r="H51" s="1462"/>
      <c r="I51" s="1172"/>
      <c r="J51" s="1170"/>
    </row>
    <row r="52" spans="1:14" ht="16">
      <c r="A52" s="1167" t="s">
        <v>961</v>
      </c>
      <c r="B52" s="311"/>
      <c r="C52" s="1171">
        <f>IF($B$3="New BS",0,IF($B$3="Interim",'Hist BS'!I53,'Hist BS'!G53))</f>
        <v>0</v>
      </c>
      <c r="D52" s="1169">
        <f t="shared" ref="D52:D58" si="14">IF($C$30=0,0,C52/$C$30)</f>
        <v>0</v>
      </c>
      <c r="E52" s="309"/>
      <c r="F52" s="1462"/>
      <c r="G52" s="309"/>
      <c r="H52" s="1462"/>
      <c r="I52" s="1171">
        <f>+C52-E52+G52</f>
        <v>0</v>
      </c>
      <c r="J52" s="1170">
        <f t="shared" ref="J52:J58" si="15">IF($I$30=0,0,I52/$I$30)</f>
        <v>0</v>
      </c>
    </row>
    <row r="53" spans="1:14" ht="16">
      <c r="A53" s="1167" t="s">
        <v>962</v>
      </c>
      <c r="B53" s="311"/>
      <c r="C53" s="1171">
        <f>IF($B$3="New BS",0,IF($B$3="Interim",'Hist BS'!I54,'Hist BS'!G54))</f>
        <v>0</v>
      </c>
      <c r="D53" s="1169">
        <f t="shared" si="14"/>
        <v>0</v>
      </c>
      <c r="E53" s="309"/>
      <c r="F53" s="1462"/>
      <c r="G53" s="309">
        <f>+UOP!E59+'UOP (2)'!E59</f>
        <v>0</v>
      </c>
      <c r="H53" s="1462"/>
      <c r="I53" s="1171">
        <f>+C53-E53+G53</f>
        <v>0</v>
      </c>
      <c r="J53" s="1170">
        <f t="shared" si="15"/>
        <v>0</v>
      </c>
    </row>
    <row r="54" spans="1:14" ht="16">
      <c r="A54" s="1167" t="s">
        <v>963</v>
      </c>
      <c r="B54" s="311"/>
      <c r="C54" s="1171">
        <f>IF($B$3="New BS",0,IF($B$3="Interim",'Hist BS'!I55,'Hist BS'!G55))</f>
        <v>0</v>
      </c>
      <c r="D54" s="1169">
        <f t="shared" si="14"/>
        <v>0</v>
      </c>
      <c r="E54" s="309"/>
      <c r="F54" s="1462"/>
      <c r="G54" s="309"/>
      <c r="H54" s="1462"/>
      <c r="I54" s="1171">
        <f>+C54-E54+G54</f>
        <v>0</v>
      </c>
      <c r="J54" s="1170">
        <f t="shared" si="15"/>
        <v>0</v>
      </c>
    </row>
    <row r="55" spans="1:14" ht="16">
      <c r="A55" s="1319" t="s">
        <v>218</v>
      </c>
      <c r="B55" s="311"/>
      <c r="C55" s="1172">
        <f>IF($B$3="New BS",0,IF($B$3="Interim",'Hist BS'!I56,'Hist BS'!G56))</f>
        <v>0</v>
      </c>
      <c r="D55" s="1169">
        <f t="shared" si="14"/>
        <v>0</v>
      </c>
      <c r="E55" s="310"/>
      <c r="F55" s="1462"/>
      <c r="G55" s="310"/>
      <c r="H55" s="1462"/>
      <c r="I55" s="1172">
        <f>+C55-E55+G55</f>
        <v>0</v>
      </c>
      <c r="J55" s="1170">
        <f t="shared" si="15"/>
        <v>0</v>
      </c>
    </row>
    <row r="56" spans="1:14" ht="16">
      <c r="A56" s="1161" t="s">
        <v>964</v>
      </c>
      <c r="B56" s="1178"/>
      <c r="C56" s="645">
        <f>SUM(C52:C55)</f>
        <v>0</v>
      </c>
      <c r="D56" s="1169">
        <f t="shared" si="14"/>
        <v>0</v>
      </c>
      <c r="E56" s="645"/>
      <c r="F56" s="1462"/>
      <c r="G56" s="645"/>
      <c r="H56" s="1462"/>
      <c r="I56" s="645">
        <f>SUM(I52:I55)</f>
        <v>0</v>
      </c>
      <c r="J56" s="1170">
        <f t="shared" si="15"/>
        <v>0</v>
      </c>
      <c r="L56" s="2996" t="s">
        <v>761</v>
      </c>
      <c r="M56" s="2996"/>
      <c r="N56" s="1173">
        <f>IF(I39=0,0,I13/I39)</f>
        <v>0</v>
      </c>
    </row>
    <row r="57" spans="1:14" ht="16">
      <c r="A57" s="1161" t="s">
        <v>965</v>
      </c>
      <c r="B57" s="1178"/>
      <c r="C57" s="644">
        <f>C30-C50-C26-C27+C43</f>
        <v>0</v>
      </c>
      <c r="D57" s="1169"/>
      <c r="E57" s="644"/>
      <c r="F57" s="1463"/>
      <c r="G57" s="644"/>
      <c r="H57" s="1463"/>
      <c r="I57" s="644">
        <f>I30-I50-I26-I27+I43</f>
        <v>0</v>
      </c>
      <c r="J57" s="1170">
        <f t="shared" si="15"/>
        <v>0</v>
      </c>
      <c r="L57" s="2996" t="s">
        <v>987</v>
      </c>
      <c r="M57" s="2996"/>
      <c r="N57" s="1173">
        <f>IF(I57=0,0,I50/I57)</f>
        <v>0</v>
      </c>
    </row>
    <row r="58" spans="1:14" ht="17" thickBot="1">
      <c r="A58" s="1161" t="s">
        <v>966</v>
      </c>
      <c r="B58" s="1178"/>
      <c r="C58" s="1175">
        <f>C50+C56</f>
        <v>0</v>
      </c>
      <c r="D58" s="1169">
        <f t="shared" si="14"/>
        <v>0</v>
      </c>
      <c r="E58" s="1175"/>
      <c r="F58" s="1462"/>
      <c r="G58" s="1175"/>
      <c r="H58" s="1462"/>
      <c r="I58" s="1175">
        <f>I50+I56</f>
        <v>0</v>
      </c>
      <c r="J58" s="1170">
        <f t="shared" si="15"/>
        <v>0</v>
      </c>
    </row>
    <row r="59" spans="1:14" ht="18" thickTop="1" thickBot="1">
      <c r="A59" s="1161" t="s">
        <v>967</v>
      </c>
      <c r="B59" s="1178"/>
      <c r="C59" s="644">
        <f>C30-C58</f>
        <v>0</v>
      </c>
      <c r="D59" s="1176"/>
      <c r="E59" s="644">
        <f>SUM(E7:E58)</f>
        <v>0</v>
      </c>
      <c r="F59" s="1464"/>
      <c r="G59" s="644">
        <f>SUM(G7:G58)</f>
        <v>0</v>
      </c>
      <c r="H59" s="1464"/>
      <c r="I59" s="644">
        <f>I30-I58</f>
        <v>0</v>
      </c>
      <c r="J59" s="1177"/>
    </row>
    <row r="60" spans="1:14" ht="16" thickBot="1">
      <c r="A60" s="2886" t="s">
        <v>988</v>
      </c>
      <c r="B60" s="2887"/>
      <c r="C60" s="2887"/>
      <c r="D60" s="2887"/>
      <c r="E60" s="2887"/>
      <c r="F60" s="2887"/>
      <c r="G60" s="2887"/>
      <c r="H60" s="2887"/>
      <c r="I60" s="2887"/>
      <c r="J60" s="2888"/>
    </row>
    <row r="61" spans="1:14" ht="15" customHeight="1">
      <c r="A61" s="2997" t="str">
        <f>A2</f>
        <v>{Insert business name which represents PSOR}</v>
      </c>
      <c r="B61" s="2997"/>
      <c r="C61" s="2997"/>
      <c r="D61" s="2997"/>
      <c r="E61" s="2997"/>
      <c r="F61" s="2997"/>
      <c r="G61" s="2997"/>
      <c r="H61" s="2997"/>
      <c r="I61" s="2997"/>
      <c r="J61" s="2997"/>
    </row>
    <row r="62" spans="1:14" ht="15" customHeight="1">
      <c r="A62" s="2993"/>
      <c r="B62" s="2993"/>
      <c r="C62" s="2993"/>
      <c r="D62" s="2993"/>
      <c r="E62" s="2993"/>
      <c r="F62" s="2993"/>
      <c r="G62" s="2993"/>
      <c r="H62" s="2993"/>
      <c r="I62" s="2993"/>
      <c r="J62" s="2993"/>
    </row>
    <row r="63" spans="1:14" ht="15" customHeight="1">
      <c r="A63" s="2993"/>
      <c r="B63" s="2993"/>
      <c r="C63" s="2993"/>
      <c r="D63" s="2993"/>
      <c r="E63" s="2993"/>
      <c r="F63" s="2993"/>
      <c r="G63" s="2993"/>
      <c r="H63" s="2993"/>
      <c r="I63" s="2993"/>
      <c r="J63" s="2993"/>
    </row>
    <row r="64" spans="1:14">
      <c r="A64" s="2993"/>
      <c r="B64" s="2993"/>
      <c r="C64" s="2993"/>
      <c r="D64" s="2993"/>
      <c r="E64" s="2993"/>
      <c r="F64" s="2993"/>
      <c r="G64" s="2993"/>
      <c r="H64" s="2993"/>
      <c r="I64" s="2993"/>
      <c r="J64" s="2993"/>
    </row>
    <row r="65" spans="1:10">
      <c r="A65" s="2993"/>
      <c r="B65" s="2993"/>
      <c r="C65" s="2993"/>
      <c r="D65" s="2993"/>
      <c r="E65" s="2993"/>
      <c r="F65" s="2993"/>
      <c r="G65" s="2993"/>
      <c r="H65" s="2993"/>
      <c r="I65" s="2993"/>
      <c r="J65" s="2993"/>
    </row>
    <row r="66" spans="1:10">
      <c r="A66" s="2993"/>
      <c r="B66" s="2993"/>
      <c r="C66" s="2993"/>
      <c r="D66" s="2993"/>
      <c r="E66" s="2993"/>
      <c r="F66" s="2993"/>
      <c r="G66" s="2993"/>
      <c r="H66" s="2993"/>
      <c r="I66" s="2993"/>
      <c r="J66" s="2993"/>
    </row>
    <row r="67" spans="1:10">
      <c r="A67" s="2993"/>
      <c r="B67" s="2993"/>
      <c r="C67" s="2993"/>
      <c r="D67" s="2993"/>
      <c r="E67" s="2993"/>
      <c r="F67" s="2993"/>
      <c r="G67" s="2993"/>
      <c r="H67" s="2993"/>
      <c r="I67" s="2993"/>
      <c r="J67" s="2993"/>
    </row>
    <row r="68" spans="1:10">
      <c r="A68" s="2993"/>
      <c r="B68" s="2993"/>
      <c r="C68" s="2993"/>
      <c r="D68" s="2993"/>
      <c r="E68" s="2993"/>
      <c r="F68" s="2993"/>
      <c r="G68" s="2993"/>
      <c r="H68" s="2993"/>
      <c r="I68" s="2993"/>
      <c r="J68" s="2993"/>
    </row>
    <row r="69" spans="1:10">
      <c r="A69" s="2993"/>
      <c r="B69" s="2993"/>
      <c r="C69" s="2993"/>
      <c r="D69" s="2993"/>
      <c r="E69" s="2993"/>
      <c r="F69" s="2993"/>
      <c r="G69" s="2993"/>
      <c r="H69" s="2993"/>
      <c r="I69" s="2993"/>
      <c r="J69" s="2993"/>
    </row>
    <row r="70" spans="1:10">
      <c r="A70" s="2993"/>
      <c r="B70" s="2993"/>
      <c r="C70" s="2993"/>
      <c r="D70" s="2993"/>
      <c r="E70" s="2993"/>
      <c r="F70" s="2993"/>
      <c r="G70" s="2993"/>
      <c r="H70" s="2993"/>
      <c r="I70" s="2993"/>
      <c r="J70" s="2993"/>
    </row>
    <row r="71" spans="1:10">
      <c r="A71" s="2993"/>
      <c r="B71" s="2993"/>
      <c r="C71" s="2993"/>
      <c r="D71" s="2993"/>
      <c r="E71" s="2993"/>
      <c r="F71" s="2993"/>
      <c r="G71" s="2993"/>
      <c r="H71" s="2993"/>
      <c r="I71" s="2993"/>
      <c r="J71" s="2993"/>
    </row>
    <row r="72" spans="1:10">
      <c r="A72" s="2993"/>
      <c r="B72" s="2993"/>
      <c r="C72" s="2993"/>
      <c r="D72" s="2993"/>
      <c r="E72" s="2993"/>
      <c r="F72" s="2993"/>
      <c r="G72" s="2993"/>
      <c r="H72" s="2993"/>
      <c r="I72" s="2993"/>
      <c r="J72" s="2993"/>
    </row>
    <row r="73" spans="1:10">
      <c r="A73" s="2993"/>
      <c r="B73" s="2993"/>
      <c r="C73" s="2993"/>
      <c r="D73" s="2993"/>
      <c r="E73" s="2993"/>
      <c r="F73" s="2993"/>
      <c r="G73" s="2993"/>
      <c r="H73" s="2993"/>
      <c r="I73" s="2993"/>
      <c r="J73" s="2993"/>
    </row>
    <row r="74" spans="1:10">
      <c r="A74" s="2993"/>
      <c r="B74" s="2993"/>
      <c r="C74" s="2993"/>
      <c r="D74" s="2993"/>
      <c r="E74" s="2993"/>
      <c r="F74" s="2993"/>
      <c r="G74" s="2993"/>
      <c r="H74" s="2993"/>
      <c r="I74" s="2993"/>
      <c r="J74" s="2993"/>
    </row>
  </sheetData>
  <sheetProtection algorithmName="SHA-512" hashValue="eaL7GQ850gmVnmzShrxeIW32YpUnniSVHLLMsKl9+CoNOgi8E5v9UxCOaaaZol6Emhe35I1J1cftDVdWjTLmTg==" saltValue="R0B5ZHtPTpVzSESWidsVAw==" spinCount="100000" sheet="1" scenarios="1" formatCells="0" formatColumns="0" formatRows="0"/>
  <customSheetViews>
    <customSheetView guid="{EDC0EC15-0264-48C8-A990-093960AE8EF3}" scale="85" showGridLines="0" printArea="1" topLeftCell="A3">
      <selection activeCell="B3" sqref="B3:C3"/>
      <rowBreaks count="2" manualBreakCount="2">
        <brk id="59" max="9" man="1"/>
        <brk id="96" max="9" man="1"/>
      </rowBreaks>
      <pageMargins left="0" right="0" top="0" bottom="0" header="0" footer="0"/>
      <printOptions horizontalCentered="1"/>
      <pageSetup scale="73" orientation="portrait" r:id="rId1"/>
      <headerFooter differentFirst="1">
        <firstHeader>&amp;L&amp;G&amp;C&amp;8
&amp;18Credit Memo</firstHeader>
      </headerFooter>
    </customSheetView>
    <customSheetView guid="{6E1FDEE6-49D0-4876-8C7C-09893145D2CE}" scale="85" showGridLines="0" printArea="1" topLeftCell="A3">
      <selection activeCell="B3" sqref="B3:C3"/>
      <rowBreaks count="2" manualBreakCount="2">
        <brk id="59" max="9" man="1"/>
        <brk id="96" max="9" man="1"/>
      </rowBreaks>
      <pageMargins left="0" right="0" top="0" bottom="0" header="0" footer="0"/>
      <printOptions horizontalCentered="1"/>
      <pageSetup scale="73" orientation="portrait" r:id="rId2"/>
      <headerFooter differentFirst="1">
        <firstHeader>&amp;L&amp;G&amp;C&amp;8
&amp;18Credit Memo</firstHeader>
      </headerFooter>
    </customSheetView>
    <customSheetView guid="{DB1F6E98-7FCC-445F-9DA6-47D8BF8BE969}" scale="85" showGridLines="0" printArea="1" topLeftCell="A3">
      <selection activeCell="B3" sqref="B3:C3"/>
      <rowBreaks count="2" manualBreakCount="2">
        <brk id="59" max="9" man="1"/>
        <brk id="96" max="9" man="1"/>
      </rowBreaks>
      <pageMargins left="0" right="0" top="0" bottom="0" header="0" footer="0"/>
      <printOptions horizontalCentered="1"/>
      <pageSetup scale="73" orientation="portrait" r:id="rId3"/>
      <headerFooter differentFirst="1">
        <firstHeader>&amp;L&amp;G&amp;C&amp;8
&amp;18Credit Memo</firstHeader>
      </headerFooter>
    </customSheetView>
    <customSheetView guid="{C02CA8E5-5D4C-45E5-BC4A-4C9BE481059B}" scale="85" showGridLines="0" printArea="1">
      <selection activeCell="M1" sqref="M1:O1"/>
      <rowBreaks count="2" manualBreakCount="2">
        <brk id="59" max="9" man="1"/>
        <brk id="96" max="9" man="1"/>
      </rowBreaks>
      <pageMargins left="0" right="0" top="0" bottom="0" header="0" footer="0"/>
      <printOptions horizontalCentered="1"/>
      <pageSetup scale="73" orientation="portrait" r:id="rId4"/>
      <headerFooter differentFirst="1">
        <firstHeader>&amp;L&amp;G&amp;C&amp;8
&amp;18Credit Memo</firstHeader>
      </headerFooter>
    </customSheetView>
  </customSheetViews>
  <mergeCells count="20">
    <mergeCell ref="L56:M56"/>
    <mergeCell ref="L57:M57"/>
    <mergeCell ref="A61:J61"/>
    <mergeCell ref="A62:J62"/>
    <mergeCell ref="A60:J60"/>
    <mergeCell ref="B3:C3"/>
    <mergeCell ref="A1:J1"/>
    <mergeCell ref="A2:J2"/>
    <mergeCell ref="A63:J63"/>
    <mergeCell ref="A64:J64"/>
    <mergeCell ref="A65:J65"/>
    <mergeCell ref="A66:J66"/>
    <mergeCell ref="A67:J67"/>
    <mergeCell ref="A73:J73"/>
    <mergeCell ref="A74:J74"/>
    <mergeCell ref="A68:J68"/>
    <mergeCell ref="A69:J69"/>
    <mergeCell ref="A70:J70"/>
    <mergeCell ref="A71:J71"/>
    <mergeCell ref="A72:J72"/>
  </mergeCells>
  <printOptions horizontalCentered="1"/>
  <pageMargins left="0.7" right="0.7" top="0.75" bottom="0.75" header="0.3" footer="0.3"/>
  <pageSetup scale="71" orientation="portrait" r:id="rId5"/>
  <headerFooter differentFirst="1">
    <firstHeader>&amp;L&amp;G&amp;C&amp;8
&amp;18Credit Memo</firstHeader>
  </headerFooter>
  <rowBreaks count="2" manualBreakCount="2">
    <brk id="59" max="9" man="1"/>
    <brk id="96" max="9" man="1"/>
  </rowBreaks>
  <drawing r:id="rId6"/>
  <legacyDrawing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Lists!$F$22:$F$25</xm:f>
          </x14:formula1>
          <xm:sqref>B3:C3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888C7-F0C2-4164-B6D5-54A4D6F91C55}">
  <sheetPr codeName="Sheet18">
    <tabColor rgb="FF00B050"/>
    <pageSetUpPr fitToPage="1"/>
  </sheetPr>
  <dimension ref="A1:Q125"/>
  <sheetViews>
    <sheetView showGridLines="0" zoomScaleNormal="100" workbookViewId="0">
      <selection activeCell="G15" sqref="G15"/>
    </sheetView>
  </sheetViews>
  <sheetFormatPr baseColWidth="10" defaultColWidth="9.1640625" defaultRowHeight="15"/>
  <cols>
    <col min="1" max="1" width="23.83203125" customWidth="1"/>
    <col min="2" max="2" width="13.6640625" customWidth="1"/>
    <col min="3" max="3" width="15.6640625" customWidth="1"/>
    <col min="4" max="13" width="13.6640625" customWidth="1"/>
  </cols>
  <sheetData>
    <row r="1" spans="1:17">
      <c r="A1" s="2998" t="s">
        <v>989</v>
      </c>
      <c r="B1" s="2999"/>
      <c r="C1" s="2999"/>
      <c r="D1" s="2999"/>
      <c r="E1" s="2999"/>
      <c r="F1" s="2999"/>
      <c r="G1" s="2999"/>
      <c r="H1" s="2999"/>
      <c r="I1" s="2999"/>
      <c r="J1" s="2999"/>
      <c r="K1" s="2999"/>
      <c r="L1" s="2999"/>
      <c r="M1" s="3000"/>
      <c r="O1" s="1741"/>
      <c r="P1" s="1741"/>
      <c r="Q1" s="1741"/>
    </row>
    <row r="2" spans="1:17">
      <c r="A2" s="168" t="s">
        <v>456</v>
      </c>
      <c r="B2" s="2431" t="str">
        <f>'Hist IS and Proj'!B2</f>
        <v>{Insert business name which represents PSOR}</v>
      </c>
      <c r="C2" s="3001"/>
      <c r="D2" s="3001"/>
      <c r="E2" s="3001"/>
      <c r="F2" s="3001"/>
      <c r="G2" s="3001"/>
      <c r="H2" s="3001"/>
      <c r="I2" s="3001"/>
      <c r="J2" s="3001"/>
      <c r="K2" s="3001"/>
      <c r="L2" s="3001"/>
      <c r="M2" s="3002"/>
    </row>
    <row r="3" spans="1:17">
      <c r="A3" s="121"/>
      <c r="B3" s="487" t="s">
        <v>990</v>
      </c>
      <c r="C3" s="487" t="s">
        <v>991</v>
      </c>
      <c r="D3" s="487" t="s">
        <v>992</v>
      </c>
      <c r="E3" s="487" t="s">
        <v>993</v>
      </c>
      <c r="F3" s="487" t="s">
        <v>994</v>
      </c>
      <c r="G3" s="487" t="s">
        <v>995</v>
      </c>
      <c r="H3" s="487" t="s">
        <v>996</v>
      </c>
      <c r="I3" s="487" t="s">
        <v>997</v>
      </c>
      <c r="J3" s="487" t="s">
        <v>998</v>
      </c>
      <c r="K3" s="487" t="s">
        <v>999</v>
      </c>
      <c r="L3" s="487" t="s">
        <v>1000</v>
      </c>
      <c r="M3" s="734" t="s">
        <v>1001</v>
      </c>
    </row>
    <row r="4" spans="1:17" ht="16" thickBot="1">
      <c r="A4" s="121"/>
      <c r="B4" s="122"/>
      <c r="C4" s="122"/>
      <c r="D4" s="122"/>
      <c r="E4" s="122"/>
      <c r="F4" s="122"/>
      <c r="G4" s="122"/>
      <c r="H4" s="122"/>
      <c r="I4" s="122"/>
      <c r="J4" s="122"/>
      <c r="K4" s="122"/>
      <c r="L4" s="122"/>
      <c r="M4" s="195"/>
    </row>
    <row r="5" spans="1:17">
      <c r="A5" s="735" t="s">
        <v>1002</v>
      </c>
      <c r="B5" s="1059"/>
      <c r="C5" s="1059"/>
      <c r="D5" s="1059"/>
      <c r="E5" s="1059"/>
      <c r="F5" s="1059"/>
      <c r="G5" s="1059"/>
      <c r="H5" s="1059"/>
      <c r="I5" s="1059"/>
      <c r="J5" s="1059"/>
      <c r="K5" s="1059"/>
      <c r="L5" s="1059"/>
      <c r="M5" s="1060"/>
    </row>
    <row r="6" spans="1:17">
      <c r="A6" s="736" t="s">
        <v>1003</v>
      </c>
      <c r="B6" s="1061"/>
      <c r="C6" s="1061"/>
      <c r="D6" s="1061"/>
      <c r="E6" s="1061"/>
      <c r="F6" s="1061"/>
      <c r="G6" s="1061"/>
      <c r="H6" s="1061"/>
      <c r="I6" s="1061"/>
      <c r="J6" s="1061"/>
      <c r="K6" s="1061"/>
      <c r="L6" s="1061"/>
      <c r="M6" s="1062"/>
    </row>
    <row r="7" spans="1:17">
      <c r="A7" s="121" t="s">
        <v>1004</v>
      </c>
      <c r="B7" s="1063">
        <f>('Cash Flow'!K8+'Cash Flow'!K9+'Cash Flow'!K10+'Cash Flow'!K13)/12</f>
        <v>0</v>
      </c>
      <c r="C7" s="1747">
        <f t="shared" ref="C7:M7" si="0">B7</f>
        <v>0</v>
      </c>
      <c r="D7" s="1748">
        <f t="shared" si="0"/>
        <v>0</v>
      </c>
      <c r="E7" s="1748">
        <f t="shared" si="0"/>
        <v>0</v>
      </c>
      <c r="F7" s="1748">
        <f t="shared" si="0"/>
        <v>0</v>
      </c>
      <c r="G7" s="1748">
        <f t="shared" si="0"/>
        <v>0</v>
      </c>
      <c r="H7" s="1748">
        <f t="shared" si="0"/>
        <v>0</v>
      </c>
      <c r="I7" s="1748">
        <f t="shared" si="0"/>
        <v>0</v>
      </c>
      <c r="J7" s="1748">
        <f t="shared" si="0"/>
        <v>0</v>
      </c>
      <c r="K7" s="1748">
        <f t="shared" si="0"/>
        <v>0</v>
      </c>
      <c r="L7" s="1748">
        <f t="shared" si="0"/>
        <v>0</v>
      </c>
      <c r="M7" s="1748">
        <f t="shared" si="0"/>
        <v>0</v>
      </c>
    </row>
    <row r="8" spans="1:17">
      <c r="A8" s="121" t="s">
        <v>1005</v>
      </c>
      <c r="B8" s="1064">
        <f>'Cash Flow'!C21/12</f>
        <v>0</v>
      </c>
      <c r="C8" s="1749">
        <f t="shared" ref="C8:M8" si="1">B8</f>
        <v>0</v>
      </c>
      <c r="D8" s="1750">
        <f t="shared" si="1"/>
        <v>0</v>
      </c>
      <c r="E8" s="1750">
        <f t="shared" si="1"/>
        <v>0</v>
      </c>
      <c r="F8" s="1750">
        <f t="shared" si="1"/>
        <v>0</v>
      </c>
      <c r="G8" s="1750">
        <f t="shared" si="1"/>
        <v>0</v>
      </c>
      <c r="H8" s="1750">
        <f t="shared" si="1"/>
        <v>0</v>
      </c>
      <c r="I8" s="1750">
        <f t="shared" si="1"/>
        <v>0</v>
      </c>
      <c r="J8" s="1750">
        <f t="shared" si="1"/>
        <v>0</v>
      </c>
      <c r="K8" s="1750">
        <f t="shared" si="1"/>
        <v>0</v>
      </c>
      <c r="L8" s="1750">
        <f t="shared" si="1"/>
        <v>0</v>
      </c>
      <c r="M8" s="1750">
        <f t="shared" si="1"/>
        <v>0</v>
      </c>
    </row>
    <row r="9" spans="1:17" ht="16" thickBot="1">
      <c r="A9" s="123" t="s">
        <v>230</v>
      </c>
      <c r="B9" s="737">
        <f>B5-B6+B7-B8</f>
        <v>0</v>
      </c>
      <c r="C9" s="737">
        <f t="shared" ref="C9:M9" si="2">C5-C6+C7-C8</f>
        <v>0</v>
      </c>
      <c r="D9" s="737">
        <f t="shared" si="2"/>
        <v>0</v>
      </c>
      <c r="E9" s="737">
        <f t="shared" si="2"/>
        <v>0</v>
      </c>
      <c r="F9" s="737">
        <f t="shared" si="2"/>
        <v>0</v>
      </c>
      <c r="G9" s="737">
        <f t="shared" si="2"/>
        <v>0</v>
      </c>
      <c r="H9" s="737">
        <f t="shared" si="2"/>
        <v>0</v>
      </c>
      <c r="I9" s="737">
        <f t="shared" si="2"/>
        <v>0</v>
      </c>
      <c r="J9" s="737">
        <f t="shared" si="2"/>
        <v>0</v>
      </c>
      <c r="K9" s="737">
        <f t="shared" si="2"/>
        <v>0</v>
      </c>
      <c r="L9" s="737">
        <f t="shared" si="2"/>
        <v>0</v>
      </c>
      <c r="M9" s="738">
        <f t="shared" si="2"/>
        <v>0</v>
      </c>
    </row>
    <row r="10" spans="1:17" ht="16" thickBot="1">
      <c r="A10" s="123"/>
      <c r="B10" s="124"/>
      <c r="C10" s="124"/>
      <c r="D10" s="124"/>
      <c r="E10" s="124"/>
      <c r="F10" s="124"/>
      <c r="G10" s="124"/>
      <c r="H10" s="124"/>
      <c r="I10" s="124"/>
      <c r="J10" s="124"/>
      <c r="K10" s="124"/>
      <c r="L10" s="124"/>
      <c r="M10" s="491"/>
    </row>
    <row r="11" spans="1:17">
      <c r="A11" s="467" t="s">
        <v>1006</v>
      </c>
      <c r="B11" s="1482">
        <f>'Cash Flow'!$C$34/'Cash Flow'!$C$5</f>
        <v>0</v>
      </c>
      <c r="C11" s="1483">
        <f>'Cash Flow'!$C$34/'Cash Flow'!$C$5</f>
        <v>0</v>
      </c>
      <c r="D11" s="1483">
        <f>'Cash Flow'!$C$34/'Cash Flow'!$C$5</f>
        <v>0</v>
      </c>
      <c r="E11" s="1483">
        <f>'Cash Flow'!$C$34/'Cash Flow'!$C$5</f>
        <v>0</v>
      </c>
      <c r="F11" s="1483">
        <f>'Cash Flow'!$C$34/'Cash Flow'!$C$5</f>
        <v>0</v>
      </c>
      <c r="G11" s="1483">
        <f>'Cash Flow'!$C$34/'Cash Flow'!$C$5</f>
        <v>0</v>
      </c>
      <c r="H11" s="1483">
        <f>'Cash Flow'!$C$34/'Cash Flow'!$C$5</f>
        <v>0</v>
      </c>
      <c r="I11" s="1483">
        <f>'Cash Flow'!$C$34/'Cash Flow'!$C$5</f>
        <v>0</v>
      </c>
      <c r="J11" s="1483">
        <f>'Cash Flow'!$C$34/'Cash Flow'!$C$5</f>
        <v>0</v>
      </c>
      <c r="K11" s="1483">
        <f>'Cash Flow'!$C$34/'Cash Flow'!$C$5</f>
        <v>0</v>
      </c>
      <c r="L11" s="1483">
        <f>'Cash Flow'!$C$34/'Cash Flow'!$C$5</f>
        <v>0</v>
      </c>
      <c r="M11" s="1484">
        <f>'Cash Flow'!$C$34/'Cash Flow'!$C$5</f>
        <v>0</v>
      </c>
    </row>
    <row r="12" spans="1:17" ht="16" thickBot="1">
      <c r="A12" s="123" t="s">
        <v>1007</v>
      </c>
      <c r="B12" s="741">
        <f t="shared" ref="B12:M12" si="3">IFERROR(B9-B11,0)</f>
        <v>0</v>
      </c>
      <c r="C12" s="741">
        <f t="shared" si="3"/>
        <v>0</v>
      </c>
      <c r="D12" s="741">
        <f t="shared" si="3"/>
        <v>0</v>
      </c>
      <c r="E12" s="741">
        <f t="shared" si="3"/>
        <v>0</v>
      </c>
      <c r="F12" s="741">
        <f t="shared" si="3"/>
        <v>0</v>
      </c>
      <c r="G12" s="741">
        <f t="shared" si="3"/>
        <v>0</v>
      </c>
      <c r="H12" s="741">
        <f t="shared" si="3"/>
        <v>0</v>
      </c>
      <c r="I12" s="741">
        <f t="shared" si="3"/>
        <v>0</v>
      </c>
      <c r="J12" s="741">
        <f t="shared" si="3"/>
        <v>0</v>
      </c>
      <c r="K12" s="741">
        <f t="shared" si="3"/>
        <v>0</v>
      </c>
      <c r="L12" s="741">
        <f t="shared" si="3"/>
        <v>0</v>
      </c>
      <c r="M12" s="742">
        <f t="shared" si="3"/>
        <v>0</v>
      </c>
    </row>
    <row r="13" spans="1:17" ht="16" thickBot="1">
      <c r="A13" s="121"/>
      <c r="B13" s="122"/>
      <c r="C13" s="122"/>
      <c r="D13" s="122"/>
      <c r="E13" s="122"/>
      <c r="F13" s="122"/>
      <c r="G13" s="122"/>
      <c r="H13" s="122"/>
      <c r="I13" s="122"/>
      <c r="J13" s="122"/>
      <c r="K13" s="122"/>
      <c r="L13" s="122"/>
      <c r="M13" s="195"/>
    </row>
    <row r="14" spans="1:17">
      <c r="A14" s="467" t="s">
        <v>1008</v>
      </c>
      <c r="B14" s="1465">
        <v>0</v>
      </c>
      <c r="C14" s="739">
        <f t="shared" ref="C14:M14" si="4">B15</f>
        <v>0</v>
      </c>
      <c r="D14" s="739">
        <f t="shared" si="4"/>
        <v>0</v>
      </c>
      <c r="E14" s="739">
        <f t="shared" si="4"/>
        <v>0</v>
      </c>
      <c r="F14" s="739">
        <f t="shared" si="4"/>
        <v>0</v>
      </c>
      <c r="G14" s="739">
        <f t="shared" si="4"/>
        <v>0</v>
      </c>
      <c r="H14" s="739">
        <f t="shared" si="4"/>
        <v>0</v>
      </c>
      <c r="I14" s="739">
        <f t="shared" si="4"/>
        <v>0</v>
      </c>
      <c r="J14" s="739">
        <f t="shared" si="4"/>
        <v>0</v>
      </c>
      <c r="K14" s="739">
        <f t="shared" si="4"/>
        <v>0</v>
      </c>
      <c r="L14" s="739">
        <f t="shared" si="4"/>
        <v>0</v>
      </c>
      <c r="M14" s="740">
        <f t="shared" si="4"/>
        <v>0</v>
      </c>
    </row>
    <row r="15" spans="1:17" ht="16" thickBot="1">
      <c r="A15" s="123" t="s">
        <v>1009</v>
      </c>
      <c r="B15" s="741">
        <f t="shared" ref="B15:M15" si="5">B12+B14</f>
        <v>0</v>
      </c>
      <c r="C15" s="741">
        <f t="shared" si="5"/>
        <v>0</v>
      </c>
      <c r="D15" s="741">
        <f t="shared" si="5"/>
        <v>0</v>
      </c>
      <c r="E15" s="741">
        <f t="shared" si="5"/>
        <v>0</v>
      </c>
      <c r="F15" s="741">
        <f t="shared" si="5"/>
        <v>0</v>
      </c>
      <c r="G15" s="741">
        <f t="shared" si="5"/>
        <v>0</v>
      </c>
      <c r="H15" s="741">
        <f t="shared" si="5"/>
        <v>0</v>
      </c>
      <c r="I15" s="741">
        <f t="shared" si="5"/>
        <v>0</v>
      </c>
      <c r="J15" s="741">
        <f t="shared" si="5"/>
        <v>0</v>
      </c>
      <c r="K15" s="741">
        <f t="shared" si="5"/>
        <v>0</v>
      </c>
      <c r="L15" s="741">
        <f t="shared" si="5"/>
        <v>0</v>
      </c>
      <c r="M15" s="742">
        <f t="shared" si="5"/>
        <v>0</v>
      </c>
    </row>
    <row r="16" spans="1:17">
      <c r="A16" s="3009" t="s">
        <v>1010</v>
      </c>
      <c r="B16" s="3010"/>
      <c r="C16" s="3010"/>
      <c r="D16" s="3010"/>
      <c r="E16" s="3010"/>
      <c r="F16" s="3010"/>
      <c r="G16" s="3010"/>
      <c r="H16" s="3010"/>
      <c r="I16" s="3010"/>
      <c r="J16" s="3010"/>
      <c r="K16" s="3010"/>
      <c r="L16" s="3010"/>
      <c r="M16" s="3011"/>
    </row>
    <row r="17" spans="1:13">
      <c r="A17" s="3012"/>
      <c r="B17" s="3013"/>
      <c r="C17" s="3013"/>
      <c r="D17" s="3013"/>
      <c r="E17" s="3013"/>
      <c r="F17" s="3013"/>
      <c r="G17" s="3013"/>
      <c r="H17" s="3013"/>
      <c r="I17" s="3013"/>
      <c r="J17" s="3013"/>
      <c r="K17" s="3013"/>
      <c r="L17" s="3013"/>
      <c r="M17" s="3014"/>
    </row>
    <row r="18" spans="1:13">
      <c r="A18" s="3012"/>
      <c r="B18" s="3013"/>
      <c r="C18" s="3013"/>
      <c r="D18" s="3013"/>
      <c r="E18" s="3013"/>
      <c r="F18" s="3013"/>
      <c r="G18" s="3013"/>
      <c r="H18" s="3013"/>
      <c r="I18" s="3013"/>
      <c r="J18" s="3013"/>
      <c r="K18" s="3013"/>
      <c r="L18" s="3013"/>
      <c r="M18" s="3014"/>
    </row>
    <row r="19" spans="1:13">
      <c r="A19" s="3012"/>
      <c r="B19" s="3013"/>
      <c r="C19" s="3013"/>
      <c r="D19" s="3013"/>
      <c r="E19" s="3013"/>
      <c r="F19" s="3013"/>
      <c r="G19" s="3013"/>
      <c r="H19" s="3013"/>
      <c r="I19" s="3013"/>
      <c r="J19" s="3013"/>
      <c r="K19" s="3013"/>
      <c r="L19" s="3013"/>
      <c r="M19" s="3014"/>
    </row>
    <row r="20" spans="1:13" ht="16" thickBot="1">
      <c r="A20" s="3015"/>
      <c r="B20" s="3016"/>
      <c r="C20" s="3016"/>
      <c r="D20" s="3016"/>
      <c r="E20" s="3016"/>
      <c r="F20" s="3016"/>
      <c r="G20" s="3016"/>
      <c r="H20" s="3016"/>
      <c r="I20" s="3016"/>
      <c r="J20" s="3016"/>
      <c r="K20" s="3016"/>
      <c r="L20" s="3016"/>
      <c r="M20" s="3017"/>
    </row>
    <row r="21" spans="1:13" ht="16">
      <c r="A21" s="3006" t="s">
        <v>1011</v>
      </c>
      <c r="B21" s="3007"/>
      <c r="C21" s="3007"/>
      <c r="D21" s="3007"/>
      <c r="E21" s="3007"/>
      <c r="F21" s="3008"/>
      <c r="G21" s="122"/>
      <c r="H21" s="3003" t="s">
        <v>1012</v>
      </c>
      <c r="I21" s="3004"/>
      <c r="J21" s="3004"/>
      <c r="K21" s="3004"/>
      <c r="L21" s="3004"/>
      <c r="M21" s="3005"/>
    </row>
    <row r="22" spans="1:13">
      <c r="A22" s="121"/>
      <c r="B22" s="122"/>
      <c r="C22" s="743" t="s">
        <v>1013</v>
      </c>
      <c r="D22" s="122"/>
      <c r="E22" s="743" t="s">
        <v>1014</v>
      </c>
      <c r="F22" s="195"/>
      <c r="G22" s="195"/>
      <c r="H22" s="121"/>
      <c r="I22" s="122"/>
      <c r="J22" s="122"/>
      <c r="K22" s="122"/>
      <c r="L22" s="122"/>
      <c r="M22" s="195"/>
    </row>
    <row r="23" spans="1:13">
      <c r="A23" s="121"/>
      <c r="B23" s="122"/>
      <c r="C23" s="1065">
        <v>365</v>
      </c>
      <c r="D23" s="122" t="s">
        <v>1015</v>
      </c>
      <c r="E23" s="1065">
        <v>365</v>
      </c>
      <c r="F23" s="195" t="s">
        <v>1015</v>
      </c>
      <c r="G23" s="195"/>
      <c r="H23" s="121" t="s">
        <v>1016</v>
      </c>
      <c r="I23" s="122"/>
      <c r="J23" s="122"/>
      <c r="K23" s="122"/>
      <c r="L23" s="744" t="s">
        <v>1017</v>
      </c>
      <c r="M23" s="745" t="s">
        <v>1018</v>
      </c>
    </row>
    <row r="24" spans="1:13">
      <c r="A24" s="746" t="s">
        <v>1019</v>
      </c>
      <c r="B24" s="122"/>
      <c r="C24" s="1751">
        <f>'Hist IS and Proj'!H4</f>
        <v>45291</v>
      </c>
      <c r="D24" s="122"/>
      <c r="E24" s="1065">
        <v>2024</v>
      </c>
      <c r="F24" s="195"/>
      <c r="G24" s="195"/>
      <c r="H24" s="121" t="s">
        <v>1020</v>
      </c>
      <c r="I24" s="122"/>
      <c r="J24" s="122"/>
      <c r="K24" s="122"/>
      <c r="L24" s="185">
        <f>IFERROR('Hist IS and Proj'!H18/'Hist BS'!G9,0)</f>
        <v>0</v>
      </c>
      <c r="M24" s="747">
        <f>Ratios!H34</f>
        <v>0</v>
      </c>
    </row>
    <row r="25" spans="1:13">
      <c r="A25" s="121" t="s">
        <v>191</v>
      </c>
      <c r="B25" s="122"/>
      <c r="C25" s="1468">
        <f>'Hist IS and Proj'!H19</f>
        <v>0</v>
      </c>
      <c r="D25" s="748"/>
      <c r="E25" s="1468">
        <f>'Hist IS and Proj'!Z19</f>
        <v>0</v>
      </c>
      <c r="F25" s="195"/>
      <c r="G25" s="195"/>
      <c r="H25" s="121" t="s">
        <v>1021</v>
      </c>
      <c r="I25" s="122"/>
      <c r="J25" s="122"/>
      <c r="K25" s="122"/>
      <c r="L25" s="185">
        <f>IFERROR('Hist IS and Proj'!H19/'Hist BS'!G10,0)</f>
        <v>0</v>
      </c>
      <c r="M25" s="747">
        <f>Ratios!H36</f>
        <v>0</v>
      </c>
    </row>
    <row r="26" spans="1:13" ht="16" thickBot="1">
      <c r="A26" s="121" t="s">
        <v>1022</v>
      </c>
      <c r="B26" s="122"/>
      <c r="C26" s="1469">
        <f>'Hist IS and Proj'!H50-'Hist IS and Proj'!H26-'Hist IS and Proj'!H32-'Hist IS and Proj'!H33</f>
        <v>0</v>
      </c>
      <c r="D26" s="748"/>
      <c r="E26" s="1469">
        <f>'Hist IS and Proj'!Z50-'Hist IS and Proj'!Z33-'Hist IS and Proj'!Z32-'Hist IS and Proj'!Z26</f>
        <v>0</v>
      </c>
      <c r="F26" s="195"/>
      <c r="G26" s="195"/>
      <c r="H26" s="121" t="s">
        <v>1023</v>
      </c>
      <c r="I26" s="122"/>
      <c r="J26" s="122"/>
      <c r="K26" s="122"/>
      <c r="L26" s="185">
        <f>IFERROR('Hist IS and Proj'!H19/'Hist BS'!G34,0)</f>
        <v>0</v>
      </c>
      <c r="M26" s="749">
        <f>Ratios!H35</f>
        <v>0</v>
      </c>
    </row>
    <row r="27" spans="1:13" ht="16" thickBot="1">
      <c r="A27" s="121" t="s">
        <v>898</v>
      </c>
      <c r="B27" s="122"/>
      <c r="C27" s="1469">
        <f>'Cash Flow'!G34</f>
        <v>0</v>
      </c>
      <c r="D27" s="748"/>
      <c r="E27" s="1469">
        <f>'Cash Flow'!K34</f>
        <v>0</v>
      </c>
      <c r="F27" s="195"/>
      <c r="G27" s="195"/>
      <c r="H27" s="121"/>
      <c r="I27" s="122"/>
      <c r="J27" s="122"/>
      <c r="K27" s="122"/>
      <c r="L27" s="490" t="s">
        <v>1024</v>
      </c>
      <c r="M27" s="750">
        <f>M24+M25-M26</f>
        <v>0</v>
      </c>
    </row>
    <row r="28" spans="1:13" ht="16" thickBot="1">
      <c r="A28" s="746" t="s">
        <v>899</v>
      </c>
      <c r="B28" s="122"/>
      <c r="C28" s="1752">
        <f>'Cash Flow'!G21</f>
        <v>0</v>
      </c>
      <c r="D28" s="748"/>
      <c r="E28" s="1752">
        <f>'Cash Flow'!K21</f>
        <v>0</v>
      </c>
      <c r="F28" s="195"/>
      <c r="G28" s="195"/>
      <c r="H28" s="121"/>
      <c r="I28" s="122"/>
      <c r="J28" s="122"/>
      <c r="K28" s="122"/>
      <c r="L28" s="122"/>
      <c r="M28" s="195"/>
    </row>
    <row r="29" spans="1:13">
      <c r="A29" s="488" t="s">
        <v>1025</v>
      </c>
      <c r="B29" s="122"/>
      <c r="C29" s="751">
        <f>SUM(C25:C28)</f>
        <v>0</v>
      </c>
      <c r="D29" s="122"/>
      <c r="E29" s="751">
        <f>SUM(E25:E28)</f>
        <v>0</v>
      </c>
      <c r="F29" s="195"/>
      <c r="G29" s="195"/>
      <c r="H29" s="121" t="s">
        <v>1026</v>
      </c>
      <c r="I29" s="122"/>
      <c r="J29" s="122"/>
      <c r="K29" s="122"/>
      <c r="L29" s="1762">
        <f>'Hist IS and Proj'!Z9</f>
        <v>0</v>
      </c>
      <c r="M29" s="195"/>
    </row>
    <row r="30" spans="1:13" ht="16" thickBot="1">
      <c r="A30" s="121"/>
      <c r="B30" s="122"/>
      <c r="C30" s="122"/>
      <c r="D30" s="122"/>
      <c r="E30" s="122"/>
      <c r="F30" s="195"/>
      <c r="G30" s="195"/>
      <c r="H30" s="121" t="s">
        <v>1027</v>
      </c>
      <c r="I30" s="122"/>
      <c r="J30" s="122"/>
      <c r="K30" s="122"/>
      <c r="L30" s="1763">
        <f>'Hist IS and Proj'!Z19</f>
        <v>0</v>
      </c>
      <c r="M30" s="195"/>
    </row>
    <row r="31" spans="1:13">
      <c r="A31" s="121"/>
      <c r="B31" s="122"/>
      <c r="C31" s="122"/>
      <c r="D31" s="122"/>
      <c r="E31" s="122"/>
      <c r="F31" s="195"/>
      <c r="G31" s="195"/>
      <c r="H31" s="121"/>
      <c r="I31" s="122"/>
      <c r="J31" s="122"/>
      <c r="K31" s="122"/>
      <c r="L31" s="122"/>
      <c r="M31" s="195"/>
    </row>
    <row r="32" spans="1:13" ht="15.75" customHeight="1">
      <c r="A32" s="121" t="s">
        <v>1028</v>
      </c>
      <c r="B32" s="122"/>
      <c r="C32" s="752">
        <f>C29/C23</f>
        <v>0</v>
      </c>
      <c r="D32" s="122"/>
      <c r="E32" s="752">
        <f>E29/E23</f>
        <v>0</v>
      </c>
      <c r="F32" s="195"/>
      <c r="G32" s="195"/>
      <c r="H32" s="488" t="s">
        <v>1029</v>
      </c>
      <c r="I32" s="122"/>
      <c r="J32" s="122"/>
      <c r="K32" s="122"/>
      <c r="L32" s="122"/>
      <c r="M32" s="195"/>
    </row>
    <row r="33" spans="1:13">
      <c r="A33" s="121" t="s">
        <v>1030</v>
      </c>
      <c r="B33" s="122"/>
      <c r="C33" s="1072">
        <f>UOP!H10+UOP!H71+'UOP (2)'!H10+'UOP (2)'!H71</f>
        <v>0</v>
      </c>
      <c r="D33" s="122"/>
      <c r="E33" s="1066"/>
      <c r="F33" s="195"/>
      <c r="G33" s="195"/>
      <c r="H33" s="121" t="s">
        <v>1031</v>
      </c>
      <c r="I33" s="122"/>
      <c r="J33" s="122"/>
      <c r="K33" s="122"/>
      <c r="L33" s="122">
        <f>IFERROR(L29/L24,0)</f>
        <v>0</v>
      </c>
      <c r="M33" s="195"/>
    </row>
    <row r="34" spans="1:13">
      <c r="A34" s="121" t="s">
        <v>1032</v>
      </c>
      <c r="B34" s="122"/>
      <c r="C34" s="1070">
        <f>Ratios!H38</f>
        <v>0</v>
      </c>
      <c r="D34" s="122"/>
      <c r="E34" s="1067"/>
      <c r="F34" s="195"/>
      <c r="G34" s="195"/>
      <c r="H34" s="121" t="s">
        <v>1033</v>
      </c>
      <c r="I34" s="122"/>
      <c r="J34" s="122"/>
      <c r="K34" s="122"/>
      <c r="L34" s="122">
        <f>IFERROR(L29/L25,0)</f>
        <v>0</v>
      </c>
      <c r="M34" s="195"/>
    </row>
    <row r="35" spans="1:13">
      <c r="A35" s="746" t="s">
        <v>1034</v>
      </c>
      <c r="B35" s="122"/>
      <c r="C35" s="1068"/>
      <c r="D35" s="122"/>
      <c r="E35" s="1068"/>
      <c r="F35" s="195"/>
      <c r="G35" s="195"/>
      <c r="H35" s="121" t="s">
        <v>1035</v>
      </c>
      <c r="I35" s="122"/>
      <c r="J35" s="122"/>
      <c r="K35" s="122"/>
      <c r="L35" s="224">
        <f>IFERROR(L30/L26,0)</f>
        <v>0</v>
      </c>
      <c r="M35" s="195"/>
    </row>
    <row r="36" spans="1:13">
      <c r="A36" s="488" t="s">
        <v>1036</v>
      </c>
      <c r="B36" s="122"/>
      <c r="C36" s="753">
        <f>SUM(C33:C35)</f>
        <v>0</v>
      </c>
      <c r="D36" s="122"/>
      <c r="E36" s="753">
        <f>SUM(E33:E35)</f>
        <v>0</v>
      </c>
      <c r="F36" s="195"/>
      <c r="G36" s="195"/>
      <c r="H36" s="488" t="s">
        <v>1037</v>
      </c>
      <c r="I36" s="122"/>
      <c r="J36" s="122"/>
      <c r="K36" s="122"/>
      <c r="L36" s="122">
        <f>SUM(L33:L35)</f>
        <v>0</v>
      </c>
      <c r="M36" s="195"/>
    </row>
    <row r="37" spans="1:13">
      <c r="A37" s="121"/>
      <c r="B37" s="122"/>
      <c r="C37" s="122"/>
      <c r="D37" s="122"/>
      <c r="E37" s="122"/>
      <c r="F37" s="195"/>
      <c r="G37" s="195"/>
      <c r="H37" s="121"/>
      <c r="I37" s="122"/>
      <c r="J37" s="122"/>
      <c r="K37" s="122"/>
      <c r="L37" s="122"/>
      <c r="M37" s="195"/>
    </row>
    <row r="38" spans="1:13">
      <c r="A38" s="121" t="s">
        <v>1038</v>
      </c>
      <c r="B38" s="122"/>
      <c r="C38" s="754">
        <f>IFERROR(C36/C32,0)</f>
        <v>0</v>
      </c>
      <c r="D38" s="122"/>
      <c r="E38" s="754">
        <f>IFERROR(E36/E32,0)</f>
        <v>0</v>
      </c>
      <c r="F38" s="195"/>
      <c r="G38" s="195"/>
      <c r="H38" s="488" t="s">
        <v>1003</v>
      </c>
      <c r="I38" s="122"/>
      <c r="J38" s="122"/>
      <c r="K38" s="122"/>
      <c r="L38" s="473" t="s">
        <v>1039</v>
      </c>
      <c r="M38" s="755" t="s">
        <v>1040</v>
      </c>
    </row>
    <row r="39" spans="1:13">
      <c r="A39" s="121"/>
      <c r="B39" s="122"/>
      <c r="C39" s="122"/>
      <c r="D39" s="122"/>
      <c r="E39" s="122"/>
      <c r="F39" s="195"/>
      <c r="G39" s="195"/>
      <c r="H39" s="756" t="s">
        <v>1041</v>
      </c>
      <c r="I39" s="122"/>
      <c r="J39" s="122"/>
      <c r="K39" s="122"/>
      <c r="L39" s="501">
        <f>E32*60</f>
        <v>0</v>
      </c>
      <c r="M39" s="757">
        <f>M27*E32</f>
        <v>0</v>
      </c>
    </row>
    <row r="40" spans="1:13">
      <c r="A40" s="121"/>
      <c r="B40" s="122"/>
      <c r="C40" s="122"/>
      <c r="D40" s="122"/>
      <c r="E40" s="122"/>
      <c r="F40" s="195"/>
      <c r="G40" s="195"/>
      <c r="H40" s="121"/>
      <c r="I40" s="122"/>
      <c r="J40" s="122"/>
      <c r="K40" s="122"/>
      <c r="L40" s="122"/>
      <c r="M40" s="195"/>
    </row>
    <row r="41" spans="1:13">
      <c r="A41" s="121" t="s">
        <v>1042</v>
      </c>
      <c r="B41" s="122"/>
      <c r="C41" s="753">
        <f>C25/C23</f>
        <v>0</v>
      </c>
      <c r="D41" s="122"/>
      <c r="E41" s="753">
        <f>E25/E23</f>
        <v>0</v>
      </c>
      <c r="F41" s="195"/>
      <c r="G41" s="195"/>
      <c r="H41" s="488" t="s">
        <v>1043</v>
      </c>
      <c r="I41" s="122"/>
      <c r="J41" s="122"/>
      <c r="K41" s="122"/>
      <c r="L41" s="501">
        <f>L36+L39</f>
        <v>0</v>
      </c>
      <c r="M41" s="757">
        <f>L36+M39</f>
        <v>0</v>
      </c>
    </row>
    <row r="42" spans="1:13" ht="16" thickBot="1">
      <c r="A42" s="121" t="s">
        <v>1044</v>
      </c>
      <c r="B42" s="122"/>
      <c r="C42" s="1069"/>
      <c r="D42" s="122"/>
      <c r="E42" s="1072">
        <f>+UOP!H9+UOP!H70+'UOP (2)'!H9+'UOP (2)'!H70</f>
        <v>0</v>
      </c>
      <c r="F42" s="195"/>
      <c r="G42" s="195"/>
      <c r="H42" s="123"/>
      <c r="I42" s="124"/>
      <c r="J42" s="124"/>
      <c r="K42" s="124"/>
      <c r="L42" s="124"/>
      <c r="M42" s="491"/>
    </row>
    <row r="43" spans="1:13">
      <c r="A43" s="121" t="s">
        <v>1045</v>
      </c>
      <c r="B43" s="122"/>
      <c r="C43" s="1070">
        <f>'Hist BS'!G10</f>
        <v>0</v>
      </c>
      <c r="D43" s="122"/>
      <c r="E43" s="1073"/>
      <c r="F43" s="195"/>
      <c r="G43" s="195"/>
    </row>
    <row r="44" spans="1:13">
      <c r="A44" s="746" t="s">
        <v>1046</v>
      </c>
      <c r="B44" s="122"/>
      <c r="C44" s="1071"/>
      <c r="D44" s="122"/>
      <c r="E44" s="1071"/>
      <c r="F44" s="195"/>
      <c r="G44" s="195"/>
    </row>
    <row r="45" spans="1:13">
      <c r="A45" s="488" t="s">
        <v>1047</v>
      </c>
      <c r="B45" s="122"/>
      <c r="C45" s="753">
        <f>SUM(C42:C44)</f>
        <v>0</v>
      </c>
      <c r="D45" s="122"/>
      <c r="E45" s="753">
        <f>SUM(E42:E44)</f>
        <v>0</v>
      </c>
      <c r="F45" s="195"/>
      <c r="G45" s="195"/>
    </row>
    <row r="46" spans="1:13">
      <c r="A46" s="121"/>
      <c r="B46" s="122"/>
      <c r="C46" s="122"/>
      <c r="D46" s="122"/>
      <c r="E46" s="122"/>
      <c r="F46" s="195"/>
      <c r="G46" s="195"/>
    </row>
    <row r="47" spans="1:13">
      <c r="A47" s="121" t="s">
        <v>1048</v>
      </c>
      <c r="B47" s="122"/>
      <c r="C47" s="754">
        <f>IFERROR(C45/C41,0)</f>
        <v>0</v>
      </c>
      <c r="D47" s="122"/>
      <c r="E47" s="754">
        <f>IFERROR(E45/E41,0)</f>
        <v>0</v>
      </c>
      <c r="F47" s="195"/>
      <c r="G47" s="195"/>
    </row>
    <row r="48" spans="1:13">
      <c r="A48" s="121"/>
      <c r="B48" s="122"/>
      <c r="C48" s="122"/>
      <c r="D48" s="122"/>
      <c r="E48" s="122"/>
      <c r="F48" s="195"/>
      <c r="G48" s="195"/>
    </row>
    <row r="49" spans="1:7">
      <c r="A49" s="121"/>
      <c r="B49" s="122"/>
      <c r="C49" s="122"/>
      <c r="D49" s="122"/>
      <c r="E49" s="122"/>
      <c r="F49" s="195"/>
      <c r="G49" s="195"/>
    </row>
    <row r="50" spans="1:7">
      <c r="A50" s="121" t="s">
        <v>1049</v>
      </c>
      <c r="B50" s="122"/>
      <c r="C50" s="753">
        <f>(C26+C27+C28)/C23</f>
        <v>0</v>
      </c>
      <c r="D50" s="122"/>
      <c r="E50" s="753">
        <f>(E26+E27+E28)/E23</f>
        <v>0</v>
      </c>
      <c r="F50" s="195"/>
      <c r="G50" s="195"/>
    </row>
    <row r="51" spans="1:7">
      <c r="A51" s="121" t="s">
        <v>1050</v>
      </c>
      <c r="B51" s="122"/>
      <c r="C51" s="1069"/>
      <c r="D51" s="122"/>
      <c r="E51" s="1069"/>
      <c r="F51" s="195"/>
      <c r="G51" s="195"/>
    </row>
    <row r="52" spans="1:7">
      <c r="A52" s="121" t="s">
        <v>1051</v>
      </c>
      <c r="B52" s="122"/>
      <c r="C52" s="1070">
        <f>'Hist BS'!I8</f>
        <v>0</v>
      </c>
      <c r="D52" s="122"/>
      <c r="E52" s="1073"/>
      <c r="F52" s="195"/>
      <c r="G52" s="195"/>
    </row>
    <row r="53" spans="1:7">
      <c r="A53" s="746" t="s">
        <v>1052</v>
      </c>
      <c r="B53" s="122"/>
      <c r="C53" s="1071"/>
      <c r="D53" s="122"/>
      <c r="E53" s="1071"/>
      <c r="F53" s="195"/>
      <c r="G53" s="195"/>
    </row>
    <row r="54" spans="1:7">
      <c r="A54" s="488" t="s">
        <v>1053</v>
      </c>
      <c r="B54" s="122"/>
      <c r="C54" s="758">
        <f>SUM(C51:C53)</f>
        <v>0</v>
      </c>
      <c r="D54" s="122"/>
      <c r="E54" s="758">
        <f>SUM(E51:E53)</f>
        <v>0</v>
      </c>
      <c r="F54" s="195"/>
      <c r="G54" s="195"/>
    </row>
    <row r="55" spans="1:7">
      <c r="A55" s="121"/>
      <c r="B55" s="122"/>
      <c r="C55" s="122"/>
      <c r="D55" s="122"/>
      <c r="E55" s="122"/>
      <c r="F55" s="195"/>
      <c r="G55" s="195"/>
    </row>
    <row r="56" spans="1:7">
      <c r="A56" s="121" t="s">
        <v>1054</v>
      </c>
      <c r="B56" s="122"/>
      <c r="C56" s="759">
        <f>IFERROR(C54/C50,0)</f>
        <v>0</v>
      </c>
      <c r="D56" s="122"/>
      <c r="E56" s="759">
        <f>IFERROR(E54/E50,0)</f>
        <v>0</v>
      </c>
      <c r="F56" s="195"/>
      <c r="G56" s="195"/>
    </row>
    <row r="57" spans="1:7">
      <c r="A57" s="121"/>
      <c r="B57" s="122"/>
      <c r="C57" s="122"/>
      <c r="D57" s="122"/>
      <c r="E57" s="122"/>
      <c r="F57" s="195"/>
      <c r="G57" s="195"/>
    </row>
    <row r="58" spans="1:7">
      <c r="A58" s="121"/>
      <c r="B58" s="122"/>
      <c r="C58" s="122"/>
      <c r="D58" s="122"/>
      <c r="E58" s="122"/>
      <c r="F58" s="195"/>
      <c r="G58" s="195"/>
    </row>
    <row r="59" spans="1:7">
      <c r="A59" s="121"/>
      <c r="B59" s="122"/>
      <c r="C59" s="122"/>
      <c r="D59" s="122"/>
      <c r="E59" s="122"/>
      <c r="F59" s="195"/>
      <c r="G59" s="195"/>
    </row>
    <row r="60" spans="1:7">
      <c r="A60" s="121"/>
      <c r="B60" s="122"/>
      <c r="C60" s="122"/>
      <c r="D60" s="122"/>
      <c r="E60" s="122"/>
      <c r="F60" s="195"/>
      <c r="G60" s="195"/>
    </row>
    <row r="61" spans="1:7">
      <c r="A61" s="121"/>
      <c r="B61" s="122"/>
      <c r="C61" s="122"/>
      <c r="D61" s="122"/>
      <c r="E61" s="122"/>
      <c r="F61" s="195"/>
      <c r="G61" s="195"/>
    </row>
    <row r="62" spans="1:7">
      <c r="A62" s="121"/>
      <c r="B62" s="122"/>
      <c r="C62" s="122"/>
      <c r="D62" s="122"/>
      <c r="E62" s="122"/>
      <c r="F62" s="195"/>
      <c r="G62" s="195"/>
    </row>
    <row r="63" spans="1:7">
      <c r="A63" s="121"/>
      <c r="B63" s="122"/>
      <c r="C63" s="122"/>
      <c r="D63" s="122"/>
      <c r="E63" s="122"/>
      <c r="F63" s="195"/>
      <c r="G63" s="195"/>
    </row>
    <row r="64" spans="1:7">
      <c r="A64" s="121"/>
      <c r="B64" s="122"/>
      <c r="C64" s="122"/>
      <c r="D64" s="122"/>
      <c r="E64" s="122"/>
      <c r="F64" s="195"/>
      <c r="G64" s="195"/>
    </row>
    <row r="65" spans="1:7">
      <c r="A65" s="121"/>
      <c r="B65" s="122"/>
      <c r="C65" s="122"/>
      <c r="D65" s="122"/>
      <c r="E65" s="122"/>
      <c r="F65" s="195"/>
      <c r="G65" s="195"/>
    </row>
    <row r="66" spans="1:7" ht="16" thickBot="1">
      <c r="A66" s="123"/>
      <c r="B66" s="124"/>
      <c r="C66" s="124"/>
      <c r="D66" s="124"/>
      <c r="E66" s="124"/>
      <c r="F66" s="491"/>
      <c r="G66" s="491"/>
    </row>
    <row r="70" spans="1:7">
      <c r="A70" s="59"/>
    </row>
    <row r="100" spans="6:7">
      <c r="F100" s="760"/>
    </row>
    <row r="101" spans="6:7">
      <c r="G101" s="760"/>
    </row>
    <row r="125" spans="3:3">
      <c r="C125" s="79"/>
    </row>
  </sheetData>
  <sheetProtection algorithmName="SHA-512" hashValue="Wjsuv8vc+Fg0FxfnSuTcd2HQn0uSlBCc0kWMhP1rSa1haix+Yr1jWVIvYgku4jz7msCt35gas9RBbWFIm4372g==" saltValue="RYksaxMaCKZbyYM1fKIzig==" spinCount="100000" sheet="1" scenarios="1" formatCells="0" formatColumns="0" formatRows="0"/>
  <mergeCells count="5">
    <mergeCell ref="A1:M1"/>
    <mergeCell ref="B2:M2"/>
    <mergeCell ref="H21:M21"/>
    <mergeCell ref="A21:F21"/>
    <mergeCell ref="A16:M20"/>
  </mergeCells>
  <hyperlinks>
    <hyperlink ref="O1" location="Index!A1" display="Index" xr:uid="{A3141B51-4140-45D8-BD28-9A3893B0E30A}"/>
  </hyperlinks>
  <printOptions horizontalCentered="1"/>
  <pageMargins left="0.25" right="0.25" top="0.75" bottom="0.75" header="0.3" footer="0.3"/>
  <pageSetup scale="53" orientation="portrait" horizontalDpi="300" verticalDpi="300" r:id="rId1"/>
  <rowBreaks count="1" manualBreakCount="1">
    <brk id="67" max="12"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14A-D3E8-47B1-BCE3-A75F1CF60979}">
  <sheetPr codeName="Sheet65">
    <pageSetUpPr fitToPage="1"/>
  </sheetPr>
  <dimension ref="B1:T84"/>
  <sheetViews>
    <sheetView showGridLines="0" zoomScaleNormal="100" workbookViewId="0">
      <selection activeCell="O16" sqref="O16"/>
    </sheetView>
  </sheetViews>
  <sheetFormatPr baseColWidth="10" defaultColWidth="9.1640625" defaultRowHeight="13"/>
  <cols>
    <col min="1" max="1" width="5.6640625" style="682" customWidth="1"/>
    <col min="2" max="2" width="4.6640625" style="682" customWidth="1"/>
    <col min="3" max="3" width="14.33203125" style="682" customWidth="1"/>
    <col min="4" max="4" width="18" style="682" customWidth="1"/>
    <col min="5" max="5" width="3.6640625" style="682" customWidth="1"/>
    <col min="6" max="6" width="16.5" style="682" customWidth="1"/>
    <col min="7" max="7" width="3.5" style="682" customWidth="1"/>
    <col min="8" max="8" width="19.33203125" style="682" customWidth="1"/>
    <col min="9" max="9" width="3.6640625" style="682" customWidth="1"/>
    <col min="10" max="10" width="13.6640625" style="682" customWidth="1"/>
    <col min="11" max="11" width="3.6640625" style="682" customWidth="1"/>
    <col min="12" max="12" width="16.33203125" style="682" customWidth="1"/>
    <col min="13" max="13" width="9.83203125" style="682" customWidth="1"/>
    <col min="14" max="16384" width="9.1640625" style="682"/>
  </cols>
  <sheetData>
    <row r="1" spans="2:20" ht="14" thickBot="1"/>
    <row r="2" spans="2:20" s="681" customFormat="1" ht="17" thickBot="1">
      <c r="B2" s="3018" t="s">
        <v>1055</v>
      </c>
      <c r="C2" s="3019"/>
      <c r="D2" s="3019"/>
      <c r="E2" s="3019"/>
      <c r="F2" s="3019"/>
      <c r="G2" s="3019"/>
      <c r="H2" s="3019"/>
      <c r="I2" s="3019"/>
      <c r="J2" s="3019"/>
      <c r="K2" s="3019"/>
      <c r="L2" s="3019"/>
      <c r="M2" s="3020"/>
      <c r="N2" s="732"/>
      <c r="O2" s="732"/>
      <c r="P2" s="732"/>
      <c r="Q2" s="732"/>
      <c r="R2" s="732"/>
      <c r="S2" s="732"/>
      <c r="T2" s="732"/>
    </row>
    <row r="3" spans="2:20" ht="17" thickBot="1">
      <c r="B3" s="690" t="s">
        <v>1056</v>
      </c>
      <c r="C3" s="691"/>
      <c r="D3" s="691"/>
      <c r="E3" s="691"/>
      <c r="F3" s="691"/>
      <c r="G3" s="691"/>
      <c r="H3" s="691"/>
      <c r="I3" s="691"/>
      <c r="J3" s="691"/>
      <c r="K3" s="692" t="s">
        <v>1057</v>
      </c>
      <c r="L3" s="1774">
        <v>3</v>
      </c>
      <c r="M3" s="693"/>
    </row>
    <row r="4" spans="2:20" ht="16">
      <c r="B4" s="694"/>
      <c r="C4" s="695"/>
      <c r="D4" s="695"/>
      <c r="E4" s="695"/>
      <c r="F4" s="695"/>
      <c r="G4" s="695"/>
      <c r="H4" s="695"/>
      <c r="I4" s="695"/>
      <c r="J4" s="695"/>
      <c r="K4" s="695"/>
      <c r="L4" s="695"/>
      <c r="M4" s="696"/>
    </row>
    <row r="5" spans="2:20" ht="35" thickBot="1">
      <c r="B5" s="694"/>
      <c r="C5" s="697" t="s">
        <v>1013</v>
      </c>
      <c r="D5" s="697" t="s">
        <v>1058</v>
      </c>
      <c r="E5" s="698"/>
      <c r="F5" s="699" t="s">
        <v>1059</v>
      </c>
      <c r="G5" s="697"/>
      <c r="H5" s="699" t="s">
        <v>1060</v>
      </c>
      <c r="I5" s="695"/>
      <c r="J5" s="698" t="s">
        <v>1061</v>
      </c>
      <c r="K5" s="695"/>
      <c r="L5" s="695"/>
      <c r="M5" s="696"/>
    </row>
    <row r="6" spans="2:20" ht="16">
      <c r="B6" s="694"/>
      <c r="C6" s="1753">
        <f>'Hist IS and Proj'!D4</f>
        <v>44561</v>
      </c>
      <c r="D6" s="1138">
        <f>'Cash Flow'!C7+'Cash Flow'!C9</f>
        <v>0</v>
      </c>
      <c r="E6" s="695"/>
      <c r="F6" s="1138">
        <f>'Cash Flow'!C8</f>
        <v>0</v>
      </c>
      <c r="G6" s="700"/>
      <c r="H6" s="1138">
        <f>'Cash Flow'!C13</f>
        <v>0</v>
      </c>
      <c r="I6" s="695"/>
      <c r="J6" s="695"/>
      <c r="K6" s="701" t="s">
        <v>1062</v>
      </c>
      <c r="L6" s="1141">
        <f>UOP!$E$59</f>
        <v>0</v>
      </c>
      <c r="M6" s="696"/>
    </row>
    <row r="7" spans="2:20" ht="16">
      <c r="B7" s="694"/>
      <c r="C7" s="1753">
        <f>'Hist IS and Proj'!F4</f>
        <v>44926</v>
      </c>
      <c r="D7" s="1139">
        <f>+'Cash Flow'!E7+'Cash Flow'!E9</f>
        <v>0</v>
      </c>
      <c r="E7" s="695"/>
      <c r="F7" s="1139">
        <f>'Cash Flow'!E8</f>
        <v>0</v>
      </c>
      <c r="G7" s="700"/>
      <c r="H7" s="1139">
        <f>'Cash Flow'!E13</f>
        <v>0</v>
      </c>
      <c r="I7" s="695"/>
      <c r="J7" s="695"/>
      <c r="K7" s="701" t="s">
        <v>1063</v>
      </c>
      <c r="L7" s="1142">
        <f>UOP!$D$59</f>
        <v>0</v>
      </c>
      <c r="M7" s="696"/>
    </row>
    <row r="8" spans="2:20" ht="17" thickBot="1">
      <c r="B8" s="694"/>
      <c r="C8" s="1754">
        <f>'Hist IS and Proj'!H4</f>
        <v>45291</v>
      </c>
      <c r="D8" s="1140">
        <f>+'Cash Flow'!G7+'Cash Flow'!G9</f>
        <v>0</v>
      </c>
      <c r="E8" s="695"/>
      <c r="F8" s="1140">
        <f>'Cash Flow'!G8</f>
        <v>0</v>
      </c>
      <c r="G8" s="700"/>
      <c r="H8" s="1140">
        <f>'Cash Flow'!G13</f>
        <v>0</v>
      </c>
      <c r="I8" s="695"/>
      <c r="J8" s="702"/>
      <c r="K8" s="703" t="s">
        <v>1064</v>
      </c>
      <c r="L8" s="1143">
        <f>UOP!$F$59</f>
        <v>0</v>
      </c>
      <c r="M8" s="696"/>
    </row>
    <row r="9" spans="2:20" ht="16">
      <c r="B9" s="694"/>
      <c r="C9" s="704" t="s">
        <v>104</v>
      </c>
      <c r="D9" s="1775">
        <f>SUM(D6:D8)</f>
        <v>0</v>
      </c>
      <c r="E9" s="695"/>
      <c r="F9" s="1775">
        <f>SUM(F6:F8)</f>
        <v>0</v>
      </c>
      <c r="G9" s="700"/>
      <c r="H9" s="1775">
        <f>+SUM(H6:H8)</f>
        <v>0</v>
      </c>
      <c r="I9" s="695"/>
      <c r="J9" s="695"/>
      <c r="K9" s="701" t="s">
        <v>1065</v>
      </c>
      <c r="L9" s="1776">
        <f>SUM(L6:L8)</f>
        <v>0</v>
      </c>
      <c r="M9" s="696"/>
    </row>
    <row r="10" spans="2:20" ht="16">
      <c r="B10" s="694"/>
      <c r="C10" s="731" t="s">
        <v>1066</v>
      </c>
      <c r="D10" s="705"/>
      <c r="E10" s="695"/>
      <c r="F10" s="707"/>
      <c r="G10" s="695"/>
      <c r="H10" s="707"/>
      <c r="I10" s="695"/>
      <c r="J10" s="695"/>
      <c r="K10" s="695"/>
      <c r="L10" s="695"/>
      <c r="M10" s="696"/>
    </row>
    <row r="11" spans="2:20" ht="19">
      <c r="B11" s="694"/>
      <c r="C11" s="695"/>
      <c r="D11" s="695"/>
      <c r="E11" s="695"/>
      <c r="F11" s="708" t="s">
        <v>1067</v>
      </c>
      <c r="G11" s="695"/>
      <c r="H11" s="1777">
        <f>(D9+F9+H9)/L3</f>
        <v>0</v>
      </c>
      <c r="I11" s="701"/>
      <c r="J11" s="695"/>
      <c r="K11" s="710" t="s">
        <v>1068</v>
      </c>
      <c r="L11" s="711">
        <f>IFERROR(0,H11/L9)</f>
        <v>0</v>
      </c>
      <c r="M11" s="696"/>
    </row>
    <row r="12" spans="2:20" ht="17" thickBot="1">
      <c r="B12" s="694"/>
      <c r="C12" s="704"/>
      <c r="D12" s="705"/>
      <c r="E12" s="695"/>
      <c r="F12" s="701"/>
      <c r="G12" s="695"/>
      <c r="H12" s="706"/>
      <c r="I12" s="701"/>
      <c r="J12" s="706"/>
      <c r="K12" s="695"/>
      <c r="L12" s="695"/>
      <c r="M12" s="696"/>
    </row>
    <row r="13" spans="2:20" ht="18" customHeight="1">
      <c r="B13" s="694"/>
      <c r="C13" s="704"/>
      <c r="D13" s="712" t="s">
        <v>1069</v>
      </c>
      <c r="E13" s="691"/>
      <c r="F13" s="691"/>
      <c r="G13" s="691"/>
      <c r="H13" s="693"/>
      <c r="I13" s="695"/>
      <c r="J13" s="695"/>
      <c r="K13" s="695"/>
      <c r="L13" s="695"/>
      <c r="M13" s="696"/>
    </row>
    <row r="14" spans="2:20" ht="18" customHeight="1">
      <c r="B14" s="694"/>
      <c r="C14" s="704"/>
      <c r="D14" s="1144">
        <v>0.3</v>
      </c>
      <c r="E14" s="695"/>
      <c r="F14" s="695"/>
      <c r="G14" s="695"/>
      <c r="H14" s="696"/>
      <c r="I14" s="695"/>
      <c r="J14" s="695"/>
      <c r="K14" s="695"/>
      <c r="L14" s="695"/>
      <c r="M14" s="696"/>
    </row>
    <row r="15" spans="2:20" ht="18" customHeight="1">
      <c r="B15" s="694"/>
      <c r="C15" s="704"/>
      <c r="D15" s="713" t="str">
        <f>_xlfn.CONCAT("Cap Rate Approach (Average Owner Benefit/" &amp;TEXT(D14,"#%")&amp;" Cap Rate)")</f>
        <v>Cap Rate Approach (Average Owner Benefit/30% Cap Rate)</v>
      </c>
      <c r="E15" s="695"/>
      <c r="F15" s="695"/>
      <c r="G15" s="695"/>
      <c r="H15" s="696"/>
      <c r="I15" s="695"/>
      <c r="J15" s="695"/>
      <c r="K15" s="695"/>
      <c r="L15" s="695"/>
      <c r="M15" s="696"/>
    </row>
    <row r="16" spans="2:20" ht="18" customHeight="1">
      <c r="B16" s="694"/>
      <c r="C16" s="704"/>
      <c r="D16" s="1755">
        <f>H11/D14</f>
        <v>0</v>
      </c>
      <c r="E16" s="695"/>
      <c r="F16" s="695"/>
      <c r="G16" s="695"/>
      <c r="H16" s="696"/>
      <c r="I16" s="695"/>
      <c r="J16" s="695"/>
      <c r="K16" s="695"/>
      <c r="L16" s="695"/>
      <c r="M16" s="696"/>
    </row>
    <row r="17" spans="2:13" ht="18" customHeight="1">
      <c r="B17" s="694"/>
      <c r="C17" s="704"/>
      <c r="D17" s="713"/>
      <c r="E17" s="695"/>
      <c r="F17" s="695"/>
      <c r="G17" s="695"/>
      <c r="H17" s="696"/>
      <c r="I17" s="695"/>
      <c r="J17" s="695"/>
      <c r="K17" s="695"/>
      <c r="L17" s="695"/>
      <c r="M17" s="696"/>
    </row>
    <row r="18" spans="2:13" ht="18" customHeight="1">
      <c r="B18" s="694"/>
      <c r="C18" s="704"/>
      <c r="D18" s="713" t="str">
        <f>_xlfn.CONCAT("DCF at " &amp;TEXT(D14,"#%")&amp; " Discount Rate")</f>
        <v>DCF at 30% Discount Rate</v>
      </c>
      <c r="E18" s="695"/>
      <c r="F18" s="695"/>
      <c r="G18" s="695"/>
      <c r="H18" s="696"/>
      <c r="I18" s="695"/>
      <c r="J18" s="695"/>
      <c r="K18" s="695"/>
      <c r="L18" s="695"/>
      <c r="M18" s="696"/>
    </row>
    <row r="19" spans="2:13" ht="18" customHeight="1">
      <c r="B19" s="694"/>
      <c r="C19" s="704"/>
      <c r="D19" s="714">
        <f>L39</f>
        <v>0</v>
      </c>
      <c r="E19" s="695"/>
      <c r="F19" s="695"/>
      <c r="G19" s="695"/>
      <c r="H19" s="696"/>
      <c r="I19" s="695"/>
      <c r="J19" s="695"/>
      <c r="K19" s="695"/>
      <c r="L19" s="695"/>
      <c r="M19" s="696"/>
    </row>
    <row r="20" spans="2:13" ht="18" customHeight="1">
      <c r="B20" s="694"/>
      <c r="C20" s="704"/>
      <c r="D20" s="713"/>
      <c r="E20" s="695"/>
      <c r="F20" s="695" t="s">
        <v>1070</v>
      </c>
      <c r="G20" s="695"/>
      <c r="H20" s="696"/>
      <c r="I20" s="695"/>
      <c r="J20" s="695"/>
      <c r="K20" s="695"/>
      <c r="L20" s="695"/>
      <c r="M20" s="696"/>
    </row>
    <row r="21" spans="2:13" ht="18" customHeight="1">
      <c r="B21" s="694"/>
      <c r="C21" s="704"/>
      <c r="D21" s="713" t="s">
        <v>1071</v>
      </c>
      <c r="E21" s="695"/>
      <c r="F21" s="695" t="s">
        <v>1072</v>
      </c>
      <c r="G21" s="695"/>
      <c r="H21" s="696" t="s">
        <v>981</v>
      </c>
      <c r="I21" s="695"/>
      <c r="J21" s="695"/>
      <c r="K21" s="695"/>
      <c r="L21" s="695"/>
      <c r="M21" s="696"/>
    </row>
    <row r="22" spans="2:13" ht="18" customHeight="1" thickBot="1">
      <c r="B22" s="694"/>
      <c r="C22" s="704"/>
      <c r="D22" s="715">
        <f>(+D16+D19)/2</f>
        <v>0</v>
      </c>
      <c r="E22" s="716"/>
      <c r="F22" s="1145">
        <v>0</v>
      </c>
      <c r="G22" s="716"/>
      <c r="H22" s="717">
        <f>+D22-F22</f>
        <v>0</v>
      </c>
      <c r="I22" s="695"/>
      <c r="J22" s="695"/>
      <c r="K22" s="695"/>
      <c r="L22" s="695"/>
      <c r="M22" s="696"/>
    </row>
    <row r="23" spans="2:13" ht="18" customHeight="1">
      <c r="B23" s="694"/>
      <c r="C23" s="704"/>
      <c r="D23" s="705"/>
      <c r="E23" s="695"/>
      <c r="F23" s="695"/>
      <c r="G23" s="695"/>
      <c r="H23" s="695"/>
      <c r="I23" s="695"/>
      <c r="J23" s="695"/>
      <c r="K23" s="695"/>
      <c r="L23" s="1765"/>
      <c r="M23" s="696"/>
    </row>
    <row r="24" spans="2:13" ht="18" hidden="1" customHeight="1">
      <c r="B24" s="694"/>
      <c r="C24" s="704"/>
      <c r="D24" s="705"/>
      <c r="E24" s="695"/>
      <c r="F24" s="695"/>
      <c r="G24" s="695"/>
      <c r="H24" s="695"/>
      <c r="I24" s="695"/>
      <c r="J24" s="695"/>
      <c r="K24" s="695"/>
      <c r="L24" s="695"/>
      <c r="M24" s="696"/>
    </row>
    <row r="25" spans="2:13" ht="18" hidden="1" customHeight="1">
      <c r="B25" s="694"/>
      <c r="C25" s="704"/>
      <c r="D25" s="705"/>
      <c r="E25" s="695"/>
      <c r="F25" s="695"/>
      <c r="G25" s="695"/>
      <c r="H25" s="695"/>
      <c r="I25" s="695"/>
      <c r="J25" s="695"/>
      <c r="K25" s="695"/>
      <c r="L25" s="695"/>
      <c r="M25" s="696"/>
    </row>
    <row r="26" spans="2:13" ht="18" customHeight="1">
      <c r="B26" s="694"/>
      <c r="C26" s="704"/>
      <c r="D26" s="705"/>
      <c r="E26" s="695"/>
      <c r="F26" s="695"/>
      <c r="G26" s="695"/>
      <c r="H26" s="695"/>
      <c r="I26" s="695"/>
      <c r="J26" s="695"/>
      <c r="K26" s="695"/>
      <c r="L26" s="695"/>
      <c r="M26" s="696"/>
    </row>
    <row r="27" spans="2:13" ht="17" thickBot="1">
      <c r="B27" s="718"/>
      <c r="C27" s="719" t="s">
        <v>1073</v>
      </c>
      <c r="D27" s="720" t="s">
        <v>1074</v>
      </c>
      <c r="E27" s="719"/>
      <c r="F27" s="721">
        <v>0.1</v>
      </c>
      <c r="G27" s="695"/>
      <c r="H27" s="721">
        <v>0.15</v>
      </c>
      <c r="I27" s="695"/>
      <c r="J27" s="721">
        <v>0.2</v>
      </c>
      <c r="K27" s="719"/>
      <c r="L27" s="721">
        <v>0.3</v>
      </c>
      <c r="M27" s="696"/>
    </row>
    <row r="28" spans="2:13" ht="17" thickBot="1">
      <c r="B28" s="718"/>
      <c r="C28" s="722" t="s">
        <v>1075</v>
      </c>
      <c r="D28" s="1146">
        <v>0.01</v>
      </c>
      <c r="E28" s="722"/>
      <c r="F28" s="723" t="s">
        <v>1076</v>
      </c>
      <c r="G28" s="716"/>
      <c r="H28" s="723" t="s">
        <v>1076</v>
      </c>
      <c r="I28" s="716"/>
      <c r="J28" s="723" t="s">
        <v>1076</v>
      </c>
      <c r="K28" s="722"/>
      <c r="L28" s="723" t="s">
        <v>1076</v>
      </c>
      <c r="M28" s="696"/>
    </row>
    <row r="29" spans="2:13" ht="16">
      <c r="B29" s="694"/>
      <c r="C29" s="695" t="s">
        <v>1077</v>
      </c>
      <c r="D29" s="705">
        <f>(H11)*(1+D28)</f>
        <v>0</v>
      </c>
      <c r="E29" s="724"/>
      <c r="F29" s="705">
        <f>(D29*0.90909)</f>
        <v>0</v>
      </c>
      <c r="G29" s="695"/>
      <c r="H29" s="705">
        <f>(D29*0.86957)</f>
        <v>0</v>
      </c>
      <c r="I29" s="695"/>
      <c r="J29" s="705">
        <f>(D29*0.83333)</f>
        <v>0</v>
      </c>
      <c r="K29" s="695"/>
      <c r="L29" s="705">
        <f>(D29*0.76923)</f>
        <v>0</v>
      </c>
      <c r="M29" s="696"/>
    </row>
    <row r="30" spans="2:13" ht="16">
      <c r="B30" s="694"/>
      <c r="C30" s="695" t="s">
        <v>1078</v>
      </c>
      <c r="D30" s="705">
        <f>(D29)*(1+D28)</f>
        <v>0</v>
      </c>
      <c r="E30" s="695"/>
      <c r="F30" s="705">
        <f>(D30*0.82645)</f>
        <v>0</v>
      </c>
      <c r="G30" s="695"/>
      <c r="H30" s="705">
        <f>(D30*0.75614)</f>
        <v>0</v>
      </c>
      <c r="I30" s="695"/>
      <c r="J30" s="705">
        <f>(D30*0.69444)</f>
        <v>0</v>
      </c>
      <c r="K30" s="695"/>
      <c r="L30" s="705">
        <f>(D30*0.59172)</f>
        <v>0</v>
      </c>
      <c r="M30" s="696"/>
    </row>
    <row r="31" spans="2:13" ht="16">
      <c r="B31" s="694"/>
      <c r="C31" s="695" t="s">
        <v>1079</v>
      </c>
      <c r="D31" s="705">
        <f>(D30)*(1+D28)</f>
        <v>0</v>
      </c>
      <c r="E31" s="695"/>
      <c r="F31" s="705">
        <f>(D31*0.75131)</f>
        <v>0</v>
      </c>
      <c r="G31" s="695"/>
      <c r="H31" s="705">
        <f>(D31*0.65752)</f>
        <v>0</v>
      </c>
      <c r="I31" s="695"/>
      <c r="J31" s="705">
        <f>(D31*0.5787)</f>
        <v>0</v>
      </c>
      <c r="K31" s="695"/>
      <c r="L31" s="705">
        <f>(D31*0.45517)</f>
        <v>0</v>
      </c>
      <c r="M31" s="696"/>
    </row>
    <row r="32" spans="2:13" ht="16">
      <c r="B32" s="694"/>
      <c r="C32" s="695" t="s">
        <v>1080</v>
      </c>
      <c r="D32" s="705">
        <f>(D31)*(1+D28)</f>
        <v>0</v>
      </c>
      <c r="E32" s="695"/>
      <c r="F32" s="705">
        <f>(D32*0.68301)</f>
        <v>0</v>
      </c>
      <c r="G32" s="695"/>
      <c r="H32" s="705">
        <f>(D32*0.57175)</f>
        <v>0</v>
      </c>
      <c r="I32" s="695"/>
      <c r="J32" s="705">
        <f>(D32*0.48225)</f>
        <v>0</v>
      </c>
      <c r="K32" s="695"/>
      <c r="L32" s="705">
        <f>(D32*0.35013)</f>
        <v>0</v>
      </c>
      <c r="M32" s="696"/>
    </row>
    <row r="33" spans="2:13" ht="16">
      <c r="B33" s="694"/>
      <c r="C33" s="695" t="s">
        <v>1081</v>
      </c>
      <c r="D33" s="705">
        <f>(D32)*(1+D28)</f>
        <v>0</v>
      </c>
      <c r="E33" s="695"/>
      <c r="F33" s="705">
        <f>(D33*0.62092)</f>
        <v>0</v>
      </c>
      <c r="G33" s="695"/>
      <c r="H33" s="705">
        <f>(D33*0.49718)</f>
        <v>0</v>
      </c>
      <c r="I33" s="695"/>
      <c r="J33" s="705">
        <f>(D33*0.40188)</f>
        <v>0</v>
      </c>
      <c r="K33" s="695"/>
      <c r="L33" s="705">
        <f>(D33*0.26933)</f>
        <v>0</v>
      </c>
      <c r="M33" s="696"/>
    </row>
    <row r="34" spans="2:13" ht="16">
      <c r="B34" s="694"/>
      <c r="C34" s="695" t="s">
        <v>1082</v>
      </c>
      <c r="D34" s="705">
        <f>(D33)*(1+D28)</f>
        <v>0</v>
      </c>
      <c r="E34" s="695"/>
      <c r="F34" s="705">
        <f>(D34*0.56447)</f>
        <v>0</v>
      </c>
      <c r="G34" s="695"/>
      <c r="H34" s="705">
        <f>(D34*0.43233)</f>
        <v>0</v>
      </c>
      <c r="I34" s="695"/>
      <c r="J34" s="705">
        <f>(D34*0.3349)</f>
        <v>0</v>
      </c>
      <c r="K34" s="695"/>
      <c r="L34" s="705">
        <f>(D34*0.20718)</f>
        <v>0</v>
      </c>
      <c r="M34" s="696"/>
    </row>
    <row r="35" spans="2:13" ht="16">
      <c r="B35" s="694"/>
      <c r="C35" s="695" t="s">
        <v>1083</v>
      </c>
      <c r="D35" s="705">
        <f>(D34)*(1+D28)</f>
        <v>0</v>
      </c>
      <c r="E35" s="695"/>
      <c r="F35" s="705">
        <f>(D35*0.51316)</f>
        <v>0</v>
      </c>
      <c r="G35" s="695"/>
      <c r="H35" s="705">
        <f>(D35*0.37594)</f>
        <v>0</v>
      </c>
      <c r="I35" s="695"/>
      <c r="J35" s="705">
        <f>(D35*0.27908)</f>
        <v>0</v>
      </c>
      <c r="K35" s="695"/>
      <c r="L35" s="705">
        <f>(D35*0.15391)</f>
        <v>0</v>
      </c>
      <c r="M35" s="696"/>
    </row>
    <row r="36" spans="2:13" ht="16">
      <c r="B36" s="694"/>
      <c r="C36" s="695" t="s">
        <v>1084</v>
      </c>
      <c r="D36" s="705">
        <f>(D35)*(1+D28)</f>
        <v>0</v>
      </c>
      <c r="E36" s="695"/>
      <c r="F36" s="705">
        <f>(D36*0.46651)</f>
        <v>0</v>
      </c>
      <c r="G36" s="695"/>
      <c r="H36" s="705">
        <f>(D36*0.3269)</f>
        <v>0</v>
      </c>
      <c r="I36" s="695"/>
      <c r="J36" s="705">
        <f>(D36*0.23257)</f>
        <v>0</v>
      </c>
      <c r="K36" s="695"/>
      <c r="L36" s="705">
        <f>(D36*0.12259)</f>
        <v>0</v>
      </c>
      <c r="M36" s="696"/>
    </row>
    <row r="37" spans="2:13" ht="16">
      <c r="B37" s="694"/>
      <c r="C37" s="695" t="s">
        <v>1085</v>
      </c>
      <c r="D37" s="705">
        <f>(D36)*(1+D28)</f>
        <v>0</v>
      </c>
      <c r="E37" s="695"/>
      <c r="F37" s="705">
        <f>(D37*0.4241)</f>
        <v>0</v>
      </c>
      <c r="G37" s="695"/>
      <c r="H37" s="705">
        <f>(D37*0.28426)</f>
        <v>0</v>
      </c>
      <c r="I37" s="695"/>
      <c r="J37" s="705">
        <f>(D37*0.19381)</f>
        <v>0</v>
      </c>
      <c r="K37" s="695"/>
      <c r="L37" s="705">
        <f>(D37*0.0943)</f>
        <v>0</v>
      </c>
      <c r="M37" s="696"/>
    </row>
    <row r="38" spans="2:13" ht="17" thickBot="1">
      <c r="B38" s="694"/>
      <c r="C38" s="716" t="s">
        <v>1086</v>
      </c>
      <c r="D38" s="725">
        <f>(D37)*(1+D28)</f>
        <v>0</v>
      </c>
      <c r="E38" s="716"/>
      <c r="F38" s="725">
        <f>(D38*0.38554)</f>
        <v>0</v>
      </c>
      <c r="G38" s="716"/>
      <c r="H38" s="725">
        <f>(D38*0.24718)</f>
        <v>0</v>
      </c>
      <c r="I38" s="716"/>
      <c r="J38" s="725">
        <f>(D38*0.16151)</f>
        <v>0</v>
      </c>
      <c r="K38" s="716"/>
      <c r="L38" s="725">
        <f>(D38*0.07254)</f>
        <v>0</v>
      </c>
      <c r="M38" s="696"/>
    </row>
    <row r="39" spans="2:13" ht="19">
      <c r="B39" s="694"/>
      <c r="C39" s="726" t="s">
        <v>1087</v>
      </c>
      <c r="D39" s="727"/>
      <c r="E39" s="695"/>
      <c r="F39" s="709">
        <f>SUM(F29:F38)</f>
        <v>0</v>
      </c>
      <c r="G39" s="726"/>
      <c r="H39" s="709">
        <f>SUM(H29:H38)</f>
        <v>0</v>
      </c>
      <c r="I39" s="726"/>
      <c r="J39" s="709">
        <f>SUM(J29:J38)</f>
        <v>0</v>
      </c>
      <c r="K39" s="726"/>
      <c r="L39" s="709">
        <f>SUM(L29:L38)</f>
        <v>0</v>
      </c>
      <c r="M39" s="696"/>
    </row>
    <row r="40" spans="2:13" ht="16">
      <c r="B40" s="694"/>
      <c r="C40" s="695"/>
      <c r="D40" s="705"/>
      <c r="E40" s="695"/>
      <c r="F40" s="700"/>
      <c r="G40" s="695"/>
      <c r="H40" s="700"/>
      <c r="I40" s="695"/>
      <c r="J40" s="700"/>
      <c r="K40" s="695"/>
      <c r="L40" s="700"/>
      <c r="M40" s="696"/>
    </row>
    <row r="41" spans="2:13" ht="16">
      <c r="B41" s="694"/>
      <c r="C41" s="695"/>
      <c r="D41" s="705"/>
      <c r="E41" s="695"/>
      <c r="F41" s="700"/>
      <c r="G41" s="695"/>
      <c r="H41" s="700"/>
      <c r="I41" s="695"/>
      <c r="J41" s="700"/>
      <c r="K41" s="695"/>
      <c r="L41" s="700"/>
      <c r="M41" s="696"/>
    </row>
    <row r="42" spans="2:13" ht="17" thickBot="1">
      <c r="B42" s="694"/>
      <c r="C42" s="719" t="s">
        <v>1088</v>
      </c>
      <c r="D42" s="720" t="s">
        <v>1089</v>
      </c>
      <c r="E42" s="695"/>
      <c r="F42" s="721">
        <v>0.1</v>
      </c>
      <c r="G42" s="695"/>
      <c r="H42" s="721">
        <v>0.15</v>
      </c>
      <c r="I42" s="695"/>
      <c r="J42" s="721">
        <v>0.2</v>
      </c>
      <c r="K42" s="719"/>
      <c r="L42" s="721">
        <v>0.3</v>
      </c>
      <c r="M42" s="696"/>
    </row>
    <row r="43" spans="2:13" ht="17" thickBot="1">
      <c r="B43" s="694"/>
      <c r="C43" s="722" t="s">
        <v>1075</v>
      </c>
      <c r="D43" s="1146">
        <v>3.7999999999999999E-2</v>
      </c>
      <c r="E43" s="716"/>
      <c r="F43" s="723" t="s">
        <v>1076</v>
      </c>
      <c r="G43" s="716"/>
      <c r="H43" s="723" t="s">
        <v>1076</v>
      </c>
      <c r="I43" s="716"/>
      <c r="J43" s="723" t="s">
        <v>1076</v>
      </c>
      <c r="K43" s="722"/>
      <c r="L43" s="723" t="s">
        <v>1076</v>
      </c>
      <c r="M43" s="696"/>
    </row>
    <row r="44" spans="2:13" ht="16">
      <c r="B44" s="694"/>
      <c r="C44" s="695" t="s">
        <v>1077</v>
      </c>
      <c r="D44" s="705">
        <f>(H11)*(1+D43)</f>
        <v>0</v>
      </c>
      <c r="E44" s="695"/>
      <c r="F44" s="705">
        <f>(D44*0.90909)</f>
        <v>0</v>
      </c>
      <c r="G44" s="695"/>
      <c r="H44" s="705">
        <f>(D44*0.86957)</f>
        <v>0</v>
      </c>
      <c r="I44" s="695"/>
      <c r="J44" s="705">
        <f>(D44*0.83333)</f>
        <v>0</v>
      </c>
      <c r="K44" s="695"/>
      <c r="L44" s="705">
        <f>(D44*0.76923)</f>
        <v>0</v>
      </c>
      <c r="M44" s="696"/>
    </row>
    <row r="45" spans="2:13" ht="16">
      <c r="B45" s="694"/>
      <c r="C45" s="695" t="s">
        <v>1078</v>
      </c>
      <c r="D45" s="705">
        <f>(D44)*(1+D43)</f>
        <v>0</v>
      </c>
      <c r="E45" s="695"/>
      <c r="F45" s="705">
        <f>(D45*0.82645)</f>
        <v>0</v>
      </c>
      <c r="G45" s="695"/>
      <c r="H45" s="705">
        <f>(D45*0.75614)</f>
        <v>0</v>
      </c>
      <c r="I45" s="695"/>
      <c r="J45" s="705">
        <f>(D45*0.69444)</f>
        <v>0</v>
      </c>
      <c r="K45" s="695"/>
      <c r="L45" s="705">
        <f>(D45*0.59172)</f>
        <v>0</v>
      </c>
      <c r="M45" s="696"/>
    </row>
    <row r="46" spans="2:13" ht="16">
      <c r="B46" s="694"/>
      <c r="C46" s="695" t="s">
        <v>1079</v>
      </c>
      <c r="D46" s="705">
        <f>(D45)*(1+D43)</f>
        <v>0</v>
      </c>
      <c r="E46" s="695"/>
      <c r="F46" s="705">
        <f>(D46*0.75131)</f>
        <v>0</v>
      </c>
      <c r="G46" s="695"/>
      <c r="H46" s="705">
        <f>(D46*0.65752)</f>
        <v>0</v>
      </c>
      <c r="I46" s="695"/>
      <c r="J46" s="705">
        <f>(D46*0.5787)</f>
        <v>0</v>
      </c>
      <c r="K46" s="695"/>
      <c r="L46" s="705">
        <f>(D46*0.45517)</f>
        <v>0</v>
      </c>
      <c r="M46" s="696"/>
    </row>
    <row r="47" spans="2:13" ht="16">
      <c r="B47" s="694"/>
      <c r="C47" s="695" t="s">
        <v>1080</v>
      </c>
      <c r="D47" s="705">
        <f>(D46)*(1+D43)</f>
        <v>0</v>
      </c>
      <c r="E47" s="695"/>
      <c r="F47" s="705">
        <f>(D47*0.68301)</f>
        <v>0</v>
      </c>
      <c r="G47" s="695"/>
      <c r="H47" s="705">
        <f>(D47*0.57175)</f>
        <v>0</v>
      </c>
      <c r="I47" s="695"/>
      <c r="J47" s="705">
        <f>(D47*0.48225)</f>
        <v>0</v>
      </c>
      <c r="K47" s="695"/>
      <c r="L47" s="705">
        <f>(D47*0.35013)</f>
        <v>0</v>
      </c>
      <c r="M47" s="696"/>
    </row>
    <row r="48" spans="2:13" ht="16">
      <c r="B48" s="694"/>
      <c r="C48" s="695" t="s">
        <v>1081</v>
      </c>
      <c r="D48" s="705">
        <f>(D47)*(1+D43)</f>
        <v>0</v>
      </c>
      <c r="E48" s="695"/>
      <c r="F48" s="705">
        <f>(D48*0.62092)</f>
        <v>0</v>
      </c>
      <c r="G48" s="695"/>
      <c r="H48" s="705">
        <f>(D48*0.49718)</f>
        <v>0</v>
      </c>
      <c r="I48" s="695"/>
      <c r="J48" s="705">
        <f>(D48*0.40188)</f>
        <v>0</v>
      </c>
      <c r="K48" s="695"/>
      <c r="L48" s="705">
        <f>(D48*0.26933)</f>
        <v>0</v>
      </c>
      <c r="M48" s="696"/>
    </row>
    <row r="49" spans="2:13" ht="16">
      <c r="B49" s="694"/>
      <c r="C49" s="695" t="s">
        <v>1082</v>
      </c>
      <c r="D49" s="705">
        <f>(D48)*(1+D43)</f>
        <v>0</v>
      </c>
      <c r="E49" s="695"/>
      <c r="F49" s="705">
        <f>(D49*0.56447)</f>
        <v>0</v>
      </c>
      <c r="G49" s="695"/>
      <c r="H49" s="705">
        <f>(D49*0.43233)</f>
        <v>0</v>
      </c>
      <c r="I49" s="695"/>
      <c r="J49" s="705">
        <f>(D49*0.3349)</f>
        <v>0</v>
      </c>
      <c r="K49" s="695"/>
      <c r="L49" s="705">
        <f>(D49*0.20718)</f>
        <v>0</v>
      </c>
      <c r="M49" s="696"/>
    </row>
    <row r="50" spans="2:13" ht="16">
      <c r="B50" s="694"/>
      <c r="C50" s="695" t="s">
        <v>1083</v>
      </c>
      <c r="D50" s="705">
        <f>(D49)*(1+D43)</f>
        <v>0</v>
      </c>
      <c r="E50" s="695"/>
      <c r="F50" s="705">
        <f>(D50*0.51316)</f>
        <v>0</v>
      </c>
      <c r="G50" s="695"/>
      <c r="H50" s="705">
        <f>(D50*0.37594)</f>
        <v>0</v>
      </c>
      <c r="I50" s="695"/>
      <c r="J50" s="705">
        <f>(D50*0.27908)</f>
        <v>0</v>
      </c>
      <c r="K50" s="695"/>
      <c r="L50" s="705">
        <f>(D50*0.15391)</f>
        <v>0</v>
      </c>
      <c r="M50" s="696"/>
    </row>
    <row r="51" spans="2:13" ht="16">
      <c r="B51" s="694"/>
      <c r="C51" s="695" t="s">
        <v>1084</v>
      </c>
      <c r="D51" s="705">
        <f>(D50)*(1+D43)</f>
        <v>0</v>
      </c>
      <c r="E51" s="695"/>
      <c r="F51" s="705">
        <f>(D51*0.46651)</f>
        <v>0</v>
      </c>
      <c r="G51" s="695"/>
      <c r="H51" s="705">
        <f>(D51*0.3269)</f>
        <v>0</v>
      </c>
      <c r="I51" s="695"/>
      <c r="J51" s="705">
        <f>(D51*0.23257)</f>
        <v>0</v>
      </c>
      <c r="K51" s="695"/>
      <c r="L51" s="705">
        <f>(D51*0.12259)</f>
        <v>0</v>
      </c>
      <c r="M51" s="696"/>
    </row>
    <row r="52" spans="2:13" ht="16">
      <c r="B52" s="694"/>
      <c r="C52" s="695" t="s">
        <v>1085</v>
      </c>
      <c r="D52" s="705">
        <f>(D51)*(1+D43)</f>
        <v>0</v>
      </c>
      <c r="E52" s="695"/>
      <c r="F52" s="705">
        <f>(D52*0.4241)</f>
        <v>0</v>
      </c>
      <c r="G52" s="695"/>
      <c r="H52" s="705">
        <f>(D52*0.28426)</f>
        <v>0</v>
      </c>
      <c r="I52" s="695"/>
      <c r="J52" s="705">
        <f>(D52*0.19381)</f>
        <v>0</v>
      </c>
      <c r="K52" s="695"/>
      <c r="L52" s="705">
        <f>(D52*0.0943)</f>
        <v>0</v>
      </c>
      <c r="M52" s="696"/>
    </row>
    <row r="53" spans="2:13" ht="17" thickBot="1">
      <c r="B53" s="694"/>
      <c r="C53" s="716" t="s">
        <v>1086</v>
      </c>
      <c r="D53" s="725">
        <f>(D52)*(1+D43)</f>
        <v>0</v>
      </c>
      <c r="E53" s="716"/>
      <c r="F53" s="725">
        <f>(D53*0.38554)</f>
        <v>0</v>
      </c>
      <c r="G53" s="716"/>
      <c r="H53" s="725">
        <f>(D53*0.24718)</f>
        <v>0</v>
      </c>
      <c r="I53" s="716"/>
      <c r="J53" s="725">
        <f>(D53*0.16151)</f>
        <v>0</v>
      </c>
      <c r="K53" s="716"/>
      <c r="L53" s="725">
        <f>(D53*0.07254)</f>
        <v>0</v>
      </c>
      <c r="M53" s="696"/>
    </row>
    <row r="54" spans="2:13" ht="19">
      <c r="B54" s="694"/>
      <c r="C54" s="726" t="s">
        <v>1087</v>
      </c>
      <c r="D54" s="695"/>
      <c r="E54" s="695"/>
      <c r="F54" s="709">
        <f>SUM(F44:F53)</f>
        <v>0</v>
      </c>
      <c r="G54" s="726"/>
      <c r="H54" s="709">
        <f>SUM(H44:H53)</f>
        <v>0</v>
      </c>
      <c r="I54" s="726"/>
      <c r="J54" s="709">
        <f>SUM(J44:J53)</f>
        <v>0</v>
      </c>
      <c r="K54" s="726"/>
      <c r="L54" s="709">
        <f>SUM(L44:L53)</f>
        <v>0</v>
      </c>
      <c r="M54" s="696"/>
    </row>
    <row r="55" spans="2:13" ht="16">
      <c r="B55" s="694"/>
      <c r="C55" s="695"/>
      <c r="D55" s="695"/>
      <c r="E55" s="695"/>
      <c r="F55" s="695"/>
      <c r="G55" s="695"/>
      <c r="H55" s="695"/>
      <c r="I55" s="695"/>
      <c r="J55" s="695"/>
      <c r="K55" s="695"/>
      <c r="L55" s="695"/>
      <c r="M55" s="696"/>
    </row>
    <row r="56" spans="2:13" ht="16">
      <c r="B56" s="694"/>
      <c r="C56" s="695"/>
      <c r="D56" s="700"/>
      <c r="E56" s="695"/>
      <c r="F56" s="700"/>
      <c r="G56" s="695"/>
      <c r="H56" s="700"/>
      <c r="I56" s="695"/>
      <c r="J56" s="700"/>
      <c r="K56" s="695"/>
      <c r="L56" s="700"/>
      <c r="M56" s="696"/>
    </row>
    <row r="57" spans="2:13" ht="17" thickBot="1">
      <c r="B57" s="694"/>
      <c r="C57" s="719" t="s">
        <v>1090</v>
      </c>
      <c r="D57" s="720" t="s">
        <v>1091</v>
      </c>
      <c r="E57" s="695"/>
      <c r="F57" s="721">
        <v>0.1</v>
      </c>
      <c r="G57" s="695"/>
      <c r="H57" s="721">
        <v>0.15</v>
      </c>
      <c r="I57" s="695"/>
      <c r="J57" s="721">
        <v>0.2</v>
      </c>
      <c r="K57" s="719"/>
      <c r="L57" s="721">
        <v>0.3</v>
      </c>
      <c r="M57" s="696"/>
    </row>
    <row r="58" spans="2:13" ht="17" thickBot="1">
      <c r="B58" s="694"/>
      <c r="C58" s="722" t="s">
        <v>1075</v>
      </c>
      <c r="D58" s="1146">
        <v>0.1</v>
      </c>
      <c r="E58" s="716"/>
      <c r="F58" s="723" t="s">
        <v>1076</v>
      </c>
      <c r="G58" s="716"/>
      <c r="H58" s="723" t="s">
        <v>1076</v>
      </c>
      <c r="I58" s="716"/>
      <c r="J58" s="723" t="s">
        <v>1076</v>
      </c>
      <c r="K58" s="722"/>
      <c r="L58" s="723" t="s">
        <v>1076</v>
      </c>
      <c r="M58" s="696"/>
    </row>
    <row r="59" spans="2:13" ht="16">
      <c r="B59" s="694"/>
      <c r="C59" s="695" t="s">
        <v>1077</v>
      </c>
      <c r="D59" s="705">
        <f>(H11)*(1+D58)</f>
        <v>0</v>
      </c>
      <c r="E59" s="695"/>
      <c r="F59" s="705">
        <f>(D59*0.90909)</f>
        <v>0</v>
      </c>
      <c r="G59" s="695"/>
      <c r="H59" s="705">
        <f>(D59*0.86957)</f>
        <v>0</v>
      </c>
      <c r="I59" s="695"/>
      <c r="J59" s="705">
        <f>(D59*0.83333)</f>
        <v>0</v>
      </c>
      <c r="K59" s="695"/>
      <c r="L59" s="705">
        <f>(D59*0.76923)</f>
        <v>0</v>
      </c>
      <c r="M59" s="696"/>
    </row>
    <row r="60" spans="2:13" ht="16">
      <c r="B60" s="694"/>
      <c r="C60" s="695" t="s">
        <v>1078</v>
      </c>
      <c r="D60" s="705">
        <f>(D59)*(1+D58)</f>
        <v>0</v>
      </c>
      <c r="E60" s="695"/>
      <c r="F60" s="705">
        <f>(D60*0.82645)</f>
        <v>0</v>
      </c>
      <c r="G60" s="695"/>
      <c r="H60" s="705">
        <f>(D60*0.75614)</f>
        <v>0</v>
      </c>
      <c r="I60" s="695"/>
      <c r="J60" s="705">
        <f>(D60*0.69444)</f>
        <v>0</v>
      </c>
      <c r="K60" s="695"/>
      <c r="L60" s="705">
        <f>(D60*0.59172)</f>
        <v>0</v>
      </c>
      <c r="M60" s="696"/>
    </row>
    <row r="61" spans="2:13" ht="16">
      <c r="B61" s="694"/>
      <c r="C61" s="695" t="s">
        <v>1079</v>
      </c>
      <c r="D61" s="705">
        <f>(D60)*(1+D58)</f>
        <v>0</v>
      </c>
      <c r="E61" s="695"/>
      <c r="F61" s="705">
        <f>(D61*0.75131)</f>
        <v>0</v>
      </c>
      <c r="G61" s="695"/>
      <c r="H61" s="705">
        <f>(D61*0.65752)</f>
        <v>0</v>
      </c>
      <c r="I61" s="695"/>
      <c r="J61" s="705">
        <f>(D61*0.5787)</f>
        <v>0</v>
      </c>
      <c r="K61" s="695"/>
      <c r="L61" s="705">
        <f>(D61*0.45517)</f>
        <v>0</v>
      </c>
      <c r="M61" s="696"/>
    </row>
    <row r="62" spans="2:13" ht="16">
      <c r="B62" s="694"/>
      <c r="C62" s="695" t="s">
        <v>1080</v>
      </c>
      <c r="D62" s="705">
        <f>(D61)*(1+D58)</f>
        <v>0</v>
      </c>
      <c r="E62" s="695"/>
      <c r="F62" s="705">
        <f>(D62*0.68301)</f>
        <v>0</v>
      </c>
      <c r="G62" s="695"/>
      <c r="H62" s="705">
        <f>(D62*0.57175)</f>
        <v>0</v>
      </c>
      <c r="I62" s="695"/>
      <c r="J62" s="705">
        <f>(D62*0.48225)</f>
        <v>0</v>
      </c>
      <c r="K62" s="695"/>
      <c r="L62" s="705">
        <f>(D62*0.35013)</f>
        <v>0</v>
      </c>
      <c r="M62" s="696"/>
    </row>
    <row r="63" spans="2:13" ht="16">
      <c r="B63" s="694"/>
      <c r="C63" s="695" t="s">
        <v>1081</v>
      </c>
      <c r="D63" s="705">
        <f>(D62)*(1+D58)</f>
        <v>0</v>
      </c>
      <c r="E63" s="695"/>
      <c r="F63" s="705">
        <f>(D63*0.62092)</f>
        <v>0</v>
      </c>
      <c r="G63" s="695"/>
      <c r="H63" s="705">
        <f>(D63*0.49718)</f>
        <v>0</v>
      </c>
      <c r="I63" s="695"/>
      <c r="J63" s="705">
        <f>(D63*0.40188)</f>
        <v>0</v>
      </c>
      <c r="K63" s="695"/>
      <c r="L63" s="705">
        <f>(D63*0.26933)</f>
        <v>0</v>
      </c>
      <c r="M63" s="696"/>
    </row>
    <row r="64" spans="2:13" ht="16">
      <c r="B64" s="694"/>
      <c r="C64" s="695" t="s">
        <v>1082</v>
      </c>
      <c r="D64" s="705">
        <f>(D63)*(1+D58)</f>
        <v>0</v>
      </c>
      <c r="E64" s="695"/>
      <c r="F64" s="705">
        <f>(D64*0.56447)</f>
        <v>0</v>
      </c>
      <c r="G64" s="695"/>
      <c r="H64" s="705">
        <f>(D64*0.43233)</f>
        <v>0</v>
      </c>
      <c r="I64" s="695"/>
      <c r="J64" s="705">
        <f>(D64*0.3349)</f>
        <v>0</v>
      </c>
      <c r="K64" s="695"/>
      <c r="L64" s="705">
        <f>(D64*0.20718)</f>
        <v>0</v>
      </c>
      <c r="M64" s="696"/>
    </row>
    <row r="65" spans="2:13" ht="16">
      <c r="B65" s="694"/>
      <c r="C65" s="695" t="s">
        <v>1083</v>
      </c>
      <c r="D65" s="705">
        <f>(D64)*(1+D58)</f>
        <v>0</v>
      </c>
      <c r="E65" s="695"/>
      <c r="F65" s="705">
        <f>(D65*0.51316)</f>
        <v>0</v>
      </c>
      <c r="G65" s="695"/>
      <c r="H65" s="705">
        <f>(D65*0.37594)</f>
        <v>0</v>
      </c>
      <c r="I65" s="695"/>
      <c r="J65" s="705">
        <f>(D65*0.27908)</f>
        <v>0</v>
      </c>
      <c r="K65" s="695"/>
      <c r="L65" s="705">
        <f>(D65*0.15391)</f>
        <v>0</v>
      </c>
      <c r="M65" s="696"/>
    </row>
    <row r="66" spans="2:13" ht="16">
      <c r="B66" s="694"/>
      <c r="C66" s="695" t="s">
        <v>1084</v>
      </c>
      <c r="D66" s="705">
        <f>(D65)*(1+D58)</f>
        <v>0</v>
      </c>
      <c r="E66" s="695"/>
      <c r="F66" s="705">
        <f>(D66*0.46651)</f>
        <v>0</v>
      </c>
      <c r="G66" s="695"/>
      <c r="H66" s="705">
        <f>(D66*0.3269)</f>
        <v>0</v>
      </c>
      <c r="I66" s="695"/>
      <c r="J66" s="705">
        <f>(D66*0.23257)</f>
        <v>0</v>
      </c>
      <c r="K66" s="695"/>
      <c r="L66" s="705">
        <f>(D66*0.12259)</f>
        <v>0</v>
      </c>
      <c r="M66" s="696"/>
    </row>
    <row r="67" spans="2:13" ht="16">
      <c r="B67" s="694"/>
      <c r="C67" s="695" t="s">
        <v>1085</v>
      </c>
      <c r="D67" s="705">
        <f>(D66)*(1+D58)</f>
        <v>0</v>
      </c>
      <c r="E67" s="695"/>
      <c r="F67" s="705">
        <f>(D67*0.4241)</f>
        <v>0</v>
      </c>
      <c r="G67" s="695"/>
      <c r="H67" s="705">
        <f>(D67*0.28426)</f>
        <v>0</v>
      </c>
      <c r="I67" s="695"/>
      <c r="J67" s="705">
        <f>(D67*0.19381)</f>
        <v>0</v>
      </c>
      <c r="K67" s="695"/>
      <c r="L67" s="705">
        <f>(D67*0.0943)</f>
        <v>0</v>
      </c>
      <c r="M67" s="696"/>
    </row>
    <row r="68" spans="2:13" ht="17" thickBot="1">
      <c r="B68" s="694"/>
      <c r="C68" s="716" t="s">
        <v>1086</v>
      </c>
      <c r="D68" s="725">
        <f>(D67)*(1+D58)</f>
        <v>0</v>
      </c>
      <c r="E68" s="716"/>
      <c r="F68" s="725">
        <f>(D68*0.38554)</f>
        <v>0</v>
      </c>
      <c r="G68" s="716"/>
      <c r="H68" s="725">
        <f>(D68*0.24718)</f>
        <v>0</v>
      </c>
      <c r="I68" s="716"/>
      <c r="J68" s="725">
        <f>(D68*0.16151)</f>
        <v>0</v>
      </c>
      <c r="K68" s="716"/>
      <c r="L68" s="725">
        <f>(D68*0.07254)</f>
        <v>0</v>
      </c>
      <c r="M68" s="696"/>
    </row>
    <row r="69" spans="2:13" ht="19">
      <c r="B69" s="694"/>
      <c r="C69" s="726" t="s">
        <v>1087</v>
      </c>
      <c r="D69" s="704"/>
      <c r="E69" s="726"/>
      <c r="F69" s="709">
        <f>SUM(F59:F68)</f>
        <v>0</v>
      </c>
      <c r="G69" s="726"/>
      <c r="H69" s="709">
        <f>SUM(H59:H68)</f>
        <v>0</v>
      </c>
      <c r="I69" s="726"/>
      <c r="J69" s="709">
        <f>SUM(J59:J68)</f>
        <v>0</v>
      </c>
      <c r="K69" s="728"/>
      <c r="L69" s="709">
        <f>SUM(L59:L68)</f>
        <v>0</v>
      </c>
      <c r="M69" s="696"/>
    </row>
    <row r="70" spans="2:13" ht="16">
      <c r="B70" s="694"/>
      <c r="C70" s="695"/>
      <c r="D70" s="695"/>
      <c r="E70" s="695"/>
      <c r="F70" s="695"/>
      <c r="G70" s="695"/>
      <c r="H70" s="695"/>
      <c r="I70" s="695"/>
      <c r="J70" s="695"/>
      <c r="K70" s="695"/>
      <c r="L70" s="695"/>
      <c r="M70" s="696"/>
    </row>
    <row r="71" spans="2:13" ht="17" thickBot="1">
      <c r="B71" s="729"/>
      <c r="C71" s="716"/>
      <c r="D71" s="716"/>
      <c r="E71" s="716"/>
      <c r="F71" s="716"/>
      <c r="G71" s="716"/>
      <c r="H71" s="716"/>
      <c r="I71" s="716"/>
      <c r="J71" s="716"/>
      <c r="K71" s="716"/>
      <c r="L71" s="716"/>
      <c r="M71" s="730"/>
    </row>
    <row r="72" spans="2:13">
      <c r="C72" s="260"/>
      <c r="D72" s="260"/>
      <c r="E72" s="260"/>
      <c r="F72" s="260"/>
      <c r="G72" s="260"/>
      <c r="H72" s="260"/>
      <c r="I72" s="260"/>
      <c r="J72" s="260"/>
      <c r="K72" s="260"/>
      <c r="L72" s="260"/>
    </row>
    <row r="73" spans="2:13">
      <c r="C73" s="260"/>
      <c r="D73" s="260"/>
      <c r="E73" s="260"/>
      <c r="F73" s="260"/>
      <c r="G73" s="260"/>
      <c r="H73" s="260"/>
      <c r="I73" s="260"/>
      <c r="J73" s="260"/>
      <c r="K73" s="260"/>
      <c r="L73" s="260"/>
    </row>
    <row r="74" spans="2:13">
      <c r="C74" s="260"/>
      <c r="D74" s="260"/>
      <c r="E74" s="260"/>
      <c r="F74" s="260"/>
      <c r="G74" s="260"/>
      <c r="H74" s="260"/>
      <c r="I74" s="260"/>
      <c r="J74" s="260"/>
      <c r="K74" s="260"/>
      <c r="L74" s="260"/>
    </row>
    <row r="75" spans="2:13">
      <c r="C75" s="260"/>
      <c r="D75" s="260"/>
      <c r="E75" s="260"/>
      <c r="F75" s="260"/>
      <c r="G75" s="260"/>
      <c r="H75" s="260"/>
      <c r="I75" s="260"/>
      <c r="J75" s="260"/>
      <c r="K75" s="260"/>
      <c r="L75" s="260"/>
    </row>
    <row r="76" spans="2:13">
      <c r="C76" s="260"/>
      <c r="D76" s="260"/>
      <c r="E76" s="260"/>
      <c r="F76" s="260"/>
      <c r="G76" s="260"/>
      <c r="H76" s="260"/>
      <c r="I76" s="260"/>
      <c r="J76" s="260"/>
      <c r="K76" s="260"/>
      <c r="L76" s="260"/>
    </row>
    <row r="77" spans="2:13">
      <c r="C77" s="260"/>
      <c r="D77" s="260"/>
      <c r="E77" s="260"/>
      <c r="F77" s="260"/>
      <c r="G77" s="260"/>
      <c r="H77" s="260"/>
      <c r="I77" s="260"/>
      <c r="J77" s="260"/>
      <c r="K77" s="260"/>
      <c r="L77" s="260"/>
    </row>
    <row r="78" spans="2:13">
      <c r="C78" s="260"/>
      <c r="D78" s="260"/>
      <c r="E78" s="260"/>
      <c r="F78" s="260"/>
      <c r="G78" s="260"/>
      <c r="H78" s="260"/>
      <c r="I78" s="260"/>
      <c r="J78" s="260"/>
      <c r="K78" s="260"/>
      <c r="L78" s="260"/>
    </row>
    <row r="79" spans="2:13">
      <c r="C79" s="260"/>
      <c r="D79" s="260"/>
      <c r="E79" s="260"/>
      <c r="F79" s="260"/>
      <c r="G79" s="260"/>
      <c r="H79" s="260"/>
      <c r="I79" s="260"/>
      <c r="J79" s="260"/>
      <c r="K79" s="260"/>
      <c r="L79" s="260"/>
    </row>
    <row r="80" spans="2:13">
      <c r="C80" s="260"/>
      <c r="D80" s="260"/>
      <c r="E80" s="260"/>
      <c r="F80" s="260"/>
      <c r="G80" s="260"/>
      <c r="H80" s="260"/>
      <c r="I80" s="260"/>
      <c r="J80" s="260"/>
      <c r="K80" s="260"/>
      <c r="L80" s="260"/>
    </row>
    <row r="81" spans="3:12">
      <c r="C81" s="260"/>
      <c r="D81" s="260"/>
      <c r="E81" s="260"/>
      <c r="F81" s="260"/>
      <c r="G81" s="260"/>
      <c r="H81" s="260"/>
      <c r="I81" s="260"/>
      <c r="J81" s="260"/>
      <c r="K81" s="260"/>
      <c r="L81" s="260"/>
    </row>
    <row r="82" spans="3:12">
      <c r="C82" s="260"/>
      <c r="D82" s="260"/>
      <c r="E82" s="260"/>
      <c r="F82" s="260"/>
      <c r="G82" s="260"/>
      <c r="H82" s="260"/>
      <c r="I82" s="260"/>
      <c r="J82" s="260"/>
      <c r="K82" s="260"/>
      <c r="L82" s="260"/>
    </row>
    <row r="83" spans="3:12">
      <c r="C83" s="260"/>
      <c r="D83" s="260"/>
      <c r="E83" s="260"/>
      <c r="F83" s="260"/>
      <c r="G83" s="260"/>
      <c r="H83" s="260"/>
      <c r="I83" s="260"/>
      <c r="J83" s="260"/>
      <c r="K83" s="260"/>
      <c r="L83" s="260"/>
    </row>
    <row r="84" spans="3:12">
      <c r="C84" s="260"/>
      <c r="D84" s="260"/>
      <c r="E84" s="260"/>
      <c r="F84" s="260"/>
      <c r="G84" s="260"/>
      <c r="H84" s="260"/>
      <c r="I84" s="260"/>
      <c r="J84" s="260"/>
      <c r="K84" s="260"/>
      <c r="L84" s="260"/>
    </row>
  </sheetData>
  <sheetProtection algorithmName="SHA-512" hashValue="71xeGQ+SOr73RpKXhCfPtUB9kW99PTy+OsNIZCxnrZBLSSVOfD4M4g9aIS41ry2ZE/jrCB+IFI7Ed1K5MZC2AQ==" saltValue="k8GKU3vRHvZpfFYe9UiZpg==" spinCount="100000" sheet="1" scenarios="1" formatCells="0" formatColumns="0" formatRows="0"/>
  <mergeCells count="1">
    <mergeCell ref="B2:M2"/>
  </mergeCells>
  <pageMargins left="0.25" right="0.25" top="0.75" bottom="0.75" header="0.5" footer="0.5"/>
  <pageSetup scale="62" orientation="portrait"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1092</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3021" t="s">
        <v>737</v>
      </c>
      <c r="N6" s="296"/>
      <c r="O6" s="322"/>
      <c r="R6" s="2901"/>
      <c r="S6" s="2901"/>
      <c r="T6" s="2901"/>
    </row>
    <row r="7" spans="2:20" ht="16">
      <c r="B7" s="312" t="s">
        <v>188</v>
      </c>
      <c r="C7" s="270"/>
      <c r="D7" s="137"/>
      <c r="E7" s="317"/>
      <c r="F7" s="137"/>
      <c r="G7" s="317"/>
      <c r="H7" s="1187"/>
      <c r="I7" s="317"/>
      <c r="J7" s="137"/>
      <c r="K7" s="1183"/>
      <c r="L7" s="1183"/>
      <c r="M7" s="3022"/>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507"/>
      <c r="E21" s="318"/>
      <c r="F21" s="507"/>
      <c r="G21" s="318"/>
      <c r="H21" s="507"/>
      <c r="I21" s="318"/>
      <c r="J21" s="507"/>
      <c r="K21" s="320"/>
      <c r="L21" s="321"/>
      <c r="M21" s="57"/>
      <c r="N21" s="314"/>
      <c r="O21" s="324"/>
      <c r="R21" s="6"/>
      <c r="S21" s="6"/>
      <c r="T21" s="6"/>
    </row>
    <row r="22" spans="2:20" ht="16" hidden="1">
      <c r="B22" s="236"/>
      <c r="C22" s="1053"/>
      <c r="D22" s="507"/>
      <c r="E22" s="318"/>
      <c r="F22" s="507"/>
      <c r="G22" s="318"/>
      <c r="H22" s="507"/>
      <c r="I22" s="318"/>
      <c r="J22" s="507"/>
      <c r="K22" s="320"/>
      <c r="L22" s="321"/>
      <c r="M22" s="57"/>
      <c r="N22" s="314"/>
      <c r="O22" s="324"/>
      <c r="R22" s="6"/>
      <c r="S22" s="6"/>
      <c r="T22" s="6"/>
    </row>
    <row r="23" spans="2:20" ht="16" hidden="1">
      <c r="B23" s="236"/>
      <c r="C23" s="1053"/>
      <c r="D23" s="507"/>
      <c r="E23" s="318"/>
      <c r="F23" s="507"/>
      <c r="G23" s="318"/>
      <c r="H23" s="507"/>
      <c r="I23" s="318"/>
      <c r="J23" s="507"/>
      <c r="K23" s="320"/>
      <c r="L23" s="321"/>
      <c r="M23" s="57"/>
      <c r="N23" s="314"/>
      <c r="O23" s="324"/>
      <c r="R23" s="6"/>
      <c r="S23" s="6"/>
      <c r="T23" s="6"/>
    </row>
    <row r="24" spans="2:20" ht="16">
      <c r="B24" s="236"/>
      <c r="C24" s="1053"/>
      <c r="D24" s="507"/>
      <c r="E24" s="318"/>
      <c r="F24" s="507"/>
      <c r="G24" s="318"/>
      <c r="H24" s="507"/>
      <c r="I24" s="318"/>
      <c r="J24" s="507"/>
      <c r="K24" s="320"/>
      <c r="L24" s="1185"/>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6" thickBot="1">
      <c r="B65" s="2886" t="s">
        <v>807</v>
      </c>
      <c r="C65" s="2887"/>
      <c r="D65" s="2887"/>
      <c r="E65" s="2887"/>
      <c r="F65" s="2887"/>
      <c r="G65" s="2887"/>
      <c r="H65" s="2887"/>
      <c r="I65" s="2887"/>
      <c r="J65" s="2887"/>
      <c r="K65" s="2887"/>
      <c r="L65" s="2887"/>
      <c r="M65" s="2887"/>
      <c r="N65" s="2887"/>
      <c r="O65" s="2888"/>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go5VzbNJGRgVTUvTdTxoogC0zkZqnyUCb8+DpkFr1kT3IOog5lqptALqv94IHkPz54q1yJCJD7gCS5Ij0uK/cw==" saltValue="SY8S8OFJswWbQspaK2X06A==" spinCount="100000" sheet="1" scenarios="1" formatCells="0" formatColumns="0" formatRows="0"/>
  <customSheetViews>
    <customSheetView guid="{EDC0EC15-0264-48C8-A990-093960AE8EF3}" scale="85" showPageBreaks="1" showGridLines="0" printArea="1" hiddenRows="1">
      <selection activeCell="Q1" sqref="Q1:S1"/>
      <rowBreaks count="1" manualBreakCount="1">
        <brk id="61" max="13" man="1"/>
      </rowBreaks>
      <pageMargins left="0" right="0" top="0" bottom="0" header="0" footer="0"/>
      <printOptions horizontalCentered="1"/>
      <pageSetup scale="68" orientation="portrait" r:id="rId1"/>
      <headerFooter differentFirst="1">
        <firstHeader>&amp;L&amp;G&amp;C&amp;8
&amp;18Credit Memo</firstHeader>
      </headerFooter>
    </customSheetView>
    <customSheetView guid="{6E1FDEE6-49D0-4876-8C7C-09893145D2CE}" scale="85" showPageBreaks="1" showGridLines="0" printArea="1" hiddenRows="1">
      <selection activeCell="Q1" sqref="Q1:S1"/>
      <rowBreaks count="1" manualBreakCount="1">
        <brk id="61" max="13" man="1"/>
      </rowBreaks>
      <pageMargins left="0" right="0" top="0" bottom="0" header="0" footer="0"/>
      <printOptions horizontalCentered="1"/>
      <pageSetup scale="68" orientation="portrait" r:id="rId2"/>
      <headerFooter differentFirst="1">
        <firstHeader>&amp;L&amp;G&amp;C&amp;8
&amp;18Credit Memo</firstHeader>
      </headerFooter>
    </customSheetView>
    <customSheetView guid="{DB1F6E98-7FCC-445F-9DA6-47D8BF8BE969}" scale="85" showPageBreaks="1" showGridLines="0" printArea="1" hiddenRows="1">
      <selection activeCell="Q1" sqref="Q1:S1"/>
      <rowBreaks count="1" manualBreakCount="1">
        <brk id="61" max="13" man="1"/>
      </rowBreaks>
      <pageMargins left="0" right="0" top="0" bottom="0" header="0" footer="0"/>
      <printOptions horizontalCentered="1"/>
      <pageSetup scale="68" orientation="portrait" r:id="rId3"/>
      <headerFooter differentFirst="1">
        <firstHeader>&amp;L&amp;G&amp;C&amp;8
&amp;18Credit Memo</firstHeader>
      </headerFooter>
    </customSheetView>
    <customSheetView guid="{C02CA8E5-5D4C-45E5-BC4A-4C9BE481059B}" scale="85" showPageBreaks="1" showGridLines="0" printArea="1" hiddenRows="1">
      <selection activeCell="Q1" sqref="Q1:S1"/>
      <rowBreaks count="1" manualBreakCount="1">
        <brk id="61" max="13" man="1"/>
      </rowBreaks>
      <pageMargins left="0" right="0" top="0" bottom="0" header="0" footer="0"/>
      <printOptions horizontalCentered="1"/>
      <pageSetup scale="68" orientation="portrait" r:id="rId4"/>
      <headerFooter differentFirst="1">
        <firstHeader>&amp;L&amp;G&amp;C&amp;8
&amp;18Credit Memo</firstHeader>
      </headerFooter>
    </customSheetView>
  </customSheetViews>
  <mergeCells count="45">
    <mergeCell ref="R36:T36"/>
    <mergeCell ref="R37:T37"/>
    <mergeCell ref="R38:T38"/>
    <mergeCell ref="B72:O72"/>
    <mergeCell ref="M6:M7"/>
    <mergeCell ref="R17:T17"/>
    <mergeCell ref="R18:T18"/>
    <mergeCell ref="R19:T19"/>
    <mergeCell ref="R20:T20"/>
    <mergeCell ref="B65:O65"/>
    <mergeCell ref="B66:O66"/>
    <mergeCell ref="B67:O67"/>
    <mergeCell ref="R34:T34"/>
    <mergeCell ref="R35:T35"/>
    <mergeCell ref="R24:T24"/>
    <mergeCell ref="R25:T25"/>
    <mergeCell ref="B1:O1"/>
    <mergeCell ref="B2:O2"/>
    <mergeCell ref="R14:T14"/>
    <mergeCell ref="R15:T15"/>
    <mergeCell ref="R16:T16"/>
    <mergeCell ref="B73:O73"/>
    <mergeCell ref="B74:O74"/>
    <mergeCell ref="B75:O75"/>
    <mergeCell ref="R5:T5"/>
    <mergeCell ref="R6:T6"/>
    <mergeCell ref="R7:T7"/>
    <mergeCell ref="R8:T8"/>
    <mergeCell ref="R9:T9"/>
    <mergeCell ref="R10:T10"/>
    <mergeCell ref="R11:T11"/>
    <mergeCell ref="R12:T12"/>
    <mergeCell ref="R13:T13"/>
    <mergeCell ref="B68:O68"/>
    <mergeCell ref="B69:O69"/>
    <mergeCell ref="B70:O70"/>
    <mergeCell ref="B71:O71"/>
    <mergeCell ref="R31:T31"/>
    <mergeCell ref="R32:T32"/>
    <mergeCell ref="R33:T33"/>
    <mergeCell ref="R26:T26"/>
    <mergeCell ref="R27:T27"/>
    <mergeCell ref="R28:T28"/>
    <mergeCell ref="R29:T29"/>
    <mergeCell ref="R30:T30"/>
  </mergeCells>
  <printOptions horizontalCentered="1"/>
  <pageMargins left="0.7" right="0.7" top="0.75" bottom="0.75" header="0.3" footer="0.3"/>
  <pageSetup scale="68" orientation="portrait" r:id="rId5"/>
  <headerFooter differentFirst="1">
    <firstHeader>&amp;L&amp;G&amp;C&amp;8
&amp;18Credit Memo</firstHeader>
  </headerFooter>
  <rowBreaks count="1" manualBreakCount="1">
    <brk id="64" min="1" max="14" man="1"/>
  </rowBreaks>
  <drawing r:id="rId6"/>
  <legacy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0000000}">
          <x14:formula1>
            <xm:f>Lists!$E$16:$E$20</xm:f>
          </x14:formula1>
          <xm:sqref>D7 J7 H7 F7</xm:sqref>
        </x14:dataValidation>
        <x14:dataValidation type="list" allowBlank="1" showInputMessage="1" showErrorMessage="1" xr:uid="{00000000-0002-0000-1000-000001000000}">
          <x14:formula1>
            <xm:f>Lists!$D$16:$D$24</xm:f>
          </x14:formula1>
          <xm:sqref>D6 J6 H6 F6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3.1640625" bestFit="1" customWidth="1"/>
    <col min="14" max="14" width="11.5" bestFit="1" customWidth="1"/>
    <col min="15" max="15" width="12.5" bestFit="1" customWidth="1"/>
    <col min="16" max="16" width="13.1640625" bestFit="1" customWidth="1"/>
    <col min="17" max="17" width="16.33203125" bestFit="1" customWidth="1"/>
  </cols>
  <sheetData>
    <row r="1" spans="1:26" ht="16">
      <c r="A1" s="2922" t="s">
        <v>1093</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'EPC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'EPC IS'!D4</f>
        <v>44561</v>
      </c>
      <c r="D3" s="1151"/>
      <c r="E3" s="1190">
        <f>'EPC IS'!F4</f>
        <v>44926</v>
      </c>
      <c r="F3" s="1151"/>
      <c r="G3" s="1190">
        <f>'EPC IS'!H4</f>
        <v>45291</v>
      </c>
      <c r="H3" s="1151"/>
      <c r="I3" s="1190">
        <f>'EPC IS'!J4</f>
        <v>45382</v>
      </c>
      <c r="J3" s="1154"/>
      <c r="K3" s="26"/>
      <c r="L3" s="26"/>
      <c r="M3" s="1347"/>
      <c r="N3" s="1347"/>
      <c r="O3" s="1347"/>
      <c r="P3" s="26"/>
      <c r="Q3" s="26"/>
      <c r="R3" s="26"/>
      <c r="S3" s="26"/>
      <c r="T3" s="26"/>
      <c r="U3" s="26"/>
      <c r="V3" s="26"/>
      <c r="W3" s="26"/>
      <c r="X3" s="26"/>
      <c r="Y3" s="26"/>
      <c r="Z3" s="26"/>
    </row>
    <row r="4" spans="1:26" ht="16">
      <c r="A4" s="1155" t="s">
        <v>183</v>
      </c>
      <c r="B4" s="1150"/>
      <c r="C4" s="1201">
        <f>'EPC IS'!D5</f>
        <v>12</v>
      </c>
      <c r="D4" s="1151"/>
      <c r="E4" s="1201">
        <f>'EPC IS'!F5</f>
        <v>12</v>
      </c>
      <c r="F4" s="1151"/>
      <c r="G4" s="1201">
        <f>'EPC IS'!H5</f>
        <v>12</v>
      </c>
      <c r="H4" s="1151"/>
      <c r="I4" s="1201">
        <f>'EPC IS'!J5</f>
        <v>3</v>
      </c>
      <c r="J4" s="1160"/>
      <c r="K4" s="26"/>
      <c r="L4" s="26"/>
      <c r="M4" s="1347"/>
      <c r="N4" s="1347"/>
      <c r="O4" s="1347"/>
      <c r="P4" s="26"/>
      <c r="Q4" s="26"/>
      <c r="R4" s="26"/>
      <c r="S4" s="26"/>
      <c r="T4" s="26"/>
      <c r="U4" s="26"/>
      <c r="V4" s="26"/>
      <c r="W4" s="26"/>
      <c r="X4" s="26"/>
      <c r="Y4" s="26"/>
      <c r="Z4" s="26"/>
    </row>
    <row r="5" spans="1:26" ht="16">
      <c r="A5" s="1155" t="s">
        <v>185</v>
      </c>
      <c r="B5" s="1150"/>
      <c r="C5" s="1191">
        <f>'EPC IS'!D6</f>
        <v>0</v>
      </c>
      <c r="D5" s="1162"/>
      <c r="E5" s="1191">
        <f>'EPC IS'!F6</f>
        <v>0</v>
      </c>
      <c r="F5" s="1162"/>
      <c r="G5" s="1191">
        <f>'EPC IS'!H6</f>
        <v>0</v>
      </c>
      <c r="H5" s="1162"/>
      <c r="I5" s="1191">
        <f>'EPC IS'!J6</f>
        <v>0</v>
      </c>
      <c r="J5" s="1160"/>
      <c r="K5" s="26"/>
      <c r="L5" s="26"/>
      <c r="M5" s="1347"/>
      <c r="N5" s="1347"/>
      <c r="O5" s="1347"/>
      <c r="P5" s="26"/>
      <c r="Q5" s="26"/>
      <c r="R5" s="26"/>
      <c r="S5" s="26"/>
      <c r="T5" s="26"/>
      <c r="U5" s="26"/>
      <c r="V5" s="26"/>
      <c r="W5" s="26"/>
      <c r="X5" s="26"/>
      <c r="Y5" s="26"/>
      <c r="Z5" s="26"/>
    </row>
    <row r="6" spans="1:26" ht="16">
      <c r="A6" s="1155" t="s">
        <v>188</v>
      </c>
      <c r="B6" s="1150"/>
      <c r="C6" s="1203">
        <f>'EPC IS'!D7</f>
        <v>0</v>
      </c>
      <c r="D6" s="1162"/>
      <c r="E6" s="1203">
        <f>'EPC IS'!F7</f>
        <v>0</v>
      </c>
      <c r="F6" s="1162"/>
      <c r="G6" s="1203">
        <f>'EPC IS'!H7</f>
        <v>0</v>
      </c>
      <c r="H6" s="1162"/>
      <c r="I6" s="1203">
        <f>'EPC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SUBTOTAL(109,EPCDebt[Curr Bal])</f>
        <v>0</v>
      </c>
      <c r="O30" s="1357">
        <f>SUBTOTAL(109,EPCDebt[Curr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3024"/>
      <c r="N31" s="3024"/>
      <c r="O31" s="3024"/>
      <c r="P31" s="26"/>
      <c r="Q31" s="26"/>
    </row>
    <row r="32" spans="1:26" ht="16">
      <c r="A32" s="1167"/>
      <c r="B32" s="311"/>
      <c r="C32" s="1168"/>
      <c r="D32" s="1169"/>
      <c r="E32" s="1168"/>
      <c r="F32" s="1169"/>
      <c r="G32" s="1168"/>
      <c r="H32" s="1169"/>
      <c r="I32" s="1168"/>
      <c r="J32" s="1170"/>
      <c r="M32" s="2901"/>
      <c r="N32" s="2901"/>
      <c r="O32" s="2901"/>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776"/>
      <c r="N35" s="2776"/>
      <c r="O35" s="2776"/>
    </row>
    <row r="36" spans="1:15" ht="16">
      <c r="A36" s="1167" t="s">
        <v>947</v>
      </c>
      <c r="B36" s="311"/>
      <c r="C36" s="309"/>
      <c r="D36" s="1169">
        <f t="shared" si="10"/>
        <v>0</v>
      </c>
      <c r="E36" s="309"/>
      <c r="F36" s="1169">
        <f t="shared" si="11"/>
        <v>0</v>
      </c>
      <c r="G36" s="309"/>
      <c r="H36" s="1169">
        <f t="shared" si="12"/>
        <v>0</v>
      </c>
      <c r="I36" s="309"/>
      <c r="J36" s="1170">
        <f t="shared" si="13"/>
        <v>0</v>
      </c>
      <c r="M36" s="2901"/>
      <c r="N36" s="2901"/>
      <c r="O36" s="2901"/>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'EPC IS'!D60</f>
        <v>0</v>
      </c>
      <c r="D64" s="1193"/>
      <c r="E64" s="1196">
        <f>'EPC IS'!F60</f>
        <v>0</v>
      </c>
      <c r="F64" s="1194"/>
      <c r="G64" s="1196">
        <f>'EPC IS'!H60</f>
        <v>0</v>
      </c>
      <c r="H64" s="1195"/>
      <c r="I64" s="1196">
        <f>'EPC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6">
      <c r="A69" s="1167" t="s">
        <v>975</v>
      </c>
      <c r="B69" s="311"/>
      <c r="C69" s="309"/>
      <c r="D69" s="1193"/>
      <c r="E69" s="309"/>
      <c r="F69" s="1194"/>
      <c r="G69" s="309"/>
      <c r="H69" s="1195"/>
      <c r="I69" s="309"/>
      <c r="J69" s="1154"/>
    </row>
    <row r="70" spans="1:10" ht="16">
      <c r="A70" s="1167" t="s">
        <v>976</v>
      </c>
      <c r="B70" s="311"/>
      <c r="C70" s="309"/>
      <c r="D70" s="1193"/>
      <c r="E70" s="309"/>
      <c r="F70" s="1194"/>
      <c r="G70" s="309"/>
      <c r="H70" s="1195"/>
      <c r="I70" s="309"/>
      <c r="J70" s="1154"/>
    </row>
    <row r="71" spans="1:10" ht="16">
      <c r="A71" s="1167" t="s">
        <v>977</v>
      </c>
      <c r="B71" s="311"/>
      <c r="C71" s="309"/>
      <c r="D71" s="1193"/>
      <c r="E71" s="309"/>
      <c r="F71" s="1194"/>
      <c r="G71" s="309"/>
      <c r="H71" s="1195"/>
      <c r="I71" s="309"/>
      <c r="J71" s="1154"/>
    </row>
    <row r="72" spans="1:10" ht="16">
      <c r="A72" s="1167" t="s">
        <v>292</v>
      </c>
      <c r="B72" s="311"/>
      <c r="C72" s="309"/>
      <c r="D72" s="1193"/>
      <c r="E72" s="309"/>
      <c r="F72" s="1194"/>
      <c r="G72" s="309"/>
      <c r="H72" s="1195"/>
      <c r="I72" s="309"/>
      <c r="J72" s="1154"/>
    </row>
    <row r="73" spans="1:10" ht="16">
      <c r="A73" s="1167" t="s">
        <v>962</v>
      </c>
      <c r="B73" s="311"/>
      <c r="C73" s="309"/>
      <c r="D73" s="1193"/>
      <c r="E73" s="309"/>
      <c r="F73" s="1194"/>
      <c r="G73" s="309"/>
      <c r="H73" s="1195"/>
      <c r="I73" s="309"/>
      <c r="J73" s="1154"/>
    </row>
    <row r="74" spans="1:10" ht="16">
      <c r="A74" s="1167" t="s">
        <v>978</v>
      </c>
      <c r="B74" s="311"/>
      <c r="C74" s="309"/>
      <c r="D74" s="1193"/>
      <c r="E74" s="309"/>
      <c r="F74" s="1194"/>
      <c r="G74" s="309"/>
      <c r="H74" s="1195"/>
      <c r="I74" s="309"/>
      <c r="J74" s="1154"/>
    </row>
    <row r="75" spans="1:10" ht="16">
      <c r="A75" s="1167" t="s">
        <v>979</v>
      </c>
      <c r="B75" s="311"/>
      <c r="C75" s="309"/>
      <c r="D75" s="1193"/>
      <c r="E75" s="309"/>
      <c r="F75" s="1194"/>
      <c r="G75" s="309"/>
      <c r="H75" s="1195"/>
      <c r="I75" s="309"/>
      <c r="J75" s="1154"/>
    </row>
    <row r="76" spans="1:10" ht="16">
      <c r="A76" s="1167" t="s">
        <v>980</v>
      </c>
      <c r="B76" s="311"/>
      <c r="C76" s="1196">
        <f>SUM(C63:C75)</f>
        <v>0</v>
      </c>
      <c r="D76" s="1197"/>
      <c r="E76" s="1196">
        <f>SUM(E63:E75)</f>
        <v>0</v>
      </c>
      <c r="F76" s="1197"/>
      <c r="G76" s="1196">
        <f>SUM(G63:G75)</f>
        <v>0</v>
      </c>
      <c r="H76" s="1163"/>
      <c r="I76" s="1196">
        <f>SUM(I63:I75)</f>
        <v>0</v>
      </c>
      <c r="J76" s="1154"/>
    </row>
    <row r="77" spans="1:10" ht="17" thickBot="1">
      <c r="A77" s="1198" t="s">
        <v>981</v>
      </c>
      <c r="B77" s="1204"/>
      <c r="C77" s="1199">
        <f>C76-C57</f>
        <v>0</v>
      </c>
      <c r="D77" s="124"/>
      <c r="E77" s="1199">
        <f>E76-E57</f>
        <v>0</v>
      </c>
      <c r="F77" s="124"/>
      <c r="G77" s="1199">
        <f>G76-G57</f>
        <v>0</v>
      </c>
      <c r="H77" s="124"/>
      <c r="I77" s="1199">
        <f>I76-I57</f>
        <v>0</v>
      </c>
      <c r="J77" s="1200"/>
    </row>
    <row r="78" spans="1:10" ht="17" thickBot="1">
      <c r="A78" s="2946" t="s">
        <v>982</v>
      </c>
      <c r="B78" s="2947"/>
      <c r="C78" s="2947"/>
      <c r="D78" s="2947"/>
      <c r="E78" s="2947"/>
      <c r="F78" s="2947"/>
      <c r="G78" s="2947"/>
      <c r="H78" s="2947"/>
      <c r="I78" s="2947"/>
      <c r="J78" s="2948"/>
    </row>
    <row r="79" spans="1:10" ht="15" customHeight="1">
      <c r="A79" s="2987"/>
      <c r="B79" s="2879"/>
      <c r="C79" s="2879"/>
      <c r="D79" s="2879"/>
      <c r="E79" s="2879"/>
      <c r="F79" s="2879"/>
      <c r="G79" s="2879"/>
      <c r="H79" s="2879"/>
      <c r="I79" s="2879"/>
      <c r="J79" s="2988"/>
    </row>
    <row r="80" spans="1:10" ht="15" customHeight="1">
      <c r="A80" s="2985"/>
      <c r="B80" s="2777"/>
      <c r="C80" s="2777"/>
      <c r="D80" s="2777"/>
      <c r="E80" s="2777"/>
      <c r="F80" s="2777"/>
      <c r="G80" s="2777"/>
      <c r="H80" s="2777"/>
      <c r="I80" s="2777"/>
      <c r="J80" s="2986"/>
    </row>
    <row r="81" spans="1:10" ht="15" customHeight="1">
      <c r="A81" s="2985"/>
      <c r="B81" s="2777"/>
      <c r="C81" s="2777"/>
      <c r="D81" s="2777"/>
      <c r="E81" s="2777"/>
      <c r="F81" s="2777"/>
      <c r="G81" s="2777"/>
      <c r="H81" s="2777"/>
      <c r="I81" s="2777"/>
      <c r="J81" s="2986"/>
    </row>
    <row r="82" spans="1:10" ht="15" customHeight="1">
      <c r="A82" s="2985"/>
      <c r="B82" s="2777"/>
      <c r="C82" s="2777"/>
      <c r="D82" s="2777"/>
      <c r="E82" s="2777"/>
      <c r="F82" s="2777"/>
      <c r="G82" s="2777"/>
      <c r="H82" s="2777"/>
      <c r="I82" s="2777"/>
      <c r="J82" s="2986"/>
    </row>
    <row r="83" spans="1:10" ht="15" customHeight="1">
      <c r="A83" s="2985"/>
      <c r="B83" s="2777"/>
      <c r="C83" s="2777"/>
      <c r="D83" s="2777"/>
      <c r="E83" s="2777"/>
      <c r="F83" s="2777"/>
      <c r="G83" s="2777"/>
      <c r="H83" s="2777"/>
      <c r="I83" s="2777"/>
      <c r="J83" s="2986"/>
    </row>
    <row r="84" spans="1:10" ht="15" customHeight="1">
      <c r="A84" s="2985"/>
      <c r="B84" s="2777"/>
      <c r="C84" s="2777"/>
      <c r="D84" s="2777"/>
      <c r="E84" s="2777"/>
      <c r="F84" s="2777"/>
      <c r="G84" s="2777"/>
      <c r="H84" s="2777"/>
      <c r="I84" s="2777"/>
      <c r="J84" s="2986"/>
    </row>
    <row r="85" spans="1:10" ht="15" customHeight="1">
      <c r="A85" s="2985"/>
      <c r="B85" s="2777"/>
      <c r="C85" s="2777"/>
      <c r="D85" s="2777"/>
      <c r="E85" s="2777"/>
      <c r="F85" s="2777"/>
      <c r="G85" s="2777"/>
      <c r="H85" s="2777"/>
      <c r="I85" s="2777"/>
      <c r="J85" s="2986"/>
    </row>
    <row r="86" spans="1:10" ht="15" customHeight="1">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cVs0X4jMBl+MwafKKrJf650xd8qYhCOntEfgzVpJ3BKM99UmVTgypyg9MU+NmZh1dPLSiEDcQ/mwebuAwYmyPg==" saltValue="PHd9dMAFPctM0QGqCmjnyA==" spinCount="100000" sheet="1" scenarios="1" formatCells="0" formatColumns="0" formatRows="0"/>
  <customSheetViews>
    <customSheetView guid="{EDC0EC15-0264-48C8-A990-093960AE8EF3}" scale="85" showGridLines="0" printArea="1">
      <selection activeCell="C8" sqref="C8"/>
      <rowBreaks count="1" manualBreakCount="1">
        <brk id="67" max="9"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6E1FDEE6-49D0-4876-8C7C-09893145D2CE}" scale="85" showGridLines="0" printArea="1">
      <selection activeCell="C8" sqref="C8"/>
      <rowBreaks count="1" manualBreakCount="1">
        <brk id="67" max="9"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DB1F6E98-7FCC-445F-9DA6-47D8BF8BE969}" scale="85" showGridLines="0" printArea="1">
      <selection activeCell="C8" sqref="C8"/>
      <rowBreaks count="1" manualBreakCount="1">
        <brk id="67" max="9" man="1"/>
      </rowBreaks>
      <pageMargins left="0" right="0" top="0" bottom="0" header="0" footer="0"/>
      <printOptions horizontalCentered="1"/>
      <pageSetup scale="64" orientation="portrait" r:id="rId3"/>
      <headerFooter differentFirst="1">
        <firstHeader>&amp;L&amp;G&amp;C&amp;8
&amp;18Credit Memo</firstHeader>
      </headerFooter>
    </customSheetView>
    <customSheetView guid="{C02CA8E5-5D4C-45E5-BC4A-4C9BE481059B}" scale="85" showGridLines="0" printArea="1">
      <selection activeCell="M1" sqref="M1:O1"/>
      <rowBreaks count="1" manualBreakCount="1">
        <brk id="67" max="9" man="1"/>
      </rowBreaks>
      <pageMargins left="0" right="0" top="0" bottom="0" header="0" footer="0"/>
      <printOptions horizontalCentered="1"/>
      <pageSetup scale="64" orientation="portrait" r:id="rId4"/>
      <headerFooter differentFirst="1">
        <firstHeader>&amp;L&amp;G&amp;C&amp;8
&amp;18Credit Memo</firstHeader>
      </headerFooter>
    </customSheetView>
  </customSheetViews>
  <mergeCells count="55">
    <mergeCell ref="A80:J80"/>
    <mergeCell ref="M36:O36"/>
    <mergeCell ref="A61:J61"/>
    <mergeCell ref="A78:J78"/>
    <mergeCell ref="M35:O35"/>
    <mergeCell ref="A62:J62"/>
    <mergeCell ref="A1:J1"/>
    <mergeCell ref="A2:J2"/>
    <mergeCell ref="M33:O33"/>
    <mergeCell ref="M34:O34"/>
    <mergeCell ref="A79:J79"/>
    <mergeCell ref="M31:O31"/>
    <mergeCell ref="M32:O32"/>
    <mergeCell ref="A81:J81"/>
    <mergeCell ref="A82:J82"/>
    <mergeCell ref="A83:J83"/>
    <mergeCell ref="A84:J84"/>
    <mergeCell ref="A85:J85"/>
    <mergeCell ref="A91:J91"/>
    <mergeCell ref="A86:J86"/>
    <mergeCell ref="A87:J87"/>
    <mergeCell ref="A88:J88"/>
    <mergeCell ref="A89:J89"/>
    <mergeCell ref="A90:J90"/>
    <mergeCell ref="A92:J92"/>
    <mergeCell ref="A93:J93"/>
    <mergeCell ref="A94:J94"/>
    <mergeCell ref="A95:J95"/>
    <mergeCell ref="A96:J96"/>
    <mergeCell ref="A97:J97"/>
    <mergeCell ref="A98:J98"/>
    <mergeCell ref="A99:J99"/>
    <mergeCell ref="A100:J100"/>
    <mergeCell ref="A101:J101"/>
    <mergeCell ref="A102:J102"/>
    <mergeCell ref="A103:J103"/>
    <mergeCell ref="A104:J104"/>
    <mergeCell ref="A105:J105"/>
    <mergeCell ref="A106:J106"/>
    <mergeCell ref="A107:J107"/>
    <mergeCell ref="A108:J108"/>
    <mergeCell ref="A109:J109"/>
    <mergeCell ref="A110:J110"/>
    <mergeCell ref="A111:J111"/>
    <mergeCell ref="A112:J112"/>
    <mergeCell ref="A113:J113"/>
    <mergeCell ref="A114:J114"/>
    <mergeCell ref="A115:J115"/>
    <mergeCell ref="A116:J116"/>
    <mergeCell ref="A122:J122"/>
    <mergeCell ref="A117:J117"/>
    <mergeCell ref="A118:J118"/>
    <mergeCell ref="A119:J119"/>
    <mergeCell ref="A120:J120"/>
    <mergeCell ref="A121:J121"/>
  </mergeCells>
  <printOptions horizontalCentered="1"/>
  <pageMargins left="0.7" right="0.7" top="0.75" bottom="0.75" header="0.3" footer="0.3"/>
  <pageSetup scale="55" orientation="portrait" r:id="rId5"/>
  <headerFooter differentFirst="1">
    <firstHeader>&amp;L&amp;G&amp;C&amp;8
&amp;18Credit Memo</firstHeader>
  </headerFooter>
  <rowBreaks count="1" manualBreakCount="1">
    <brk id="77" max="9" man="1"/>
  </rowBreaks>
  <drawing r:id="rId6"/>
  <legacyDrawing r:id="rId7"/>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F67617C3-05B7-411E-8109-6F546F85385B}">
          <x14:formula1>
            <xm:f>Lists!$C$2:$C$4</xm:f>
          </x14:formula1>
          <xm:sqref>Q9:Q29</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pageSetUpPr autoPageBreaks="0" fitToPage="1"/>
  </sheetPr>
  <dimension ref="A1:AC66"/>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customWidth="1"/>
    <col min="4" max="4" width="2.6640625" customWidth="1"/>
    <col min="5" max="5" width="14" customWidth="1"/>
    <col min="6" max="6" width="2.6640625" customWidth="1"/>
    <col min="7" max="7" width="14" customWidth="1"/>
    <col min="8" max="8" width="2.6640625" customWidth="1"/>
    <col min="9" max="9" width="14" customWidth="1"/>
    <col min="10" max="10" width="2.6640625" customWidth="1"/>
    <col min="11" max="11" width="14" customWidth="1"/>
    <col min="12" max="12" width="2.6640625" customWidth="1"/>
    <col min="13" max="13" width="14" customWidth="1"/>
    <col min="14" max="14" width="2.6640625" customWidth="1"/>
    <col min="15" max="15" width="14" customWidth="1"/>
    <col min="16" max="16" width="2.6640625" customWidth="1"/>
    <col min="17" max="17" width="14" customWidth="1"/>
    <col min="18" max="20" width="2.6640625" customWidth="1"/>
    <col min="21" max="21" width="10.83203125" bestFit="1" customWidth="1"/>
    <col min="22" max="22" width="2.6640625" customWidth="1"/>
    <col min="24" max="24" width="2.6640625" customWidth="1"/>
    <col min="26" max="26" width="2.6640625" customWidth="1"/>
    <col min="28" max="28" width="2.6640625" customWidth="1"/>
    <col min="29" max="29" width="13"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T1" s="1214"/>
      <c r="U1" s="1179"/>
      <c r="V1" s="1179"/>
      <c r="W1" s="1179"/>
    </row>
    <row r="2" spans="1:29" ht="17" thickBot="1">
      <c r="A2" s="3025" t="str">
        <f>'EPC IS'!B2</f>
        <v>{Insert business name which represents PSOR}</v>
      </c>
      <c r="B2" s="3026"/>
      <c r="C2" s="3026"/>
      <c r="D2" s="3026"/>
      <c r="E2" s="3026"/>
      <c r="F2" s="3026"/>
      <c r="G2" s="3026"/>
      <c r="H2" s="3026"/>
      <c r="I2" s="3026"/>
      <c r="J2" s="3026"/>
      <c r="K2" s="3026"/>
      <c r="L2" s="3026"/>
      <c r="M2" s="3026"/>
      <c r="N2" s="3026"/>
      <c r="O2" s="3026"/>
      <c r="P2" s="3026"/>
      <c r="Q2" s="3026"/>
      <c r="R2" s="3027"/>
      <c r="S2" s="874"/>
      <c r="T2" s="874"/>
      <c r="U2" s="2901" t="str" cm="1">
        <f t="array" aca="1" ref="U2" ca="1">MID(CELL("filename",A1),FIND("]",CELL("filename",A1))+1,256)</f>
        <v>EPC CF</v>
      </c>
      <c r="V2" s="2901"/>
      <c r="W2" s="2901"/>
    </row>
    <row r="3" spans="1:29" ht="15.5" customHeight="1">
      <c r="A3" s="261" t="s">
        <v>182</v>
      </c>
      <c r="B3" s="262"/>
      <c r="C3" s="1086">
        <f>'EPC IS'!D4</f>
        <v>44561</v>
      </c>
      <c r="D3" s="296"/>
      <c r="E3" s="1086">
        <f>'EPC IS'!F4</f>
        <v>44926</v>
      </c>
      <c r="F3" s="296"/>
      <c r="G3" s="1086">
        <f>'EPC IS'!H4</f>
        <v>45291</v>
      </c>
      <c r="H3" s="296"/>
      <c r="I3" s="1086">
        <f>'EPC IS'!J4</f>
        <v>45382</v>
      </c>
      <c r="J3" s="296"/>
      <c r="K3" s="1219" t="s">
        <v>1100</v>
      </c>
      <c r="L3" s="237"/>
      <c r="M3" s="1219" t="s">
        <v>1101</v>
      </c>
      <c r="N3" s="297"/>
      <c r="O3" s="1219" t="s">
        <v>1102</v>
      </c>
      <c r="P3" s="237"/>
      <c r="Q3" s="1219" t="s">
        <v>1103</v>
      </c>
      <c r="R3" s="263"/>
      <c r="S3" s="874"/>
      <c r="T3" s="874"/>
    </row>
    <row r="4" spans="1:29" ht="15.5" hidden="1" customHeight="1">
      <c r="A4" s="261"/>
      <c r="B4" s="264"/>
      <c r="C4" s="1377">
        <v>1</v>
      </c>
      <c r="D4" s="296"/>
      <c r="E4" s="1377">
        <v>2</v>
      </c>
      <c r="F4" s="296"/>
      <c r="G4" s="1377">
        <v>3</v>
      </c>
      <c r="H4" s="296"/>
      <c r="I4" s="1377">
        <v>4</v>
      </c>
      <c r="J4" s="296"/>
      <c r="K4" s="1220">
        <v>5</v>
      </c>
      <c r="L4" s="237"/>
      <c r="M4" s="1220"/>
      <c r="N4" s="297"/>
      <c r="O4" s="1220"/>
      <c r="P4" s="237"/>
      <c r="Q4" s="1220"/>
      <c r="R4" s="263"/>
      <c r="S4" s="874"/>
      <c r="T4" s="1374"/>
      <c r="U4" s="1375"/>
      <c r="V4" s="1375"/>
      <c r="W4" s="1375"/>
      <c r="X4" s="1375"/>
      <c r="Y4" s="1375"/>
      <c r="Z4" s="1375"/>
      <c r="AA4" s="1375"/>
    </row>
    <row r="5" spans="1:29" ht="17" thickBot="1">
      <c r="A5" s="261" t="s">
        <v>183</v>
      </c>
      <c r="B5" s="265"/>
      <c r="C5" s="266">
        <f>'EPC IS'!D5</f>
        <v>12</v>
      </c>
      <c r="D5" s="298"/>
      <c r="E5" s="266">
        <f>'EPC IS'!F5</f>
        <v>12</v>
      </c>
      <c r="F5" s="298"/>
      <c r="G5" s="266">
        <f>'EPC IS'!H5</f>
        <v>12</v>
      </c>
      <c r="H5" s="298"/>
      <c r="I5" s="266">
        <f>'EPC IS'!J5</f>
        <v>3</v>
      </c>
      <c r="J5" s="298"/>
      <c r="K5" s="1388">
        <v>12</v>
      </c>
      <c r="L5" s="237"/>
      <c r="M5" s="1388">
        <v>12</v>
      </c>
      <c r="N5" s="297"/>
      <c r="O5" s="1388">
        <v>12</v>
      </c>
      <c r="P5" s="237"/>
      <c r="Q5" s="1388">
        <v>12</v>
      </c>
      <c r="R5" s="268"/>
      <c r="S5" s="874"/>
      <c r="T5" s="1374"/>
      <c r="U5" s="1375"/>
      <c r="V5" s="1375"/>
      <c r="W5" s="1375"/>
      <c r="X5" s="1375"/>
      <c r="Y5" s="1375"/>
      <c r="Z5" s="1375"/>
      <c r="AA5" s="1375"/>
    </row>
    <row r="6" spans="1:29" ht="16">
      <c r="A6" s="269"/>
      <c r="B6" s="270" t="s">
        <v>795</v>
      </c>
      <c r="C6" s="299"/>
      <c r="D6" s="299"/>
      <c r="E6" s="300"/>
      <c r="F6" s="300"/>
      <c r="G6" s="300"/>
      <c r="H6" s="300"/>
      <c r="I6" s="300"/>
      <c r="J6" s="300"/>
      <c r="K6" s="237"/>
      <c r="L6" s="237"/>
      <c r="M6" s="237"/>
      <c r="N6" s="237"/>
      <c r="O6" s="237"/>
      <c r="P6" s="237"/>
      <c r="Q6" s="237"/>
      <c r="R6" s="263"/>
      <c r="S6" s="874"/>
      <c r="T6" s="1374"/>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'EPC IS'!D63</f>
        <v>0</v>
      </c>
      <c r="D7" s="1523"/>
      <c r="E7" s="1522">
        <f>'EPC IS'!F63</f>
        <v>0</v>
      </c>
      <c r="F7" s="1523"/>
      <c r="G7" s="1522">
        <f>'EPC IS'!H63</f>
        <v>0</v>
      </c>
      <c r="H7" s="1523"/>
      <c r="I7" s="1522">
        <f>'EPC IS'!J63</f>
        <v>0</v>
      </c>
      <c r="J7" s="1523"/>
      <c r="K7" s="1556">
        <f>IF(K$4=1,C7,IF(K$4=2,E7,IF(K$4=3,G7,IF(K$4=4,I7,0))))</f>
        <v>0</v>
      </c>
      <c r="L7" s="1523"/>
      <c r="M7" s="1552">
        <f>IF(M$4=1,E7,IF(M$4=2,G7,IF(M$4=3,I7,IF(M$4=4,K7,0))))</f>
        <v>0</v>
      </c>
      <c r="N7" s="1523"/>
      <c r="O7" s="1556">
        <f>IF(O$4=1,G7,IF(O$4=2,I7,IF(O$4=3,K7,IF(O$4=4,M7,0))))</f>
        <v>0</v>
      </c>
      <c r="P7" s="1523"/>
      <c r="Q7" s="1556">
        <f>IF(Q$4=1,I7,IF(Q$4=2,K7,IF(Q$4=3,M7,IF(Q$4=4,O7,0))))</f>
        <v>0</v>
      </c>
      <c r="R7" s="1215"/>
      <c r="S7" s="874"/>
      <c r="T7" s="1374"/>
      <c r="U7" s="1381"/>
      <c r="V7" s="1382"/>
      <c r="W7" s="1382"/>
      <c r="X7" s="1382"/>
      <c r="Y7" s="1382"/>
      <c r="Z7" s="1382"/>
      <c r="AA7" s="1382"/>
      <c r="AB7" s="195"/>
      <c r="AC7" s="1379">
        <f>E3</f>
        <v>44926</v>
      </c>
    </row>
    <row r="8" spans="1:29" ht="17" thickBot="1">
      <c r="A8" s="353" t="s">
        <v>811</v>
      </c>
      <c r="B8" s="354"/>
      <c r="C8" s="1525">
        <f>'EPC IS'!D33</f>
        <v>0</v>
      </c>
      <c r="D8" s="1526"/>
      <c r="E8" s="1525">
        <f>'EPC IS'!F33</f>
        <v>0</v>
      </c>
      <c r="F8" s="1526"/>
      <c r="G8" s="1525">
        <f>'EPC IS'!H33</f>
        <v>0</v>
      </c>
      <c r="H8" s="1526"/>
      <c r="I8" s="1525">
        <f>'EPC IS'!J33</f>
        <v>0</v>
      </c>
      <c r="J8" s="1526"/>
      <c r="K8" s="1555">
        <f t="shared" ref="K8:K16" si="0">IF(K$4=1,C8,IF(K$4=2,E8,IF(K$4=3,G8,IF(K$4=4,I8,0))))</f>
        <v>0</v>
      </c>
      <c r="L8" s="1526"/>
      <c r="M8" s="1554">
        <f t="shared" ref="M8:M16" si="1">IF(M$4=1,E8,IF(M$4=2,G8,IF(M$4=3,I8,IF(M$4=4,K8,0))))</f>
        <v>0</v>
      </c>
      <c r="N8" s="1526"/>
      <c r="O8" s="1555">
        <f t="shared" ref="O8:O16" si="2">IF(O$4=1,G8,IF(O$4=2,I8,IF(O$4=3,K8,IF(O$4=4,M8,0))))</f>
        <v>0</v>
      </c>
      <c r="P8" s="1526"/>
      <c r="Q8" s="1555">
        <f t="shared" ref="Q8:Q16" si="3">IF(Q$4=1,I8,IF(Q$4=2,K8,IF(Q$4=3,M8,IF(Q$4=4,O8,0))))</f>
        <v>0</v>
      </c>
      <c r="R8" s="288"/>
      <c r="S8" s="874"/>
      <c r="T8" s="1374"/>
      <c r="U8" s="1383"/>
      <c r="V8" s="1384"/>
      <c r="W8" s="1384"/>
      <c r="X8" s="1384"/>
      <c r="Y8" s="1384"/>
      <c r="Z8" s="1384"/>
      <c r="AA8" s="1384"/>
      <c r="AB8" s="491"/>
      <c r="AC8" s="1379">
        <f>G3</f>
        <v>45291</v>
      </c>
    </row>
    <row r="9" spans="1:29" ht="16">
      <c r="A9" s="353" t="s">
        <v>812</v>
      </c>
      <c r="B9" s="354"/>
      <c r="C9" s="1525">
        <f>'EPC IS'!D32</f>
        <v>0</v>
      </c>
      <c r="D9" s="1526"/>
      <c r="E9" s="1525">
        <f>'EPC IS'!F32</f>
        <v>0</v>
      </c>
      <c r="F9" s="1526"/>
      <c r="G9" s="1525">
        <f>'EPC IS'!H32</f>
        <v>0</v>
      </c>
      <c r="H9" s="1526"/>
      <c r="I9" s="1525">
        <f>'EPC IS'!J32</f>
        <v>0</v>
      </c>
      <c r="J9" s="1526"/>
      <c r="K9" s="1555">
        <f t="shared" si="0"/>
        <v>0</v>
      </c>
      <c r="L9" s="1526"/>
      <c r="M9" s="1554">
        <f t="shared" si="1"/>
        <v>0</v>
      </c>
      <c r="N9" s="1526"/>
      <c r="O9" s="1555">
        <f t="shared" si="2"/>
        <v>0</v>
      </c>
      <c r="P9" s="1526"/>
      <c r="Q9" s="1555">
        <f t="shared" si="3"/>
        <v>0</v>
      </c>
      <c r="R9" s="288"/>
      <c r="S9" s="874"/>
      <c r="T9" s="1374"/>
      <c r="U9" s="1375"/>
      <c r="V9" s="1375"/>
      <c r="W9" s="1375"/>
      <c r="X9" s="1375"/>
      <c r="Y9" s="1375"/>
      <c r="Z9" s="1375"/>
      <c r="AA9" s="1375"/>
      <c r="AC9" s="1379">
        <f>I3</f>
        <v>45382</v>
      </c>
    </row>
    <row r="10" spans="1:29" ht="16">
      <c r="A10" s="353" t="s">
        <v>813</v>
      </c>
      <c r="B10" s="354"/>
      <c r="C10" s="1525">
        <f>'EPC IS'!D30</f>
        <v>0</v>
      </c>
      <c r="D10" s="1526"/>
      <c r="E10" s="1525">
        <f>'EPC IS'!F30</f>
        <v>0</v>
      </c>
      <c r="F10" s="1526"/>
      <c r="G10" s="1525">
        <f>'EPC IS'!H30</f>
        <v>0</v>
      </c>
      <c r="H10" s="1526"/>
      <c r="I10" s="1525">
        <f>'EPC IS'!J30</f>
        <v>0</v>
      </c>
      <c r="J10" s="1526"/>
      <c r="K10" s="1555">
        <f t="shared" si="0"/>
        <v>0</v>
      </c>
      <c r="L10" s="1526"/>
      <c r="M10" s="1554">
        <f t="shared" si="1"/>
        <v>0</v>
      </c>
      <c r="N10" s="1526"/>
      <c r="O10" s="1555">
        <f t="shared" si="2"/>
        <v>0</v>
      </c>
      <c r="P10" s="1526"/>
      <c r="Q10" s="1555">
        <f t="shared" si="3"/>
        <v>0</v>
      </c>
      <c r="R10" s="288"/>
      <c r="T10" s="1375"/>
      <c r="V10" s="1375"/>
      <c r="W10" s="1375"/>
      <c r="X10" s="1375"/>
      <c r="Y10" s="1375"/>
      <c r="Z10" s="1375"/>
      <c r="AA10" s="1375"/>
      <c r="AC10" s="1387"/>
    </row>
    <row r="11" spans="1:29" ht="17.5" customHeight="1">
      <c r="A11" s="353" t="s">
        <v>814</v>
      </c>
      <c r="B11" s="354"/>
      <c r="C11" s="1525">
        <f>'EPC IS'!D61</f>
        <v>0</v>
      </c>
      <c r="D11" s="1529"/>
      <c r="E11" s="1525">
        <f>'EPC IS'!F61</f>
        <v>0</v>
      </c>
      <c r="F11" s="1529"/>
      <c r="G11" s="1525">
        <f>'EPC IS'!H61</f>
        <v>0</v>
      </c>
      <c r="H11" s="1529"/>
      <c r="I11" s="1525">
        <f>'EPC IS'!J61</f>
        <v>0</v>
      </c>
      <c r="J11" s="1529"/>
      <c r="K11" s="1555">
        <f t="shared" si="0"/>
        <v>0</v>
      </c>
      <c r="L11" s="1526"/>
      <c r="M11" s="1554">
        <f t="shared" si="1"/>
        <v>0</v>
      </c>
      <c r="N11" s="1526"/>
      <c r="O11" s="1555">
        <f t="shared" si="2"/>
        <v>0</v>
      </c>
      <c r="P11" s="1526"/>
      <c r="Q11" s="1555">
        <f t="shared" si="3"/>
        <v>0</v>
      </c>
      <c r="R11" s="301"/>
      <c r="U11" s="1375"/>
    </row>
    <row r="12" spans="1:29" ht="16">
      <c r="A12" s="353" t="s">
        <v>815</v>
      </c>
      <c r="B12" s="354"/>
      <c r="C12" s="1525"/>
      <c r="D12" s="1529"/>
      <c r="E12" s="1525"/>
      <c r="F12" s="1529"/>
      <c r="G12" s="1525"/>
      <c r="H12" s="1529"/>
      <c r="I12" s="1525"/>
      <c r="J12" s="1529"/>
      <c r="K12" s="1555">
        <f t="shared" si="0"/>
        <v>0</v>
      </c>
      <c r="L12" s="1526"/>
      <c r="M12" s="1554">
        <f t="shared" si="1"/>
        <v>0</v>
      </c>
      <c r="N12" s="1526"/>
      <c r="O12" s="1555">
        <f t="shared" si="2"/>
        <v>0</v>
      </c>
      <c r="P12" s="1526"/>
      <c r="Q12" s="1555">
        <f t="shared" si="3"/>
        <v>0</v>
      </c>
      <c r="R12" s="301"/>
    </row>
    <row r="13" spans="1:29" ht="16">
      <c r="A13" s="353" t="s">
        <v>816</v>
      </c>
      <c r="B13" s="354"/>
      <c r="C13" s="1528"/>
      <c r="D13" s="1529"/>
      <c r="E13" s="1525"/>
      <c r="F13" s="1529"/>
      <c r="G13" s="1525"/>
      <c r="H13" s="1529"/>
      <c r="I13" s="1525"/>
      <c r="J13" s="1529"/>
      <c r="K13" s="1555">
        <f t="shared" si="0"/>
        <v>0</v>
      </c>
      <c r="L13" s="1526"/>
      <c r="M13" s="1554">
        <f t="shared" si="1"/>
        <v>0</v>
      </c>
      <c r="N13" s="1526"/>
      <c r="O13" s="1555">
        <f t="shared" si="2"/>
        <v>0</v>
      </c>
      <c r="P13" s="1526"/>
      <c r="Q13" s="1555">
        <f t="shared" si="3"/>
        <v>0</v>
      </c>
      <c r="R13" s="301"/>
      <c r="S13" s="6"/>
      <c r="T13" s="6"/>
    </row>
    <row r="14" spans="1:29" ht="16">
      <c r="A14" s="353" t="s">
        <v>817</v>
      </c>
      <c r="B14" s="354"/>
      <c r="C14" s="1528"/>
      <c r="D14" s="1543"/>
      <c r="E14" s="1525"/>
      <c r="F14" s="1529"/>
      <c r="G14" s="1525"/>
      <c r="H14" s="1529"/>
      <c r="I14" s="1525"/>
      <c r="J14" s="1529"/>
      <c r="K14" s="1555">
        <f t="shared" si="0"/>
        <v>0</v>
      </c>
      <c r="L14" s="1526"/>
      <c r="M14" s="1554">
        <f t="shared" si="1"/>
        <v>0</v>
      </c>
      <c r="N14" s="1526"/>
      <c r="O14" s="1555">
        <f t="shared" si="2"/>
        <v>0</v>
      </c>
      <c r="P14" s="1526"/>
      <c r="Q14" s="1555">
        <f t="shared" si="3"/>
        <v>0</v>
      </c>
      <c r="R14" s="301"/>
      <c r="S14" s="6"/>
      <c r="T14" s="6"/>
    </row>
    <row r="15" spans="1:29" ht="16">
      <c r="A15" s="353" t="s">
        <v>817</v>
      </c>
      <c r="B15" s="354"/>
      <c r="C15" s="1528"/>
      <c r="D15" s="1543"/>
      <c r="E15" s="1525"/>
      <c r="F15" s="1529"/>
      <c r="G15" s="1525"/>
      <c r="H15" s="1529"/>
      <c r="I15" s="1525"/>
      <c r="J15" s="1529"/>
      <c r="K15" s="1555">
        <f t="shared" si="0"/>
        <v>0</v>
      </c>
      <c r="L15" s="1526"/>
      <c r="M15" s="1554">
        <f t="shared" si="1"/>
        <v>0</v>
      </c>
      <c r="N15" s="1526"/>
      <c r="O15" s="1555">
        <f t="shared" si="2"/>
        <v>0</v>
      </c>
      <c r="P15" s="1526"/>
      <c r="Q15" s="1555">
        <f t="shared" si="3"/>
        <v>0</v>
      </c>
      <c r="R15" s="301"/>
      <c r="S15" s="6"/>
      <c r="T15" s="6"/>
    </row>
    <row r="16" spans="1:29" ht="17" thickBot="1">
      <c r="A16" s="353" t="s">
        <v>817</v>
      </c>
      <c r="B16" s="354"/>
      <c r="C16" s="1531"/>
      <c r="D16" s="1529"/>
      <c r="E16" s="1525"/>
      <c r="F16" s="1540"/>
      <c r="G16" s="1525"/>
      <c r="H16" s="1540"/>
      <c r="I16" s="1525"/>
      <c r="J16" s="1540"/>
      <c r="K16" s="1555">
        <f t="shared" si="0"/>
        <v>0</v>
      </c>
      <c r="L16" s="1547"/>
      <c r="M16" s="1557">
        <f t="shared" si="1"/>
        <v>0</v>
      </c>
      <c r="N16" s="1547"/>
      <c r="O16" s="1555">
        <f t="shared" si="2"/>
        <v>0</v>
      </c>
      <c r="P16" s="1547"/>
      <c r="Q16" s="1555">
        <f t="shared" si="3"/>
        <v>0</v>
      </c>
      <c r="R16" s="302"/>
      <c r="S16" s="6"/>
      <c r="T16" s="6"/>
    </row>
    <row r="17" spans="1:20" ht="17" thickBot="1">
      <c r="A17" s="1088" t="s">
        <v>818</v>
      </c>
      <c r="B17" s="1089"/>
      <c r="C17" s="1558">
        <f>SUM(C7:C16)</f>
        <v>0</v>
      </c>
      <c r="D17" s="1534"/>
      <c r="E17" s="1559">
        <f>SUM(E7:E16)</f>
        <v>0</v>
      </c>
      <c r="F17" s="1534"/>
      <c r="G17" s="1559">
        <f>SUM(G7:G16)</f>
        <v>0</v>
      </c>
      <c r="H17" s="1534"/>
      <c r="I17" s="1559">
        <f>SUM(I7:I16)</f>
        <v>0</v>
      </c>
      <c r="J17" s="1534"/>
      <c r="K17" s="1559">
        <f>SUM(K7:K16)</f>
        <v>0</v>
      </c>
      <c r="L17" s="1534"/>
      <c r="M17" s="1560">
        <f>SUM(M7:M16)</f>
        <v>0</v>
      </c>
      <c r="N17" s="1534"/>
      <c r="O17" s="1561">
        <f>SUM(O7:O16)</f>
        <v>0</v>
      </c>
      <c r="P17" s="1534"/>
      <c r="Q17" s="1558">
        <f>SUM(Q7:Q16)</f>
        <v>0</v>
      </c>
      <c r="R17" s="1216"/>
      <c r="S17" s="6"/>
      <c r="T17" s="6"/>
    </row>
    <row r="18" spans="1:20" ht="16">
      <c r="A18" s="353" t="s">
        <v>819</v>
      </c>
      <c r="B18" s="1056"/>
      <c r="C18" s="1525">
        <f>C11</f>
        <v>0</v>
      </c>
      <c r="D18" s="1529"/>
      <c r="E18" s="1525">
        <f>E11</f>
        <v>0</v>
      </c>
      <c r="F18" s="1529"/>
      <c r="G18" s="1525">
        <f>G11</f>
        <v>0</v>
      </c>
      <c r="H18" s="1529"/>
      <c r="I18" s="1525">
        <f>I11</f>
        <v>0</v>
      </c>
      <c r="J18" s="1529"/>
      <c r="K18" s="1555">
        <f t="shared" ref="K18:K25" si="4">IF(K$4=1,C18,IF(K$4=2,E18,IF(K$4=3,G18,IF(K$4=4,I18,0))))</f>
        <v>0</v>
      </c>
      <c r="L18" s="1526"/>
      <c r="M18" s="1562">
        <f t="shared" ref="M18:M25" si="5">IF(M$4=1,E18,IF(M$4=2,G18,IF(M$4=3,I18,IF(M$4=4,K18,0))))</f>
        <v>0</v>
      </c>
      <c r="N18" s="1526"/>
      <c r="O18" s="1562">
        <f t="shared" ref="O18:O25" si="6">IF(O$4=1,G18,IF(O$4=2,I18,IF(O$4=3,K18,IF(O$4=4,M18,0))))</f>
        <v>0</v>
      </c>
      <c r="P18" s="1526"/>
      <c r="Q18" s="1555">
        <f t="shared" ref="Q18:Q25" si="7">IF(Q$4=1,I18,IF(Q$4=2,K18,IF(Q$4=3,M18,IF(Q$4=4,O18,0))))</f>
        <v>0</v>
      </c>
      <c r="R18" s="301"/>
      <c r="S18" s="6"/>
      <c r="T18" s="6"/>
    </row>
    <row r="19" spans="1:20" ht="16">
      <c r="A19" s="353" t="s">
        <v>820</v>
      </c>
      <c r="B19" s="354"/>
      <c r="C19" s="1525"/>
      <c r="D19" s="1529"/>
      <c r="E19" s="1525"/>
      <c r="F19" s="1529"/>
      <c r="G19" s="1525"/>
      <c r="H19" s="1529"/>
      <c r="I19" s="1525"/>
      <c r="J19" s="1529"/>
      <c r="K19" s="1555">
        <f t="shared" si="4"/>
        <v>0</v>
      </c>
      <c r="L19" s="1526"/>
      <c r="M19" s="1554">
        <f t="shared" si="5"/>
        <v>0</v>
      </c>
      <c r="N19" s="1526"/>
      <c r="O19" s="1554">
        <f t="shared" si="6"/>
        <v>0</v>
      </c>
      <c r="P19" s="1526"/>
      <c r="Q19" s="1555">
        <f t="shared" si="7"/>
        <v>0</v>
      </c>
      <c r="R19" s="301"/>
      <c r="S19" s="6"/>
      <c r="T19" s="6"/>
    </row>
    <row r="20" spans="1:20" ht="16">
      <c r="A20" s="353" t="s">
        <v>821</v>
      </c>
      <c r="B20" s="354"/>
      <c r="C20" s="1525"/>
      <c r="D20" s="1529"/>
      <c r="E20" s="1525"/>
      <c r="F20" s="1529"/>
      <c r="G20" s="1525"/>
      <c r="H20" s="1529"/>
      <c r="I20" s="1525"/>
      <c r="J20" s="1529"/>
      <c r="K20" s="1555">
        <f t="shared" si="4"/>
        <v>0</v>
      </c>
      <c r="L20" s="1526"/>
      <c r="M20" s="1554">
        <f t="shared" si="5"/>
        <v>0</v>
      </c>
      <c r="N20" s="1526"/>
      <c r="O20" s="1554">
        <f t="shared" si="6"/>
        <v>0</v>
      </c>
      <c r="P20" s="1526"/>
      <c r="Q20" s="1555">
        <f t="shared" si="7"/>
        <v>0</v>
      </c>
      <c r="R20" s="301"/>
      <c r="S20" s="6"/>
      <c r="T20" s="6"/>
    </row>
    <row r="21" spans="1:20" ht="16">
      <c r="A21" s="353" t="s">
        <v>919</v>
      </c>
      <c r="B21" s="354"/>
      <c r="C21" s="1525"/>
      <c r="D21" s="1529"/>
      <c r="E21" s="1525"/>
      <c r="F21" s="1529"/>
      <c r="G21" s="1525"/>
      <c r="H21" s="1529"/>
      <c r="I21" s="1525"/>
      <c r="J21" s="1529"/>
      <c r="K21" s="1555">
        <f t="shared" si="4"/>
        <v>0</v>
      </c>
      <c r="L21" s="1526"/>
      <c r="M21" s="1554">
        <f t="shared" si="5"/>
        <v>0</v>
      </c>
      <c r="N21" s="1526"/>
      <c r="O21" s="1554">
        <f t="shared" si="6"/>
        <v>0</v>
      </c>
      <c r="P21" s="1526"/>
      <c r="Q21" s="1555">
        <f t="shared" si="7"/>
        <v>0</v>
      </c>
      <c r="R21" s="301"/>
      <c r="S21" s="6"/>
      <c r="T21" s="6"/>
    </row>
    <row r="22" spans="1:20" ht="16">
      <c r="A22" s="353" t="s">
        <v>823</v>
      </c>
      <c r="B22" s="354"/>
      <c r="C22" s="1525"/>
      <c r="D22" s="1529"/>
      <c r="E22" s="1525"/>
      <c r="F22" s="1529"/>
      <c r="G22" s="1525"/>
      <c r="H22" s="1529"/>
      <c r="I22" s="1525"/>
      <c r="J22" s="1529"/>
      <c r="K22" s="1555">
        <f t="shared" si="4"/>
        <v>0</v>
      </c>
      <c r="L22" s="1526"/>
      <c r="M22" s="1554">
        <f t="shared" si="5"/>
        <v>0</v>
      </c>
      <c r="N22" s="1526"/>
      <c r="O22" s="1554">
        <f t="shared" si="6"/>
        <v>0</v>
      </c>
      <c r="P22" s="1526"/>
      <c r="Q22" s="1555">
        <f t="shared" si="7"/>
        <v>0</v>
      </c>
      <c r="R22" s="301"/>
      <c r="S22" s="6"/>
      <c r="T22" s="6"/>
    </row>
    <row r="23" spans="1:20" ht="16">
      <c r="A23" s="353" t="s">
        <v>824</v>
      </c>
      <c r="B23" s="354"/>
      <c r="C23" s="1525"/>
      <c r="D23" s="1529"/>
      <c r="E23" s="1525"/>
      <c r="F23" s="1529"/>
      <c r="G23" s="1525"/>
      <c r="H23" s="1529"/>
      <c r="I23" s="1525"/>
      <c r="J23" s="1529"/>
      <c r="K23" s="1555">
        <f t="shared" si="4"/>
        <v>0</v>
      </c>
      <c r="L23" s="1526"/>
      <c r="M23" s="1554">
        <f t="shared" si="5"/>
        <v>0</v>
      </c>
      <c r="N23" s="1526"/>
      <c r="O23" s="1554">
        <f t="shared" si="6"/>
        <v>0</v>
      </c>
      <c r="P23" s="1526"/>
      <c r="Q23" s="1555">
        <f t="shared" si="7"/>
        <v>0</v>
      </c>
      <c r="R23" s="301"/>
      <c r="S23" s="6"/>
      <c r="T23" s="6"/>
    </row>
    <row r="24" spans="1:20" ht="16">
      <c r="A24" s="353" t="s">
        <v>825</v>
      </c>
      <c r="B24" s="354"/>
      <c r="C24" s="1525"/>
      <c r="D24" s="1529"/>
      <c r="E24" s="1525"/>
      <c r="F24" s="1529"/>
      <c r="G24" s="1525"/>
      <c r="H24" s="1529"/>
      <c r="I24" s="1525"/>
      <c r="J24" s="1529"/>
      <c r="K24" s="1555">
        <f t="shared" si="4"/>
        <v>0</v>
      </c>
      <c r="L24" s="1526"/>
      <c r="M24" s="1554">
        <f t="shared" si="5"/>
        <v>0</v>
      </c>
      <c r="N24" s="1526"/>
      <c r="O24" s="1554">
        <f t="shared" si="6"/>
        <v>0</v>
      </c>
      <c r="P24" s="1526"/>
      <c r="Q24" s="1555">
        <f t="shared" si="7"/>
        <v>0</v>
      </c>
      <c r="R24" s="301"/>
      <c r="S24" s="6"/>
      <c r="T24" s="6"/>
    </row>
    <row r="25" spans="1:20" ht="17" thickBot="1">
      <c r="A25" s="353" t="s">
        <v>825</v>
      </c>
      <c r="B25" s="355"/>
      <c r="C25" s="1525"/>
      <c r="D25" s="1529"/>
      <c r="E25" s="1525"/>
      <c r="F25" s="1529"/>
      <c r="G25" s="1525"/>
      <c r="H25" s="1529"/>
      <c r="I25" s="1525"/>
      <c r="J25" s="1529"/>
      <c r="K25" s="1555">
        <f t="shared" si="4"/>
        <v>0</v>
      </c>
      <c r="L25" s="1526"/>
      <c r="M25" s="1557">
        <f t="shared" si="5"/>
        <v>0</v>
      </c>
      <c r="N25" s="1526"/>
      <c r="O25" s="1557">
        <f t="shared" si="6"/>
        <v>0</v>
      </c>
      <c r="P25" s="1526"/>
      <c r="Q25" s="1555">
        <f t="shared" si="7"/>
        <v>0</v>
      </c>
      <c r="R25" s="301"/>
      <c r="S25" s="6"/>
      <c r="T25" s="6"/>
    </row>
    <row r="26" spans="1:20" ht="17" thickBot="1">
      <c r="A26" s="1088" t="s">
        <v>259</v>
      </c>
      <c r="B26" s="1089"/>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4"/>
      <c r="O26" s="1535">
        <f>+O17-SUM(O18:O25)</f>
        <v>0</v>
      </c>
      <c r="P26" s="1534"/>
      <c r="Q26" s="1535">
        <f>+Q17-SUM(Q18:Q25)</f>
        <v>0</v>
      </c>
      <c r="R26" s="1216"/>
      <c r="S26" s="6"/>
      <c r="T26" s="6"/>
    </row>
    <row r="27" spans="1:20" ht="16">
      <c r="A27" s="278" t="s">
        <v>231</v>
      </c>
      <c r="B27" s="1057"/>
      <c r="C27" s="1524">
        <f>EPCDebt[[#Totals],[Curr Pmt]]*'EPC CF'!C5</f>
        <v>0</v>
      </c>
      <c r="D27" s="1543"/>
      <c r="E27" s="1524">
        <f>EPCDebt[[#Totals],[Curr Pmt]]*'EPC CF'!E5</f>
        <v>0</v>
      </c>
      <c r="F27" s="1543"/>
      <c r="G27" s="1524">
        <f>EPCDebt[[#Totals],[Curr Pmt]]*'EPC CF'!G5</f>
        <v>0</v>
      </c>
      <c r="H27" s="1543"/>
      <c r="I27" s="1524">
        <f>EPCDebt[[#Totals],[Curr Pmt]]*'EPC CF'!I5</f>
        <v>0</v>
      </c>
      <c r="J27" s="1543"/>
      <c r="K27" s="1552">
        <f t="shared" ref="K27:K33" si="8">IF(K$4=1,C27,IF(K$4=2,E27,IF(K$4=3,G27,IF(K$4=4,I27,0))))</f>
        <v>0</v>
      </c>
      <c r="L27" s="1542"/>
      <c r="M27" s="1552">
        <f t="shared" ref="M27:M33" si="9">IF(M$4=1,E27,IF(M$4=2,G27,IF(M$4=3,I27,IF(M$4=4,K27,0))))</f>
        <v>0</v>
      </c>
      <c r="N27" s="1542"/>
      <c r="O27" s="1552">
        <f t="shared" ref="O27:O33" si="10">IF(O$4=1,G27,IF(O$4=2,I27,IF(O$4=3,K27,IF(O$4=4,M27,0))))</f>
        <v>0</v>
      </c>
      <c r="P27" s="1542"/>
      <c r="Q27" s="1552">
        <f t="shared" ref="Q27:Q33" si="11">IF(Q$4=1,I27,IF(Q$4=2,K27,IF(Q$4=3,M27,IF(Q$4=4,O27,0))))</f>
        <v>0</v>
      </c>
      <c r="R27" s="303"/>
    </row>
    <row r="28" spans="1:20" ht="17.5" customHeight="1">
      <c r="A28" s="278" t="s">
        <v>232</v>
      </c>
      <c r="B28" s="1057"/>
      <c r="C28" s="1554"/>
      <c r="D28" s="1542"/>
      <c r="E28" s="1554"/>
      <c r="F28" s="1542"/>
      <c r="G28" s="1554"/>
      <c r="H28" s="1542"/>
      <c r="I28" s="1554"/>
      <c r="J28" s="1542"/>
      <c r="K28" s="1554">
        <f t="shared" si="8"/>
        <v>0</v>
      </c>
      <c r="L28" s="1542"/>
      <c r="M28" s="1554">
        <f t="shared" si="9"/>
        <v>0</v>
      </c>
      <c r="N28" s="1542"/>
      <c r="O28" s="1554">
        <f t="shared" si="10"/>
        <v>0</v>
      </c>
      <c r="P28" s="1542"/>
      <c r="Q28" s="1554">
        <f t="shared" si="11"/>
        <v>0</v>
      </c>
      <c r="R28" s="304"/>
    </row>
    <row r="29" spans="1:20" ht="16">
      <c r="A29" s="278" t="s">
        <v>233</v>
      </c>
      <c r="B29" s="1057"/>
      <c r="C29" s="1554"/>
      <c r="D29" s="1542"/>
      <c r="E29" s="1554"/>
      <c r="F29" s="1542"/>
      <c r="G29" s="1554"/>
      <c r="H29" s="1542"/>
      <c r="I29" s="1554"/>
      <c r="J29" s="1542"/>
      <c r="K29" s="1554">
        <f t="shared" si="8"/>
        <v>0</v>
      </c>
      <c r="L29" s="1542"/>
      <c r="M29" s="1554">
        <f t="shared" si="9"/>
        <v>0</v>
      </c>
      <c r="N29" s="1542"/>
      <c r="O29" s="1554">
        <f t="shared" si="10"/>
        <v>0</v>
      </c>
      <c r="P29" s="1542"/>
      <c r="Q29" s="1554">
        <f t="shared" si="11"/>
        <v>0</v>
      </c>
      <c r="R29" s="304"/>
    </row>
    <row r="30" spans="1:20" ht="16">
      <c r="A30" s="278" t="s">
        <v>234</v>
      </c>
      <c r="B30" s="1057"/>
      <c r="C30" s="1527"/>
      <c r="D30" s="1542"/>
      <c r="E30" s="1527"/>
      <c r="F30" s="1542"/>
      <c r="G30" s="1527"/>
      <c r="H30" s="1542"/>
      <c r="I30" s="1527"/>
      <c r="J30" s="1542"/>
      <c r="K30" s="1554">
        <f t="shared" si="8"/>
        <v>0</v>
      </c>
      <c r="L30" s="1542"/>
      <c r="M30" s="1554">
        <f t="shared" si="9"/>
        <v>0</v>
      </c>
      <c r="N30" s="1542"/>
      <c r="O30" s="1554">
        <f t="shared" si="10"/>
        <v>0</v>
      </c>
      <c r="P30" s="1542"/>
      <c r="Q30" s="1554">
        <f t="shared" si="11"/>
        <v>0</v>
      </c>
      <c r="R30" s="304"/>
    </row>
    <row r="31" spans="1:20" ht="16">
      <c r="A31" s="274" t="s">
        <v>235</v>
      </c>
      <c r="B31" s="356"/>
      <c r="C31" s="1527"/>
      <c r="D31" s="1543"/>
      <c r="E31" s="1527"/>
      <c r="F31" s="1543"/>
      <c r="G31" s="1527"/>
      <c r="H31" s="1543"/>
      <c r="I31" s="1527"/>
      <c r="J31" s="1543"/>
      <c r="K31" s="1554">
        <f t="shared" si="8"/>
        <v>0</v>
      </c>
      <c r="L31" s="1542"/>
      <c r="M31" s="1554">
        <f>IF(M$4=1,E31,IF(M$4=2,G31,IF(M$4=3,I31,IF(M$4=4,K31,0))))</f>
        <v>0</v>
      </c>
      <c r="N31" s="1542"/>
      <c r="O31" s="1554">
        <f>IF(O$4=1,G31,IF(O$4=2,I31,IF(O$4=3,K31,IF(O$4=4,M31,0))))</f>
        <v>0</v>
      </c>
      <c r="P31" s="1526"/>
      <c r="Q31" s="1554">
        <f>IF(Q$4=1,I31,IF(Q$4=2,K31,IF(Q$4=3,M31,IF(Q$4=4,O31,0))))</f>
        <v>0</v>
      </c>
      <c r="R31" s="301"/>
    </row>
    <row r="32" spans="1:20" ht="16">
      <c r="A32" s="274" t="s">
        <v>236</v>
      </c>
      <c r="B32" s="356"/>
      <c r="C32" s="1527"/>
      <c r="D32" s="1543"/>
      <c r="E32" s="1527"/>
      <c r="F32" s="1543"/>
      <c r="G32" s="1527"/>
      <c r="H32" s="1543"/>
      <c r="I32" s="1527"/>
      <c r="J32" s="1543"/>
      <c r="K32" s="1554">
        <f t="shared" si="8"/>
        <v>0</v>
      </c>
      <c r="L32" s="1542"/>
      <c r="M32" s="1554">
        <f t="shared" si="9"/>
        <v>0</v>
      </c>
      <c r="N32" s="1542"/>
      <c r="O32" s="1554">
        <f t="shared" si="10"/>
        <v>0</v>
      </c>
      <c r="P32" s="1526"/>
      <c r="Q32" s="1554">
        <f t="shared" si="11"/>
        <v>0</v>
      </c>
      <c r="R32" s="301"/>
    </row>
    <row r="33" spans="1:20" ht="17" thickBot="1">
      <c r="A33" s="274" t="s">
        <v>228</v>
      </c>
      <c r="B33" s="356"/>
      <c r="C33" s="1544"/>
      <c r="D33" s="1563"/>
      <c r="E33" s="1544"/>
      <c r="F33" s="1563"/>
      <c r="G33" s="1544"/>
      <c r="H33" s="1563"/>
      <c r="I33" s="1544"/>
      <c r="J33" s="1563"/>
      <c r="K33" s="1564">
        <f t="shared" si="8"/>
        <v>0</v>
      </c>
      <c r="L33" s="1565"/>
      <c r="M33" s="1564">
        <f t="shared" si="9"/>
        <v>0</v>
      </c>
      <c r="N33" s="1565"/>
      <c r="O33" s="1564">
        <f t="shared" si="10"/>
        <v>0</v>
      </c>
      <c r="P33" s="1565"/>
      <c r="Q33" s="1564">
        <f t="shared" si="11"/>
        <v>0</v>
      </c>
      <c r="R33" s="305"/>
      <c r="S33" s="874"/>
      <c r="T33" s="874"/>
    </row>
    <row r="34" spans="1:20" ht="17" thickBot="1">
      <c r="A34" s="1088" t="s">
        <v>826</v>
      </c>
      <c r="B34" s="1089"/>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1217"/>
    </row>
    <row r="35" spans="1:20"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88"/>
    </row>
    <row r="36" spans="1:20"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0" ht="15" customHeight="1">
      <c r="A37" s="236"/>
      <c r="B37" s="1053"/>
      <c r="C37" s="306"/>
      <c r="D37" s="287"/>
      <c r="E37" s="306"/>
      <c r="F37" s="287"/>
      <c r="G37" s="306"/>
      <c r="H37" s="287"/>
      <c r="I37" s="306"/>
      <c r="J37" s="287"/>
      <c r="K37" s="306"/>
      <c r="L37" s="287"/>
      <c r="M37" s="306"/>
      <c r="N37" s="287"/>
      <c r="O37" s="306"/>
      <c r="P37" s="287"/>
      <c r="Q37" s="306"/>
      <c r="R37" s="291"/>
    </row>
    <row r="38" spans="1:20" ht="15"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288"/>
    </row>
    <row r="39" spans="1:20" ht="15" customHeight="1">
      <c r="A39" s="233" t="s">
        <v>829</v>
      </c>
      <c r="B39" s="246"/>
      <c r="C39" s="1526"/>
      <c r="D39" s="1526"/>
      <c r="E39" s="1526"/>
      <c r="F39" s="1526"/>
      <c r="G39" s="1526"/>
      <c r="H39" s="1526"/>
      <c r="I39" s="1526"/>
      <c r="J39" s="1526"/>
      <c r="K39" s="1526"/>
      <c r="L39" s="1551"/>
      <c r="M39" s="1526"/>
      <c r="N39" s="1551"/>
      <c r="O39" s="1526"/>
      <c r="P39" s="1551"/>
      <c r="Q39" s="1526"/>
      <c r="R39" s="1082"/>
    </row>
    <row r="40" spans="1:20" ht="15" customHeight="1">
      <c r="A40" s="233" t="s">
        <v>830</v>
      </c>
      <c r="B40" s="246"/>
      <c r="C40" s="1526"/>
      <c r="D40" s="1526"/>
      <c r="E40" s="1526"/>
      <c r="F40" s="1526"/>
      <c r="G40" s="1526"/>
      <c r="H40" s="1526"/>
      <c r="I40" s="1526"/>
      <c r="J40" s="1526"/>
      <c r="K40" s="1526"/>
      <c r="L40" s="1551"/>
      <c r="M40" s="1526"/>
      <c r="N40" s="1551"/>
      <c r="O40" s="1526"/>
      <c r="P40" s="1551"/>
      <c r="Q40" s="1526"/>
      <c r="R40" s="1082"/>
    </row>
    <row r="41" spans="1:20" ht="15"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0" ht="15" customHeight="1">
      <c r="A42" s="233"/>
      <c r="B42" s="246"/>
      <c r="C42" s="307"/>
      <c r="D42" s="294"/>
      <c r="E42" s="307"/>
      <c r="F42" s="294"/>
      <c r="G42" s="307"/>
      <c r="H42" s="294"/>
      <c r="I42" s="307"/>
      <c r="J42" s="294"/>
      <c r="K42" s="307"/>
      <c r="L42" s="294"/>
      <c r="M42" s="307"/>
      <c r="N42" s="294"/>
      <c r="O42" s="307"/>
      <c r="P42" s="294"/>
      <c r="Q42" s="307"/>
      <c r="R42" s="293"/>
    </row>
    <row r="43" spans="1:20" ht="15"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0" ht="15" customHeight="1">
      <c r="A44" s="233" t="s">
        <v>832</v>
      </c>
      <c r="B44" s="246"/>
      <c r="C44" s="1526"/>
      <c r="D44" s="1526"/>
      <c r="E44" s="1526"/>
      <c r="F44" s="1526"/>
      <c r="G44" s="1526"/>
      <c r="H44" s="1526"/>
      <c r="I44" s="1526"/>
      <c r="J44" s="1526"/>
      <c r="K44" s="1526"/>
      <c r="L44" s="1526"/>
      <c r="M44" s="1526"/>
      <c r="N44" s="1526"/>
      <c r="O44" s="1526"/>
      <c r="P44" s="1526"/>
      <c r="Q44" s="1526"/>
      <c r="R44" s="293"/>
    </row>
    <row r="45" spans="1:20" ht="15" customHeight="1">
      <c r="A45" s="233" t="s">
        <v>833</v>
      </c>
      <c r="B45" s="246"/>
      <c r="C45" s="1526"/>
      <c r="D45" s="1526"/>
      <c r="E45" s="1526"/>
      <c r="F45" s="1526"/>
      <c r="G45" s="1526"/>
      <c r="H45" s="1526"/>
      <c r="I45" s="1526"/>
      <c r="J45" s="1526"/>
      <c r="K45" s="1526"/>
      <c r="L45" s="1526"/>
      <c r="M45" s="1526"/>
      <c r="N45" s="1526"/>
      <c r="O45" s="1526"/>
      <c r="P45" s="1526"/>
      <c r="Q45" s="1526"/>
      <c r="R45" s="293"/>
    </row>
    <row r="46" spans="1:20" ht="15"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0" ht="15" customHeight="1">
      <c r="A47" s="233"/>
      <c r="B47" s="246"/>
      <c r="C47" s="307"/>
      <c r="D47" s="294"/>
      <c r="E47" s="307"/>
      <c r="F47" s="294"/>
      <c r="G47" s="307"/>
      <c r="H47" s="294"/>
      <c r="I47" s="307"/>
      <c r="J47" s="294"/>
      <c r="K47" s="307"/>
      <c r="L47" s="294"/>
      <c r="M47" s="307"/>
      <c r="N47" s="294"/>
      <c r="O47" s="307"/>
      <c r="P47" s="294"/>
      <c r="Q47" s="307"/>
      <c r="R47" s="293"/>
    </row>
    <row r="48" spans="1:20" ht="15"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6">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6">
      <c r="A52" s="233"/>
      <c r="B52" s="246"/>
      <c r="C52" s="307"/>
      <c r="D52" s="294"/>
      <c r="E52" s="307"/>
      <c r="F52" s="294"/>
      <c r="G52" s="307"/>
      <c r="H52" s="294"/>
      <c r="I52" s="307"/>
      <c r="J52" s="294"/>
      <c r="K52" s="307"/>
      <c r="L52" s="294"/>
      <c r="M52" s="307"/>
      <c r="N52" s="294"/>
      <c r="O52" s="307"/>
      <c r="P52" s="294"/>
      <c r="Q52" s="1210"/>
      <c r="R52" s="1213"/>
    </row>
    <row r="53" spans="1:21" ht="15"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1213"/>
    </row>
    <row r="54" spans="1:21" ht="15"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5" customHeight="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295"/>
    </row>
    <row r="57" spans="1:21" ht="15" customHeight="1"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59" spans="1:21" ht="15" customHeight="1">
      <c r="A59" s="2993"/>
      <c r="B59" s="2993"/>
      <c r="C59" s="2993"/>
      <c r="D59" s="2993"/>
      <c r="E59" s="2993"/>
      <c r="F59" s="2993"/>
      <c r="G59" s="2993"/>
      <c r="H59" s="2993"/>
      <c r="I59" s="2993"/>
      <c r="J59" s="2993"/>
      <c r="K59" s="2993"/>
      <c r="L59" s="2993"/>
      <c r="M59" s="2993"/>
      <c r="N59" s="2993"/>
      <c r="O59" s="2993"/>
    </row>
    <row r="60" spans="1:21" ht="15" customHeight="1">
      <c r="A60" s="2993"/>
      <c r="B60" s="2993"/>
      <c r="C60" s="2993"/>
      <c r="D60" s="2993"/>
      <c r="E60" s="2993"/>
      <c r="F60" s="2993"/>
      <c r="G60" s="2993"/>
      <c r="H60" s="2993"/>
      <c r="I60" s="2993"/>
      <c r="J60" s="2993"/>
      <c r="K60" s="2993"/>
      <c r="L60" s="2993"/>
      <c r="M60" s="2993"/>
      <c r="N60" s="2993"/>
      <c r="O60" s="2993"/>
    </row>
    <row r="61" spans="1:21" ht="15" customHeight="1">
      <c r="A61" s="2993"/>
      <c r="B61" s="2993"/>
      <c r="C61" s="2993"/>
      <c r="D61" s="2993"/>
      <c r="E61" s="2993"/>
      <c r="F61" s="2993"/>
      <c r="G61" s="2993"/>
      <c r="H61" s="2993"/>
      <c r="I61" s="2993"/>
      <c r="J61" s="2993"/>
      <c r="K61" s="2993"/>
      <c r="L61" s="2993"/>
      <c r="M61" s="2993"/>
      <c r="N61" s="2993"/>
      <c r="O61" s="2993"/>
    </row>
    <row r="62" spans="1:21" ht="15" customHeight="1">
      <c r="A62" s="2993"/>
      <c r="B62" s="2993"/>
      <c r="C62" s="2993"/>
      <c r="D62" s="2993"/>
      <c r="E62" s="2993"/>
      <c r="F62" s="2993"/>
      <c r="G62" s="2993"/>
      <c r="H62" s="2993"/>
      <c r="I62" s="2993"/>
      <c r="J62" s="2993"/>
      <c r="K62" s="2993"/>
      <c r="L62" s="2993"/>
      <c r="M62" s="2993"/>
      <c r="N62" s="2993"/>
      <c r="O62" s="1085"/>
    </row>
    <row r="63" spans="1:21" ht="15" customHeight="1"/>
    <row r="64" spans="1:21" ht="15" customHeight="1">
      <c r="U64" s="25"/>
    </row>
    <row r="65" ht="15" customHeight="1"/>
    <row r="66" ht="15" customHeight="1"/>
  </sheetData>
  <sheetProtection algorithmName="SHA-512" hashValue="Gh1XFARhU2W3ZTepuUhHq73rXF+pKpBKFOt8zeZPlBUdknOYq+rtsPfAh4v2EWZOQcRSA5z7SBl4HYuJU4jAKQ==" saltValue="xKPAi5Oe15s1zSOGTJFaHA==" spinCount="100000" sheet="1" scenarios="1" formatCells="0" formatColumns="0" formatRows="0"/>
  <customSheetViews>
    <customSheetView guid="{EDC0EC15-0264-48C8-A990-093960AE8EF3}" scale="85" showGridLines="0" fitToPage="1" printArea="1" hiddenRows="1">
      <selection activeCell="B6" sqref="B6"/>
      <rowBreaks count="1" manualBreakCount="1">
        <brk id="94" max="14" man="1"/>
      </rowBreaks>
      <pageMargins left="0" right="0" top="0" bottom="0" header="0" footer="0"/>
      <printOptions horizontalCentered="1"/>
      <pageSetup scale="65" orientation="portrait" r:id="rId1"/>
      <headerFooter differentFirst="1">
        <firstHeader>&amp;L&amp;G&amp;C&amp;8
&amp;18Credit Memo</firstHeader>
      </headerFooter>
    </customSheetView>
    <customSheetView guid="{6E1FDEE6-49D0-4876-8C7C-09893145D2CE}" scale="85" showGridLines="0" fitToPage="1" printArea="1" hiddenRows="1">
      <selection activeCell="B6" sqref="B6"/>
      <rowBreaks count="1" manualBreakCount="1">
        <brk id="94" max="14" man="1"/>
      </rowBreaks>
      <pageMargins left="0" right="0" top="0" bottom="0" header="0" footer="0"/>
      <printOptions horizontalCentered="1"/>
      <pageSetup scale="65" orientation="portrait" r:id="rId2"/>
      <headerFooter differentFirst="1">
        <firstHeader>&amp;L&amp;G&amp;C&amp;8
&amp;18Credit Memo</firstHeader>
      </headerFooter>
    </customSheetView>
    <customSheetView guid="{DB1F6E98-7FCC-445F-9DA6-47D8BF8BE969}" scale="85" showGridLines="0" fitToPage="1" printArea="1" hiddenRows="1">
      <selection activeCell="B6" sqref="B6"/>
      <rowBreaks count="1" manualBreakCount="1">
        <brk id="94" max="14" man="1"/>
      </rowBreaks>
      <pageMargins left="0" right="0" top="0" bottom="0" header="0" footer="0"/>
      <printOptions horizontalCentered="1"/>
      <pageSetup scale="65" orientation="portrait" r:id="rId3"/>
      <headerFooter differentFirst="1">
        <firstHeader>&amp;L&amp;G&amp;C&amp;8
&amp;18Credit Memo</firstHeader>
      </headerFooter>
    </customSheetView>
    <customSheetView guid="{C02CA8E5-5D4C-45E5-BC4A-4C9BE481059B}" scale="85" showGridLines="0" fitToPage="1" printArea="1" hiddenRows="1">
      <selection activeCell="U1" sqref="U1:W1"/>
      <rowBreaks count="1" manualBreakCount="1">
        <brk id="94" max="14" man="1"/>
      </rowBreaks>
      <pageMargins left="0" right="0" top="0" bottom="0" header="0" footer="0"/>
      <printOptions horizontalCentered="1"/>
      <pageSetup scale="65" orientation="portrait" r:id="rId4"/>
      <headerFooter differentFirst="1">
        <firstHeader>&amp;L&amp;G&amp;C&amp;8
&amp;18Credit Memo</firstHeader>
      </headerFooter>
    </customSheetView>
  </customSheetViews>
  <mergeCells count="9">
    <mergeCell ref="U2:W2"/>
    <mergeCell ref="A1:Q1"/>
    <mergeCell ref="A59:O59"/>
    <mergeCell ref="A60:O60"/>
    <mergeCell ref="A61:O61"/>
    <mergeCell ref="A62:N62"/>
    <mergeCell ref="A58:R58"/>
    <mergeCell ref="A57:R57"/>
    <mergeCell ref="A2:R2"/>
  </mergeCells>
  <printOptions horizontalCentered="1"/>
  <pageMargins left="0.7" right="0.7" top="0.75" bottom="0.75" header="0.3" footer="0.3"/>
  <pageSetup scale="53" orientation="portrait" r:id="rId5"/>
  <headerFooter differentFirst="1">
    <firstHeader>&amp;L&amp;G&amp;C&amp;8
&amp;18Credit Memo</firstHeader>
  </headerFooter>
  <rowBreaks count="1" manualBreakCount="1">
    <brk id="98" max="14" man="1"/>
  </rowBreaks>
  <drawing r:id="rId6"/>
  <legacyDrawing r:id="rId7"/>
  <mc:AlternateContent xmlns:mc="http://schemas.openxmlformats.org/markup-compatibility/2006">
    <mc:Choice Requires="x14">
      <controls>
        <mc:AlternateContent xmlns:mc="http://schemas.openxmlformats.org/markup-compatibility/2006">
          <mc:Choice Requires="x14">
            <control shapeId="88087" r:id="rId8" name="Drop Down 23">
              <controlPr defaultSize="0" autoLine="0" autoPict="0">
                <anchor moveWithCells="1">
                  <from>
                    <xdr:col>20</xdr:col>
                    <xdr:colOff>0</xdr:colOff>
                    <xdr:row>6</xdr:row>
                    <xdr:rowOff>0</xdr:rowOff>
                  </from>
                  <to>
                    <xdr:col>21</xdr:col>
                    <xdr:colOff>0</xdr:colOff>
                    <xdr:row>7</xdr:row>
                    <xdr:rowOff>0</xdr:rowOff>
                  </to>
                </anchor>
              </controlPr>
            </control>
          </mc:Choice>
        </mc:AlternateContent>
        <mc:AlternateContent xmlns:mc="http://schemas.openxmlformats.org/markup-compatibility/2006">
          <mc:Choice Requires="x14">
            <control shapeId="88089" r:id="rId9" name="Drop Down 25">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88090" r:id="rId10" name="Drop Down 26">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88091" r:id="rId11" name="Drop Down 27">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tabColor rgb="FF00B050"/>
    <pageSetUpPr fitToPage="1"/>
  </sheetPr>
  <dimension ref="A1:Y67"/>
  <sheetViews>
    <sheetView showGridLines="0" topLeftCell="A30" zoomScale="85" zoomScaleNormal="85" workbookViewId="0">
      <selection activeCell="A16" sqref="A16:M20"/>
    </sheetView>
  </sheetViews>
  <sheetFormatPr baseColWidth="10" defaultColWidth="9.1640625" defaultRowHeight="16"/>
  <cols>
    <col min="1" max="3" width="13.6640625" style="60" customWidth="1"/>
    <col min="4" max="6" width="12.6640625" style="60" customWidth="1"/>
    <col min="7" max="7" width="3.6640625" style="60" bestFit="1" customWidth="1"/>
    <col min="8" max="11" width="12.6640625" style="60" customWidth="1"/>
    <col min="12" max="13" width="9.1640625" style="60"/>
    <col min="14" max="14" width="21.1640625" style="60" bestFit="1" customWidth="1"/>
    <col min="15" max="16384" width="9.1640625" style="60"/>
  </cols>
  <sheetData>
    <row r="1" spans="1:25" ht="17" thickBot="1">
      <c r="A1" s="2953" t="s">
        <v>1104</v>
      </c>
      <c r="B1" s="2954"/>
      <c r="C1" s="2954"/>
      <c r="D1" s="2954"/>
      <c r="E1" s="2954"/>
      <c r="F1" s="2954"/>
      <c r="G1" s="2954"/>
      <c r="H1" s="2954"/>
      <c r="I1" s="2954"/>
      <c r="J1" s="2954"/>
      <c r="K1" s="2955"/>
      <c r="N1" s="1221"/>
      <c r="O1" s="1221"/>
      <c r="P1" s="1221"/>
    </row>
    <row r="2" spans="1:25">
      <c r="A2" s="233"/>
      <c r="B2" s="232"/>
      <c r="C2" s="232"/>
      <c r="D2" s="234"/>
      <c r="E2" s="232"/>
      <c r="F2" s="232"/>
      <c r="G2" s="232"/>
      <c r="H2" s="232"/>
      <c r="I2" s="232"/>
      <c r="J2" s="232"/>
      <c r="K2" s="1222"/>
      <c r="N2" s="2901" t="str" cm="1">
        <f t="array" aca="1" ref="N2" ca="1">MID(CELL("filename",A1),FIND("]",CELL("filename",A1))+1,256)</f>
        <v>Per Need 1</v>
      </c>
      <c r="O2" s="2901"/>
      <c r="P2" s="2901"/>
    </row>
    <row r="3" spans="1:25" ht="15.75" customHeight="1">
      <c r="A3" s="236" t="s">
        <v>1105</v>
      </c>
      <c r="B3" s="3028" t="s">
        <v>1106</v>
      </c>
      <c r="C3" s="3029"/>
      <c r="D3" s="3029"/>
      <c r="E3" s="3029"/>
      <c r="F3" s="3029"/>
      <c r="G3" s="3029"/>
      <c r="H3" s="3029"/>
      <c r="I3" s="3030"/>
      <c r="J3" s="3031"/>
      <c r="K3" s="1223"/>
    </row>
    <row r="4" spans="1:25" ht="17" thickBot="1">
      <c r="A4" s="233"/>
      <c r="B4" s="232"/>
      <c r="C4" s="232"/>
      <c r="D4" s="232"/>
      <c r="E4" s="3042"/>
      <c r="F4" s="3044"/>
      <c r="G4" s="3044"/>
      <c r="H4" s="1224"/>
      <c r="I4" s="1224"/>
      <c r="J4" s="1224"/>
      <c r="K4" s="1225"/>
      <c r="N4" s="2779" t="s">
        <v>1107</v>
      </c>
      <c r="O4" s="2779"/>
      <c r="P4" s="2779"/>
      <c r="Q4" s="2779"/>
    </row>
    <row r="5" spans="1:25" ht="17" thickBot="1">
      <c r="A5" s="247" t="s">
        <v>277</v>
      </c>
      <c r="B5" s="232"/>
      <c r="C5" s="232"/>
      <c r="D5" s="232"/>
      <c r="E5" s="3043"/>
      <c r="F5" s="3045"/>
      <c r="G5" s="3045"/>
      <c r="H5" s="1226"/>
      <c r="I5" s="2908" t="s">
        <v>1108</v>
      </c>
      <c r="J5" s="2909"/>
      <c r="K5" s="2910"/>
      <c r="N5" s="3032" t="s">
        <v>1109</v>
      </c>
      <c r="O5" s="3032"/>
      <c r="P5" s="3032"/>
      <c r="Q5" s="3032"/>
      <c r="R5" s="200"/>
      <c r="S5" s="200"/>
      <c r="T5" s="200"/>
      <c r="U5" s="200"/>
      <c r="V5" s="200"/>
      <c r="W5" s="201"/>
      <c r="X5" s="201"/>
      <c r="Y5" s="201"/>
    </row>
    <row r="6" spans="1:25" ht="15.75" customHeight="1" thickBot="1">
      <c r="A6" s="1227" t="s">
        <v>278</v>
      </c>
      <c r="B6" s="232"/>
      <c r="C6" s="232"/>
      <c r="D6" s="1614">
        <v>0</v>
      </c>
      <c r="E6" s="1228"/>
      <c r="F6" s="1228"/>
      <c r="G6" s="1229" t="s">
        <v>795</v>
      </c>
      <c r="H6" s="244"/>
      <c r="I6" s="1230" t="s">
        <v>488</v>
      </c>
      <c r="J6" s="1231" t="s">
        <v>1110</v>
      </c>
      <c r="K6" s="1232" t="s">
        <v>847</v>
      </c>
      <c r="N6" s="1279"/>
      <c r="O6" s="1280">
        <v>2020</v>
      </c>
      <c r="P6" s="1281">
        <f>O6+1</f>
        <v>2021</v>
      </c>
      <c r="Q6" s="1281">
        <f>P6+1</f>
        <v>2022</v>
      </c>
      <c r="R6" s="200"/>
      <c r="S6" s="1233"/>
      <c r="T6" s="1233"/>
      <c r="U6" s="200"/>
      <c r="V6" s="1234"/>
      <c r="W6" s="1234"/>
      <c r="X6" s="1234"/>
      <c r="Y6" s="1234"/>
    </row>
    <row r="7" spans="1:25">
      <c r="A7" s="1227" t="s">
        <v>279</v>
      </c>
      <c r="B7" s="232"/>
      <c r="C7" s="232"/>
      <c r="D7" s="1615"/>
      <c r="E7" s="1228"/>
      <c r="F7" s="1228"/>
      <c r="G7" s="12"/>
      <c r="H7" s="1235" t="s">
        <v>1111</v>
      </c>
      <c r="I7" s="1609">
        <v>0</v>
      </c>
      <c r="J7" s="1623">
        <v>0</v>
      </c>
      <c r="K7" s="1606">
        <v>0</v>
      </c>
      <c r="N7" s="1279" t="s">
        <v>1112</v>
      </c>
      <c r="O7" s="1622"/>
      <c r="P7" s="1622"/>
      <c r="Q7" s="1622"/>
      <c r="R7" s="200"/>
      <c r="S7" s="1233"/>
      <c r="T7" s="1233"/>
      <c r="U7" s="200"/>
      <c r="V7" s="200"/>
      <c r="W7" s="1233"/>
      <c r="X7" s="1233"/>
      <c r="Y7" s="200"/>
    </row>
    <row r="8" spans="1:25">
      <c r="A8" s="1227" t="s">
        <v>280</v>
      </c>
      <c r="B8" s="232"/>
      <c r="C8" s="232"/>
      <c r="D8" s="1615"/>
      <c r="E8" s="241"/>
      <c r="F8" s="232"/>
      <c r="G8" s="246"/>
      <c r="H8" s="244"/>
      <c r="I8" s="1610"/>
      <c r="J8" s="1624"/>
      <c r="K8" s="1606"/>
      <c r="N8" s="1279" t="s">
        <v>205</v>
      </c>
      <c r="O8" s="1622"/>
      <c r="P8" s="1622"/>
      <c r="Q8" s="1622"/>
      <c r="R8" s="200"/>
      <c r="S8" s="3"/>
      <c r="T8" s="200"/>
      <c r="U8" s="200"/>
      <c r="V8" s="200"/>
      <c r="W8" s="1233"/>
      <c r="X8" s="1233"/>
      <c r="Y8" s="200"/>
    </row>
    <row r="9" spans="1:25">
      <c r="A9" s="1227" t="s">
        <v>281</v>
      </c>
      <c r="B9" s="232"/>
      <c r="C9" s="232"/>
      <c r="D9" s="1615">
        <f>'Per RE 1'!A35</f>
        <v>0</v>
      </c>
      <c r="E9" s="1228"/>
      <c r="F9" s="232"/>
      <c r="G9" s="246"/>
      <c r="H9" s="232"/>
      <c r="I9" s="1610"/>
      <c r="J9" s="1624">
        <v>0</v>
      </c>
      <c r="K9" s="1606"/>
      <c r="N9" s="1279" t="s">
        <v>1113</v>
      </c>
      <c r="O9" s="1622"/>
      <c r="P9" s="1622"/>
      <c r="Q9" s="1622"/>
      <c r="R9" s="200"/>
      <c r="S9" s="1233"/>
      <c r="T9" s="200"/>
      <c r="U9" s="200"/>
      <c r="V9" s="200"/>
      <c r="W9" s="1233"/>
      <c r="X9" s="1233"/>
      <c r="Y9" s="200"/>
    </row>
    <row r="10" spans="1:25">
      <c r="A10" s="1227" t="s">
        <v>282</v>
      </c>
      <c r="B10" s="232"/>
      <c r="C10" s="232"/>
      <c r="D10" s="1615"/>
      <c r="E10" s="241"/>
      <c r="F10" s="232"/>
      <c r="G10" s="246"/>
      <c r="H10" s="232"/>
      <c r="I10" s="1610"/>
      <c r="J10" s="1624"/>
      <c r="K10" s="1606"/>
      <c r="N10" s="1279" t="s">
        <v>1114</v>
      </c>
      <c r="O10" s="1622"/>
      <c r="P10" s="1622"/>
      <c r="Q10" s="1622"/>
      <c r="R10" s="200"/>
      <c r="S10" s="3"/>
      <c r="T10" s="200"/>
      <c r="U10" s="200"/>
      <c r="V10" s="200"/>
      <c r="W10" s="1233"/>
      <c r="X10" s="1233"/>
      <c r="Y10" s="200"/>
    </row>
    <row r="11" spans="1:25">
      <c r="A11" s="1227" t="s">
        <v>283</v>
      </c>
      <c r="B11" s="232"/>
      <c r="C11" s="232"/>
      <c r="D11" s="1615"/>
      <c r="E11" s="1228"/>
      <c r="F11" s="232"/>
      <c r="G11" s="246"/>
      <c r="H11" s="232"/>
      <c r="I11" s="1610"/>
      <c r="J11" s="1624"/>
      <c r="K11" s="1606"/>
      <c r="N11" s="1279" t="s">
        <v>1115</v>
      </c>
      <c r="O11" s="1622"/>
      <c r="P11" s="1622"/>
      <c r="Q11" s="1622"/>
      <c r="R11" s="200"/>
      <c r="S11" s="1233"/>
      <c r="T11" s="200"/>
      <c r="U11" s="200"/>
      <c r="V11" s="200"/>
      <c r="W11" s="1233"/>
      <c r="X11" s="1233"/>
      <c r="Y11" s="200"/>
    </row>
    <row r="12" spans="1:25" ht="17" thickBot="1">
      <c r="A12" s="1227" t="s">
        <v>284</v>
      </c>
      <c r="B12" s="232"/>
      <c r="C12" s="232"/>
      <c r="D12" s="1616"/>
      <c r="E12" s="241"/>
      <c r="F12" s="232"/>
      <c r="G12" s="1101"/>
      <c r="H12" s="232"/>
      <c r="I12" s="1611"/>
      <c r="J12" s="1625"/>
      <c r="K12" s="1612"/>
      <c r="N12" s="1279" t="s">
        <v>1116</v>
      </c>
      <c r="O12" s="1622"/>
      <c r="P12" s="1622"/>
      <c r="Q12" s="1622"/>
      <c r="R12" s="200"/>
      <c r="S12" s="3"/>
      <c r="T12" s="200"/>
      <c r="U12" s="200"/>
      <c r="V12" s="200"/>
      <c r="W12" s="1233"/>
      <c r="X12" s="1233"/>
      <c r="Y12" s="200"/>
    </row>
    <row r="13" spans="1:25" ht="17" thickTop="1">
      <c r="A13" s="247" t="s">
        <v>285</v>
      </c>
      <c r="B13" s="232"/>
      <c r="C13" s="232"/>
      <c r="D13" s="513">
        <f>SUM(D6:D12)</f>
        <v>0</v>
      </c>
      <c r="E13" s="1228"/>
      <c r="F13" s="232"/>
      <c r="G13" s="244"/>
      <c r="H13" s="232"/>
      <c r="I13" s="1236">
        <f>SUM(I7:I12)</f>
        <v>0</v>
      </c>
      <c r="J13" s="1236">
        <f>SUM(J7:J12)</f>
        <v>0</v>
      </c>
      <c r="K13" s="1237"/>
      <c r="N13" s="1279" t="s">
        <v>1117</v>
      </c>
      <c r="O13" s="1622"/>
      <c r="P13" s="1622"/>
      <c r="Q13" s="1622"/>
      <c r="R13" s="200"/>
      <c r="S13" s="1233"/>
      <c r="T13" s="200"/>
      <c r="U13" s="200"/>
      <c r="V13" s="200"/>
      <c r="W13" s="1233"/>
      <c r="X13" s="1233"/>
      <c r="Y13" s="200"/>
    </row>
    <row r="14" spans="1:25" ht="17" thickBot="1">
      <c r="A14" s="233"/>
      <c r="B14" s="232"/>
      <c r="C14" s="232"/>
      <c r="D14" s="232"/>
      <c r="E14" s="1238"/>
      <c r="F14" s="232"/>
      <c r="G14" s="232"/>
      <c r="H14" s="232"/>
      <c r="I14" s="1228"/>
      <c r="J14" s="1228"/>
      <c r="K14" s="235"/>
      <c r="N14" s="1279" t="s">
        <v>1118</v>
      </c>
      <c r="O14" s="1622"/>
      <c r="P14" s="1622"/>
      <c r="Q14" s="1622"/>
      <c r="R14" s="200"/>
      <c r="S14" s="1239"/>
      <c r="T14" s="200"/>
      <c r="U14" s="200"/>
      <c r="V14" s="200"/>
      <c r="W14" s="1233"/>
      <c r="X14" s="1233"/>
      <c r="Y14" s="200"/>
    </row>
    <row r="15" spans="1:25" ht="17" thickBot="1">
      <c r="A15" s="247" t="s">
        <v>286</v>
      </c>
      <c r="B15" s="234"/>
      <c r="C15" s="234"/>
      <c r="D15" s="234"/>
      <c r="E15" s="1228"/>
      <c r="F15" s="232"/>
      <c r="G15" s="1240"/>
      <c r="H15" s="244"/>
      <c r="I15" s="2908" t="s">
        <v>1119</v>
      </c>
      <c r="J15" s="2909"/>
      <c r="K15" s="2910"/>
      <c r="N15" s="1279" t="s">
        <v>1120</v>
      </c>
      <c r="O15" s="1622"/>
      <c r="P15" s="1622"/>
      <c r="Q15" s="1622"/>
      <c r="R15" s="201"/>
      <c r="S15" s="1233"/>
      <c r="T15" s="200"/>
      <c r="U15" s="200"/>
      <c r="V15" s="200"/>
      <c r="W15" s="1233"/>
      <c r="X15" s="1233"/>
      <c r="Y15" s="200"/>
    </row>
    <row r="16" spans="1:25" ht="17" thickBot="1">
      <c r="A16" s="1227" t="s">
        <v>287</v>
      </c>
      <c r="B16" s="232"/>
      <c r="C16" s="232"/>
      <c r="D16" s="1617">
        <f>J7</f>
        <v>0</v>
      </c>
      <c r="E16" s="241"/>
      <c r="F16" s="232"/>
      <c r="G16" s="1229" t="s">
        <v>795</v>
      </c>
      <c r="H16" s="244"/>
      <c r="I16" s="1230" t="s">
        <v>488</v>
      </c>
      <c r="J16" s="1231" t="s">
        <v>1110</v>
      </c>
      <c r="K16" s="1232" t="s">
        <v>847</v>
      </c>
      <c r="N16" s="1279" t="s">
        <v>1121</v>
      </c>
      <c r="O16" s="1622"/>
      <c r="P16" s="1622"/>
      <c r="Q16" s="1622"/>
      <c r="R16" s="200"/>
      <c r="S16" s="3"/>
      <c r="T16" s="200"/>
      <c r="U16" s="200"/>
      <c r="V16" s="200"/>
      <c r="W16" s="1233"/>
      <c r="X16" s="1233"/>
      <c r="Y16" s="200"/>
    </row>
    <row r="17" spans="1:25">
      <c r="A17" s="1227" t="s">
        <v>288</v>
      </c>
      <c r="B17" s="232"/>
      <c r="C17" s="232"/>
      <c r="D17" s="1618">
        <v>0</v>
      </c>
      <c r="E17" s="1228"/>
      <c r="F17" s="232"/>
      <c r="G17" s="12"/>
      <c r="H17" s="244"/>
      <c r="I17" s="1605"/>
      <c r="J17" s="1605">
        <v>0</v>
      </c>
      <c r="K17" s="1613"/>
      <c r="N17" s="1279" t="s">
        <v>1122</v>
      </c>
      <c r="O17" s="1622"/>
      <c r="P17" s="1622"/>
      <c r="Q17" s="1622"/>
      <c r="R17" s="1241"/>
      <c r="S17" s="1233"/>
      <c r="T17" s="200"/>
      <c r="U17" s="200"/>
      <c r="V17" s="200"/>
      <c r="W17" s="1233"/>
      <c r="X17" s="1233"/>
      <c r="Y17" s="200"/>
    </row>
    <row r="18" spans="1:25">
      <c r="A18" s="1227" t="s">
        <v>289</v>
      </c>
      <c r="B18" s="232"/>
      <c r="C18" s="232"/>
      <c r="D18" s="1618">
        <f>J32</f>
        <v>0</v>
      </c>
      <c r="E18" s="241"/>
      <c r="F18" s="232"/>
      <c r="G18" s="12"/>
      <c r="H18" s="244"/>
      <c r="I18" s="1605"/>
      <c r="J18" s="1605"/>
      <c r="K18" s="1613"/>
      <c r="N18" s="1279" t="s">
        <v>1123</v>
      </c>
      <c r="O18" s="1622"/>
      <c r="P18" s="1622"/>
      <c r="Q18" s="1622"/>
      <c r="R18" s="200"/>
      <c r="S18" s="3"/>
      <c r="T18" s="200"/>
      <c r="U18" s="200"/>
      <c r="V18" s="200"/>
      <c r="W18" s="1233"/>
      <c r="X18" s="1233"/>
      <c r="Y18" s="200"/>
    </row>
    <row r="19" spans="1:25">
      <c r="A19" s="1227" t="s">
        <v>290</v>
      </c>
      <c r="B19" s="232"/>
      <c r="C19" s="232"/>
      <c r="D19" s="1618">
        <f>J23</f>
        <v>0</v>
      </c>
      <c r="E19" s="1242"/>
      <c r="F19" s="1240"/>
      <c r="G19" s="12"/>
      <c r="H19" s="244"/>
      <c r="I19" s="1605"/>
      <c r="J19" s="1605"/>
      <c r="K19" s="1613"/>
      <c r="N19" s="1279" t="s">
        <v>1124</v>
      </c>
      <c r="O19" s="1622"/>
      <c r="P19" s="1622"/>
      <c r="Q19" s="1622"/>
      <c r="R19" s="200"/>
      <c r="S19" s="1243"/>
      <c r="T19" s="1244"/>
      <c r="U19" s="1244"/>
      <c r="V19" s="200"/>
      <c r="W19" s="1233"/>
      <c r="X19" s="1233"/>
      <c r="Y19" s="200"/>
    </row>
    <row r="20" spans="1:25">
      <c r="A20" s="1227" t="s">
        <v>291</v>
      </c>
      <c r="B20" s="232"/>
      <c r="C20" s="232"/>
      <c r="D20" s="1618">
        <f>J54</f>
        <v>0</v>
      </c>
      <c r="E20" s="241"/>
      <c r="F20" s="232"/>
      <c r="G20" s="12"/>
      <c r="H20" s="244"/>
      <c r="I20" s="1605"/>
      <c r="J20" s="1605"/>
      <c r="K20" s="1613"/>
      <c r="N20" s="1279" t="s">
        <v>1125</v>
      </c>
      <c r="O20" s="1622"/>
      <c r="P20" s="1622"/>
      <c r="Q20" s="1622"/>
      <c r="R20" s="200"/>
      <c r="S20" s="3"/>
      <c r="T20" s="200"/>
      <c r="U20" s="200"/>
      <c r="V20" s="200"/>
      <c r="W20" s="1233"/>
      <c r="X20" s="1233"/>
      <c r="Y20" s="200"/>
    </row>
    <row r="21" spans="1:25" ht="17" thickBot="1">
      <c r="A21" s="1227" t="s">
        <v>292</v>
      </c>
      <c r="B21" s="234"/>
      <c r="C21" s="234"/>
      <c r="D21" s="1619"/>
      <c r="E21" s="241"/>
      <c r="F21" s="232"/>
      <c r="G21" s="12"/>
      <c r="H21" s="244"/>
      <c r="I21" s="1605"/>
      <c r="J21" s="1605"/>
      <c r="K21" s="1613"/>
      <c r="N21" s="1279" t="s">
        <v>1126</v>
      </c>
      <c r="O21" s="1622"/>
      <c r="P21" s="1622"/>
      <c r="Q21" s="1622"/>
      <c r="R21" s="200"/>
      <c r="S21" s="3"/>
      <c r="T21" s="200"/>
      <c r="U21" s="200"/>
      <c r="V21" s="200"/>
      <c r="W21" s="1233"/>
      <c r="X21" s="1233"/>
      <c r="Y21" s="200"/>
    </row>
    <row r="22" spans="1:25" ht="17" thickTop="1">
      <c r="A22" s="247" t="s">
        <v>293</v>
      </c>
      <c r="B22" s="232"/>
      <c r="C22" s="232"/>
      <c r="D22" s="240">
        <f>SUM(D16:D21)</f>
        <v>0</v>
      </c>
      <c r="E22" s="232"/>
      <c r="F22" s="232"/>
      <c r="G22" s="13"/>
      <c r="H22" s="244"/>
      <c r="I22" s="1605"/>
      <c r="J22" s="1605"/>
      <c r="K22" s="1613"/>
      <c r="N22" s="1279" t="s">
        <v>1127</v>
      </c>
      <c r="O22" s="1282">
        <f>SUM(O7:O21)</f>
        <v>0</v>
      </c>
      <c r="P22" s="1282">
        <f>SUM(P7:P21)</f>
        <v>0</v>
      </c>
      <c r="Q22" s="1282">
        <f>SUM(Q7:Q21)</f>
        <v>0</v>
      </c>
      <c r="R22" s="200"/>
      <c r="S22" s="200"/>
      <c r="T22" s="200"/>
      <c r="U22" s="200"/>
      <c r="V22" s="200"/>
      <c r="W22" s="1233"/>
      <c r="X22" s="1233"/>
      <c r="Y22" s="200"/>
    </row>
    <row r="23" spans="1:25">
      <c r="A23" s="233"/>
      <c r="B23" s="232"/>
      <c r="C23" s="232"/>
      <c r="D23" s="232"/>
      <c r="E23" s="241"/>
      <c r="F23" s="232"/>
      <c r="G23" s="232"/>
      <c r="H23" s="232"/>
      <c r="I23" s="1245">
        <f>SUM(I17:I22)</f>
        <v>0</v>
      </c>
      <c r="J23" s="1245">
        <f>SUM(J17:J22)</f>
        <v>0</v>
      </c>
      <c r="K23" s="1246"/>
      <c r="N23" s="1279" t="s">
        <v>1128</v>
      </c>
      <c r="O23" s="1622"/>
      <c r="P23" s="1622"/>
      <c r="Q23" s="1622"/>
      <c r="R23" s="200"/>
      <c r="S23" s="3"/>
      <c r="T23" s="200"/>
      <c r="U23" s="200"/>
      <c r="V23" s="200"/>
      <c r="W23" s="1233"/>
      <c r="X23" s="1233"/>
      <c r="Y23" s="200"/>
    </row>
    <row r="24" spans="1:25" ht="17" thickBot="1">
      <c r="A24" s="247" t="s">
        <v>294</v>
      </c>
      <c r="B24" s="232"/>
      <c r="C24" s="232"/>
      <c r="D24" s="242">
        <f>D22*12</f>
        <v>0</v>
      </c>
      <c r="E24" s="241"/>
      <c r="F24" s="232"/>
      <c r="G24" s="232"/>
      <c r="H24" s="232"/>
      <c r="I24" s="1247"/>
      <c r="J24" s="1247"/>
      <c r="K24" s="1248"/>
      <c r="N24" s="1279" t="s">
        <v>1129</v>
      </c>
      <c r="O24" s="1282">
        <f>O22-O23</f>
        <v>0</v>
      </c>
      <c r="P24" s="1282">
        <f>P22-P23</f>
        <v>0</v>
      </c>
      <c r="Q24" s="1282">
        <f>Q22-Q23</f>
        <v>0</v>
      </c>
      <c r="R24" s="200"/>
      <c r="S24" s="3"/>
      <c r="T24" s="200"/>
      <c r="U24" s="200"/>
      <c r="V24" s="200"/>
      <c r="W24" s="1249"/>
      <c r="X24" s="1249"/>
      <c r="Y24" s="1250"/>
    </row>
    <row r="25" spans="1:25" ht="17" thickBot="1">
      <c r="A25" s="247" t="s">
        <v>295</v>
      </c>
      <c r="B25" s="232"/>
      <c r="C25" s="232"/>
      <c r="D25" s="514">
        <f>IF(D13=0,0,D24/D13)</f>
        <v>0</v>
      </c>
      <c r="E25" s="1228"/>
      <c r="F25" s="232"/>
      <c r="G25" s="232"/>
      <c r="H25" s="244"/>
      <c r="I25" s="2908" t="s">
        <v>1130</v>
      </c>
      <c r="J25" s="2909"/>
      <c r="K25" s="2910"/>
      <c r="N25" s="1279" t="s">
        <v>1131</v>
      </c>
      <c r="O25" s="1622"/>
      <c r="P25" s="1622"/>
      <c r="Q25" s="1622"/>
      <c r="R25" s="200"/>
      <c r="T25" s="200"/>
      <c r="U25" s="200"/>
      <c r="V25" s="200"/>
      <c r="W25" s="200"/>
      <c r="X25" s="200"/>
      <c r="Y25" s="3"/>
    </row>
    <row r="26" spans="1:25" ht="17" thickBot="1">
      <c r="A26" s="247" t="s">
        <v>296</v>
      </c>
      <c r="B26" s="232"/>
      <c r="C26" s="232"/>
      <c r="D26" s="242">
        <f>D22*12/50*100</f>
        <v>0</v>
      </c>
      <c r="E26" s="1228"/>
      <c r="F26" s="232"/>
      <c r="G26" s="1229" t="s">
        <v>795</v>
      </c>
      <c r="H26" s="244"/>
      <c r="I26" s="1230" t="s">
        <v>488</v>
      </c>
      <c r="J26" s="1231" t="s">
        <v>1110</v>
      </c>
      <c r="K26" s="1232" t="s">
        <v>847</v>
      </c>
      <c r="O26" s="200"/>
      <c r="P26" s="200"/>
      <c r="Q26" s="200"/>
      <c r="R26" s="200"/>
      <c r="T26" s="200"/>
      <c r="U26" s="200"/>
      <c r="V26" s="200"/>
      <c r="W26" s="200"/>
      <c r="X26" s="200"/>
      <c r="Y26" s="200"/>
    </row>
    <row r="27" spans="1:25">
      <c r="A27" s="233"/>
      <c r="B27" s="232"/>
      <c r="C27" s="232"/>
      <c r="D27" s="232"/>
      <c r="E27" s="1228"/>
      <c r="F27" s="1240"/>
      <c r="G27" s="12"/>
      <c r="H27" s="244"/>
      <c r="I27" s="1605"/>
      <c r="J27" s="1605">
        <v>0</v>
      </c>
      <c r="K27" s="1606"/>
      <c r="O27" s="200"/>
      <c r="P27" s="200"/>
      <c r="Q27" s="200"/>
      <c r="R27" s="200"/>
      <c r="T27" s="1244"/>
      <c r="U27" s="1244"/>
      <c r="V27" s="1244"/>
      <c r="W27" s="201"/>
      <c r="X27" s="201"/>
      <c r="Y27" s="201"/>
    </row>
    <row r="28" spans="1:25">
      <c r="A28" s="247" t="s">
        <v>297</v>
      </c>
      <c r="B28" s="232"/>
      <c r="C28" s="232"/>
      <c r="D28" s="232"/>
      <c r="E28" s="1228"/>
      <c r="F28" s="232"/>
      <c r="G28" s="12"/>
      <c r="H28" s="244"/>
      <c r="I28" s="1605"/>
      <c r="J28" s="1605"/>
      <c r="K28" s="1606"/>
      <c r="O28" s="200"/>
      <c r="P28" s="200"/>
      <c r="Q28" s="200"/>
      <c r="R28" s="200"/>
      <c r="T28" s="200"/>
      <c r="U28" s="200"/>
      <c r="V28" s="1234"/>
      <c r="W28" s="1234"/>
      <c r="X28" s="1234"/>
      <c r="Y28" s="1234"/>
    </row>
    <row r="29" spans="1:25">
      <c r="A29" s="248" t="s">
        <v>298</v>
      </c>
      <c r="B29" s="232"/>
      <c r="C29" s="232"/>
      <c r="D29" s="1617"/>
      <c r="E29" s="1228"/>
      <c r="F29" s="232"/>
      <c r="G29" s="12"/>
      <c r="H29" s="244"/>
      <c r="I29" s="1605"/>
      <c r="J29" s="1605"/>
      <c r="K29" s="1606"/>
      <c r="O29" s="200"/>
      <c r="P29" s="200"/>
      <c r="Q29" s="200"/>
      <c r="R29" s="200"/>
      <c r="T29" s="200"/>
      <c r="U29" s="200"/>
      <c r="V29" s="200"/>
      <c r="W29" s="1233"/>
      <c r="X29" s="1233"/>
      <c r="Y29" s="200"/>
    </row>
    <row r="30" spans="1:25">
      <c r="A30" s="248" t="s">
        <v>299</v>
      </c>
      <c r="B30" s="232"/>
      <c r="C30" s="232"/>
      <c r="D30" s="1618"/>
      <c r="E30" s="1228"/>
      <c r="F30" s="232"/>
      <c r="G30" s="12"/>
      <c r="H30" s="244"/>
      <c r="I30" s="1605"/>
      <c r="J30" s="1605"/>
      <c r="K30" s="1606"/>
      <c r="O30" s="200"/>
      <c r="P30" s="200"/>
      <c r="Q30" s="200"/>
      <c r="R30" s="200"/>
      <c r="T30" s="200"/>
      <c r="U30" s="200"/>
      <c r="V30" s="200"/>
      <c r="W30" s="1233"/>
      <c r="X30" s="1233"/>
      <c r="Y30" s="200"/>
    </row>
    <row r="31" spans="1:25">
      <c r="A31" s="248" t="s">
        <v>300</v>
      </c>
      <c r="B31" s="232"/>
      <c r="C31" s="232"/>
      <c r="D31" s="1615"/>
      <c r="E31" s="1228"/>
      <c r="F31" s="232"/>
      <c r="G31" s="13"/>
      <c r="H31" s="244"/>
      <c r="I31" s="1605"/>
      <c r="J31" s="1605"/>
      <c r="K31" s="1606"/>
      <c r="O31" s="200"/>
      <c r="P31" s="200"/>
      <c r="Q31" s="200"/>
      <c r="R31" s="200"/>
      <c r="T31" s="200"/>
      <c r="U31" s="200"/>
      <c r="V31" s="200"/>
      <c r="W31" s="1233"/>
      <c r="X31" s="1233"/>
      <c r="Y31" s="200"/>
    </row>
    <row r="32" spans="1:25" ht="17" thickBot="1">
      <c r="A32" s="248" t="s">
        <v>218</v>
      </c>
      <c r="B32" s="232"/>
      <c r="C32" s="232"/>
      <c r="D32" s="1618"/>
      <c r="E32" s="1228"/>
      <c r="F32" s="232"/>
      <c r="G32" s="245"/>
      <c r="H32" s="244"/>
      <c r="I32" s="510">
        <f>SUM(I27:I31)</f>
        <v>0</v>
      </c>
      <c r="J32" s="510">
        <f>SUM(J27:J31)</f>
        <v>0</v>
      </c>
      <c r="K32" s="1251"/>
      <c r="O32" s="200"/>
      <c r="P32" s="200"/>
      <c r="Q32" s="200"/>
      <c r="R32" s="200"/>
      <c r="T32" s="200"/>
      <c r="U32" s="200"/>
      <c r="V32" s="200"/>
      <c r="W32" s="1233"/>
      <c r="X32" s="1233"/>
      <c r="Y32" s="200"/>
    </row>
    <row r="33" spans="1:25" ht="18" thickTop="1" thickBot="1">
      <c r="A33" s="233"/>
      <c r="B33" s="232"/>
      <c r="C33" s="232"/>
      <c r="D33" s="240">
        <f>SUM(D29:D32)</f>
        <v>0</v>
      </c>
      <c r="E33" s="241"/>
      <c r="F33" s="232"/>
      <c r="G33" s="232"/>
      <c r="H33" s="232"/>
      <c r="I33" s="1228"/>
      <c r="J33" s="1228"/>
      <c r="K33" s="235"/>
      <c r="O33" s="200"/>
      <c r="P33" s="200"/>
      <c r="Q33" s="200"/>
      <c r="R33" s="200"/>
      <c r="S33" s="3"/>
      <c r="T33" s="200"/>
      <c r="U33" s="200"/>
      <c r="V33" s="200"/>
      <c r="W33" s="1233"/>
      <c r="X33" s="1233"/>
      <c r="Y33" s="200"/>
    </row>
    <row r="34" spans="1:25" ht="17" thickBot="1">
      <c r="A34" s="233"/>
      <c r="B34" s="232"/>
      <c r="C34" s="232"/>
      <c r="D34" s="515"/>
      <c r="E34" s="1228"/>
      <c r="F34" s="232"/>
      <c r="G34" s="232"/>
      <c r="H34" s="232"/>
      <c r="I34" s="2908" t="s">
        <v>1132</v>
      </c>
      <c r="J34" s="2909"/>
      <c r="K34" s="2910"/>
      <c r="O34" s="200"/>
      <c r="P34" s="200"/>
      <c r="Q34" s="200"/>
      <c r="R34" s="200"/>
      <c r="S34" s="1233"/>
      <c r="T34" s="200"/>
      <c r="U34" s="200"/>
      <c r="V34" s="200"/>
      <c r="W34" s="1233"/>
      <c r="X34" s="1233"/>
      <c r="Y34" s="200"/>
    </row>
    <row r="35" spans="1:25" ht="17" thickBot="1">
      <c r="A35" s="247" t="s">
        <v>301</v>
      </c>
      <c r="B35" s="244"/>
      <c r="C35" s="244"/>
      <c r="D35" s="1620"/>
      <c r="E35" s="241"/>
      <c r="F35" s="232"/>
      <c r="G35" s="1252" t="s">
        <v>795</v>
      </c>
      <c r="H35" s="1253" t="s">
        <v>1133</v>
      </c>
      <c r="I35" s="1254" t="s">
        <v>488</v>
      </c>
      <c r="J35" s="1254" t="s">
        <v>1110</v>
      </c>
      <c r="K35" s="1255" t="s">
        <v>847</v>
      </c>
      <c r="O35" s="200"/>
      <c r="P35" s="200"/>
      <c r="Q35" s="200"/>
      <c r="R35" s="200"/>
      <c r="S35" s="3"/>
      <c r="T35" s="200"/>
      <c r="U35" s="200"/>
      <c r="V35" s="200"/>
      <c r="W35" s="1249"/>
      <c r="X35" s="1249"/>
      <c r="Y35" s="1250"/>
    </row>
    <row r="36" spans="1:25">
      <c r="A36" s="247" t="s">
        <v>302</v>
      </c>
      <c r="B36" s="244"/>
      <c r="C36" s="244"/>
      <c r="D36" s="516">
        <f>D35-D26</f>
        <v>0</v>
      </c>
      <c r="E36" s="1256"/>
      <c r="F36" s="232"/>
      <c r="G36" s="12"/>
      <c r="H36" s="1600"/>
      <c r="I36" s="1605"/>
      <c r="J36" s="1605">
        <v>0</v>
      </c>
      <c r="K36" s="1606"/>
      <c r="O36" s="200"/>
      <c r="P36" s="200"/>
      <c r="Q36" s="200"/>
      <c r="R36" s="200"/>
      <c r="S36" s="1257"/>
      <c r="T36" s="200"/>
      <c r="U36" s="200"/>
      <c r="V36" s="200"/>
      <c r="W36" s="1249"/>
      <c r="X36" s="1249"/>
      <c r="Y36" s="1250"/>
    </row>
    <row r="37" spans="1:25">
      <c r="A37" s="247" t="s">
        <v>1134</v>
      </c>
      <c r="B37" s="1258"/>
      <c r="C37" s="244"/>
      <c r="D37" s="516">
        <f>IF(D26&gt;D35,0,D36/12)</f>
        <v>0</v>
      </c>
      <c r="E37" s="241"/>
      <c r="F37" s="232"/>
      <c r="G37" s="12"/>
      <c r="H37" s="1600"/>
      <c r="I37" s="1605"/>
      <c r="J37" s="1605"/>
      <c r="K37" s="1606"/>
      <c r="O37" s="200"/>
      <c r="P37" s="200"/>
      <c r="Q37" s="200"/>
      <c r="R37" s="200"/>
      <c r="S37" s="3"/>
      <c r="T37" s="200"/>
      <c r="U37" s="200"/>
      <c r="V37" s="200"/>
      <c r="W37" s="200"/>
      <c r="X37" s="200"/>
      <c r="Y37" s="200"/>
    </row>
    <row r="38" spans="1:25">
      <c r="A38" s="1259"/>
      <c r="B38" s="1260"/>
      <c r="C38" s="244"/>
      <c r="D38" s="243"/>
      <c r="E38" s="244"/>
      <c r="F38" s="232"/>
      <c r="G38" s="12"/>
      <c r="H38" s="1600"/>
      <c r="I38" s="1605"/>
      <c r="J38" s="1605"/>
      <c r="K38" s="1606"/>
      <c r="O38" s="1261"/>
      <c r="P38" s="1261"/>
      <c r="Q38" s="1261"/>
      <c r="R38" s="1261"/>
      <c r="S38" s="1243"/>
      <c r="T38" s="200"/>
      <c r="U38" s="200"/>
      <c r="V38" s="200"/>
      <c r="W38" s="201"/>
      <c r="X38" s="201"/>
      <c r="Y38" s="201"/>
    </row>
    <row r="39" spans="1:25">
      <c r="A39" s="1262"/>
      <c r="B39" s="1263"/>
      <c r="C39" s="244"/>
      <c r="D39" s="330"/>
      <c r="E39" s="244"/>
      <c r="F39" s="232"/>
      <c r="G39" s="12"/>
      <c r="H39" s="1601"/>
      <c r="I39" s="1605"/>
      <c r="J39" s="1605"/>
      <c r="K39" s="1606"/>
      <c r="O39" s="1264"/>
      <c r="P39" s="1264"/>
      <c r="Q39" s="1261"/>
      <c r="R39" s="1261"/>
      <c r="S39" s="3"/>
      <c r="T39" s="200"/>
      <c r="U39" s="200"/>
      <c r="V39" s="1234"/>
      <c r="W39" s="1265"/>
      <c r="X39" s="1265"/>
      <c r="Y39" s="1265"/>
    </row>
    <row r="40" spans="1:25">
      <c r="A40" s="247" t="s">
        <v>303</v>
      </c>
      <c r="B40" s="1258"/>
      <c r="C40" s="1258"/>
      <c r="D40" s="517">
        <f>D26+(D33*12)</f>
        <v>0</v>
      </c>
      <c r="E40" s="1258"/>
      <c r="F40" s="245"/>
      <c r="G40" s="12"/>
      <c r="H40" s="1600"/>
      <c r="I40" s="1605"/>
      <c r="J40" s="1607"/>
      <c r="K40" s="1606"/>
      <c r="O40" s="1264"/>
      <c r="P40" s="1261"/>
      <c r="R40" s="1261"/>
      <c r="S40" s="1261"/>
      <c r="T40" s="1266"/>
      <c r="U40" s="1267"/>
      <c r="V40" s="200"/>
      <c r="W40" s="1233"/>
      <c r="X40" s="1233"/>
      <c r="Y40" s="200"/>
    </row>
    <row r="41" spans="1:25" ht="15.5" customHeight="1">
      <c r="A41" s="1268" t="s">
        <v>304</v>
      </c>
      <c r="B41" s="1260"/>
      <c r="C41" s="1258"/>
      <c r="D41" s="517">
        <f>D13</f>
        <v>0</v>
      </c>
      <c r="E41" s="1258"/>
      <c r="F41" s="245"/>
      <c r="G41" s="12"/>
      <c r="H41" s="1600"/>
      <c r="I41" s="1605"/>
      <c r="J41" s="1605"/>
      <c r="K41" s="1606"/>
      <c r="O41" s="1264"/>
      <c r="P41" s="1264"/>
      <c r="R41" s="1261"/>
      <c r="S41" s="1261"/>
      <c r="T41" s="1266"/>
      <c r="U41" s="1267"/>
      <c r="V41" s="200"/>
      <c r="W41" s="1233"/>
      <c r="X41" s="1233"/>
      <c r="Y41" s="200"/>
    </row>
    <row r="42" spans="1:25" ht="15.5" customHeight="1">
      <c r="A42" s="1269" t="s">
        <v>981</v>
      </c>
      <c r="B42" s="1258"/>
      <c r="C42" s="245"/>
      <c r="D42" s="1270">
        <f>D40-D41</f>
        <v>0</v>
      </c>
      <c r="E42" s="515"/>
      <c r="F42" s="1271"/>
      <c r="G42" s="12"/>
      <c r="H42" s="1600"/>
      <c r="I42" s="1605"/>
      <c r="J42" s="1605"/>
      <c r="K42" s="1606"/>
      <c r="O42" s="1266"/>
      <c r="P42" s="1272"/>
      <c r="R42" s="1273"/>
      <c r="S42" s="1273"/>
      <c r="T42" s="1267"/>
      <c r="U42" s="1267"/>
      <c r="V42" s="200"/>
      <c r="W42" s="1233"/>
      <c r="X42" s="1233"/>
      <c r="Y42" s="200"/>
    </row>
    <row r="43" spans="1:25" ht="15.5" customHeight="1" thickBot="1">
      <c r="A43" s="1274"/>
      <c r="B43" s="1258"/>
      <c r="C43" s="245"/>
      <c r="D43" s="330"/>
      <c r="E43" s="515"/>
      <c r="F43" s="1271"/>
      <c r="G43" s="12"/>
      <c r="H43" s="1600"/>
      <c r="I43" s="1605"/>
      <c r="J43" s="1605"/>
      <c r="K43" s="1606"/>
      <c r="O43" s="1266"/>
      <c r="P43" s="1272"/>
      <c r="R43" s="1273"/>
      <c r="S43" s="1273"/>
      <c r="T43" s="1267"/>
      <c r="U43" s="1267"/>
      <c r="V43" s="200"/>
      <c r="W43" s="1233"/>
      <c r="X43" s="1233"/>
      <c r="Y43" s="200"/>
    </row>
    <row r="44" spans="1:25" ht="15.5" customHeight="1">
      <c r="A44" s="247" t="s">
        <v>305</v>
      </c>
      <c r="B44" s="245"/>
      <c r="C44" s="245"/>
      <c r="D44" s="1621">
        <f>IF(D45="Yes",IF((D40-D41)&lt;24000,24000,(D40-D41)),0)</f>
        <v>0</v>
      </c>
      <c r="E44" s="1242"/>
      <c r="F44" s="245"/>
      <c r="G44" s="12"/>
      <c r="H44" s="1600"/>
      <c r="I44" s="1605"/>
      <c r="J44" s="1605"/>
      <c r="K44" s="1606"/>
      <c r="O44" s="1266"/>
      <c r="P44" s="1272"/>
      <c r="R44" s="1273"/>
      <c r="S44" s="1273"/>
      <c r="T44" s="1266"/>
      <c r="U44" s="1266"/>
      <c r="V44" s="200"/>
      <c r="W44" s="1233"/>
      <c r="X44" s="1233"/>
      <c r="Y44" s="200"/>
    </row>
    <row r="45" spans="1:25" ht="15.5" customHeight="1">
      <c r="A45" s="931" t="s">
        <v>306</v>
      </c>
      <c r="B45" s="948"/>
      <c r="C45" s="948"/>
      <c r="D45" s="377" t="s">
        <v>123</v>
      </c>
      <c r="E45" s="241"/>
      <c r="F45" s="245"/>
      <c r="G45" s="12"/>
      <c r="H45" s="1600"/>
      <c r="I45" s="1605"/>
      <c r="J45" s="1605"/>
      <c r="K45" s="1606"/>
      <c r="O45" s="1266"/>
      <c r="P45" s="1272"/>
      <c r="R45" s="1273"/>
      <c r="S45" s="1273"/>
      <c r="T45" s="1266"/>
      <c r="U45" s="1266"/>
      <c r="V45" s="200"/>
      <c r="W45" s="1233"/>
      <c r="X45" s="1233"/>
      <c r="Y45" s="200"/>
    </row>
    <row r="46" spans="1:25">
      <c r="A46" s="937"/>
      <c r="B46" s="244"/>
      <c r="C46" s="244"/>
      <c r="D46" s="244"/>
      <c r="E46" s="245"/>
      <c r="F46" s="245"/>
      <c r="G46" s="12"/>
      <c r="H46" s="1602"/>
      <c r="I46" s="1605"/>
      <c r="J46" s="1605"/>
      <c r="K46" s="1606"/>
      <c r="O46" s="1261"/>
      <c r="P46" s="1261"/>
      <c r="Q46" s="1266"/>
      <c r="R46" s="1266"/>
      <c r="S46" s="1266"/>
      <c r="T46" s="1266"/>
      <c r="U46" s="1266"/>
      <c r="V46" s="1266"/>
      <c r="W46" s="1249"/>
      <c r="X46" s="1249"/>
      <c r="Y46" s="1250"/>
    </row>
    <row r="47" spans="1:25" ht="15.75" customHeight="1">
      <c r="A47" s="937"/>
      <c r="B47" s="3046" t="s">
        <v>1135</v>
      </c>
      <c r="C47" s="3046"/>
      <c r="D47" s="244"/>
      <c r="E47" s="245"/>
      <c r="F47" s="245"/>
      <c r="G47" s="12"/>
      <c r="H47" s="1603"/>
      <c r="I47" s="1605"/>
      <c r="J47" s="1605"/>
      <c r="K47" s="1606"/>
    </row>
    <row r="48" spans="1:25" ht="15.75" customHeight="1">
      <c r="A48" s="937"/>
      <c r="B48" s="909" t="s">
        <v>1136</v>
      </c>
      <c r="C48" s="909" t="s">
        <v>1137</v>
      </c>
      <c r="D48" s="244"/>
      <c r="E48" s="330"/>
      <c r="F48" s="330"/>
      <c r="G48" s="12"/>
      <c r="H48" s="1604"/>
      <c r="I48" s="1605"/>
      <c r="J48" s="1605"/>
      <c r="K48" s="1606"/>
    </row>
    <row r="49" spans="1:11">
      <c r="A49" s="937"/>
      <c r="B49" s="250"/>
      <c r="C49" s="250"/>
      <c r="D49" s="244"/>
      <c r="E49" s="330"/>
      <c r="F49" s="330"/>
      <c r="G49" s="12"/>
      <c r="H49" s="1604"/>
      <c r="I49" s="1605"/>
      <c r="J49" s="1605"/>
      <c r="K49" s="1606"/>
    </row>
    <row r="50" spans="1:11">
      <c r="A50" s="937"/>
      <c r="B50" s="250"/>
      <c r="C50" s="250"/>
      <c r="D50" s="244"/>
      <c r="E50" s="330"/>
      <c r="F50" s="330"/>
      <c r="G50" s="12"/>
      <c r="H50" s="1604"/>
      <c r="I50" s="1605"/>
      <c r="J50" s="1605"/>
      <c r="K50" s="1606"/>
    </row>
    <row r="51" spans="1:11">
      <c r="A51" s="248"/>
      <c r="B51" s="250"/>
      <c r="C51" s="250"/>
      <c r="D51" s="244"/>
      <c r="E51" s="330"/>
      <c r="F51" s="330"/>
      <c r="G51" s="12"/>
      <c r="H51" s="1604"/>
      <c r="I51" s="1605"/>
      <c r="J51" s="1605"/>
      <c r="K51" s="1606"/>
    </row>
    <row r="52" spans="1:11">
      <c r="A52" s="248"/>
      <c r="B52" s="1275">
        <f>IFERROR(AVERAGE(B49:B51),0)</f>
        <v>0</v>
      </c>
      <c r="C52" s="1275">
        <f>IFERROR(AVERAGE(C49:C51),0)</f>
        <v>0</v>
      </c>
      <c r="D52" s="244"/>
      <c r="E52" s="330"/>
      <c r="F52" s="330"/>
      <c r="G52" s="12"/>
      <c r="H52" s="1604"/>
      <c r="I52" s="1605"/>
      <c r="J52" s="1605"/>
      <c r="K52" s="1606"/>
    </row>
    <row r="53" spans="1:11">
      <c r="A53" s="248"/>
      <c r="B53" s="244"/>
      <c r="C53" s="244"/>
      <c r="D53" s="244"/>
      <c r="E53" s="330"/>
      <c r="F53" s="330"/>
      <c r="G53" s="13"/>
      <c r="H53" s="1604"/>
      <c r="I53" s="1608"/>
      <c r="J53" s="1608"/>
      <c r="K53" s="1606"/>
    </row>
    <row r="54" spans="1:11">
      <c r="A54" s="248"/>
      <c r="B54" s="244"/>
      <c r="C54" s="244"/>
      <c r="D54" s="244"/>
      <c r="E54" s="244"/>
      <c r="F54" s="244"/>
      <c r="G54" s="244"/>
      <c r="H54" s="1245">
        <f>SUM(H36:H53)</f>
        <v>0</v>
      </c>
      <c r="I54" s="1245">
        <f>SUM(I36:I53)</f>
        <v>0</v>
      </c>
      <c r="J54" s="1245">
        <f>SUM(J36:J53)</f>
        <v>0</v>
      </c>
      <c r="K54" s="1246"/>
    </row>
    <row r="55" spans="1:11">
      <c r="A55" s="248"/>
      <c r="B55" s="244"/>
      <c r="C55" s="244"/>
      <c r="D55" s="244"/>
      <c r="E55" s="244"/>
      <c r="F55" s="244"/>
      <c r="G55" s="244"/>
      <c r="H55" s="244"/>
      <c r="I55" s="244"/>
      <c r="J55" s="244"/>
      <c r="K55" s="251"/>
    </row>
    <row r="56" spans="1:11" ht="17" thickBot="1">
      <c r="A56" s="252"/>
      <c r="B56" s="249"/>
      <c r="C56" s="249"/>
      <c r="D56" s="249"/>
      <c r="E56" s="249"/>
      <c r="F56" s="249"/>
      <c r="G56" s="249"/>
      <c r="H56" s="3047" t="s">
        <v>1138</v>
      </c>
      <c r="I56" s="3047"/>
      <c r="J56" s="3047"/>
      <c r="K56" s="1276">
        <f>IFERROR(1-(I54/H54),0)</f>
        <v>0</v>
      </c>
    </row>
    <row r="57" spans="1:11" ht="15.75" customHeight="1">
      <c r="A57" s="3033" t="s">
        <v>1139</v>
      </c>
      <c r="B57" s="3034"/>
      <c r="C57" s="3034"/>
      <c r="D57" s="3034"/>
      <c r="E57" s="3034"/>
      <c r="F57" s="3034"/>
      <c r="G57" s="3034"/>
      <c r="H57" s="3034"/>
      <c r="I57" s="3034"/>
      <c r="J57" s="3034"/>
      <c r="K57" s="3035"/>
    </row>
    <row r="58" spans="1:11">
      <c r="A58" s="3036"/>
      <c r="B58" s="3037"/>
      <c r="C58" s="3037"/>
      <c r="D58" s="3037"/>
      <c r="E58" s="3037"/>
      <c r="F58" s="3037"/>
      <c r="G58" s="3037"/>
      <c r="H58" s="3037"/>
      <c r="I58" s="3037"/>
      <c r="J58" s="3037"/>
      <c r="K58" s="3038"/>
    </row>
    <row r="59" spans="1:11">
      <c r="A59" s="3036"/>
      <c r="B59" s="3037"/>
      <c r="C59" s="3037"/>
      <c r="D59" s="3037"/>
      <c r="E59" s="3037"/>
      <c r="F59" s="3037"/>
      <c r="G59" s="3037"/>
      <c r="H59" s="3037"/>
      <c r="I59" s="3037"/>
      <c r="J59" s="3037"/>
      <c r="K59" s="3038"/>
    </row>
    <row r="60" spans="1:11">
      <c r="A60" s="3036"/>
      <c r="B60" s="3037"/>
      <c r="C60" s="3037"/>
      <c r="D60" s="3037"/>
      <c r="E60" s="3037"/>
      <c r="F60" s="3037"/>
      <c r="G60" s="3037"/>
      <c r="H60" s="3037"/>
      <c r="I60" s="3037"/>
      <c r="J60" s="3037"/>
      <c r="K60" s="3038"/>
    </row>
    <row r="61" spans="1:11">
      <c r="A61" s="3036"/>
      <c r="B61" s="3037"/>
      <c r="C61" s="3037"/>
      <c r="D61" s="3037"/>
      <c r="E61" s="3037"/>
      <c r="F61" s="3037"/>
      <c r="G61" s="3037"/>
      <c r="H61" s="3037"/>
      <c r="I61" s="3037"/>
      <c r="J61" s="3037"/>
      <c r="K61" s="3038"/>
    </row>
    <row r="62" spans="1:11">
      <c r="A62" s="3036"/>
      <c r="B62" s="3037"/>
      <c r="C62" s="3037"/>
      <c r="D62" s="3037"/>
      <c r="E62" s="3037"/>
      <c r="F62" s="3037"/>
      <c r="G62" s="3037"/>
      <c r="H62" s="3037"/>
      <c r="I62" s="3037"/>
      <c r="J62" s="3037"/>
      <c r="K62" s="3038"/>
    </row>
    <row r="63" spans="1:11">
      <c r="A63" s="3036"/>
      <c r="B63" s="3037"/>
      <c r="C63" s="3037"/>
      <c r="D63" s="3037"/>
      <c r="E63" s="3037"/>
      <c r="F63" s="3037"/>
      <c r="G63" s="3037"/>
      <c r="H63" s="3037"/>
      <c r="I63" s="3037"/>
      <c r="J63" s="3037"/>
      <c r="K63" s="3038"/>
    </row>
    <row r="64" spans="1:11">
      <c r="A64" s="3036"/>
      <c r="B64" s="3037"/>
      <c r="C64" s="3037"/>
      <c r="D64" s="3037"/>
      <c r="E64" s="3037"/>
      <c r="F64" s="3037"/>
      <c r="G64" s="3037"/>
      <c r="H64" s="3037"/>
      <c r="I64" s="3037"/>
      <c r="J64" s="3037"/>
      <c r="K64" s="3038"/>
    </row>
    <row r="65" spans="1:11">
      <c r="A65" s="3036"/>
      <c r="B65" s="3037"/>
      <c r="C65" s="3037"/>
      <c r="D65" s="3037"/>
      <c r="E65" s="3037"/>
      <c r="F65" s="3037"/>
      <c r="G65" s="3037"/>
      <c r="H65" s="3037"/>
      <c r="I65" s="3037"/>
      <c r="J65" s="3037"/>
      <c r="K65" s="3038"/>
    </row>
    <row r="66" spans="1:11">
      <c r="A66" s="3036"/>
      <c r="B66" s="3037"/>
      <c r="C66" s="3037"/>
      <c r="D66" s="3037"/>
      <c r="E66" s="3037"/>
      <c r="F66" s="3037"/>
      <c r="G66" s="3037"/>
      <c r="H66" s="3037"/>
      <c r="I66" s="3037"/>
      <c r="J66" s="3037"/>
      <c r="K66" s="3038"/>
    </row>
    <row r="67" spans="1:11" ht="17" thickBot="1">
      <c r="A67" s="3039"/>
      <c r="B67" s="3040"/>
      <c r="C67" s="3040"/>
      <c r="D67" s="3040"/>
      <c r="E67" s="3040"/>
      <c r="F67" s="3040"/>
      <c r="G67" s="3040"/>
      <c r="H67" s="3040"/>
      <c r="I67" s="3040"/>
      <c r="J67" s="3040"/>
      <c r="K67" s="3041"/>
    </row>
  </sheetData>
  <sheetProtection algorithmName="SHA-512" hashValue="itFCXuE+NwTlWgyxoOZoL0n0zNavAtqYwpRaVSPashdJzwDqhJjY5U3CZoqv77PpRt5FqahcvzNGPA2vvQbWHA==" saltValue="uLzoXwyLIPWt6ebFaeHsxA==" spinCount="100000" sheet="1" scenarios="1" formatCells="0" formatColumns="0" formatRows="0"/>
  <customSheetViews>
    <customSheetView guid="{EDC0EC15-0264-48C8-A990-093960AE8EF3}" scale="85" showPageBreaks="1" showGridLines="0" printArea="1">
      <selection activeCell="B3" sqref="B3:J3"/>
      <pageMargins left="0" right="0" top="0" bottom="0" header="0" footer="0"/>
      <printOptions horizontalCentered="1"/>
      <pageSetup scale="72" orientation="portrait" r:id="rId1"/>
      <headerFooter differentFirst="1">
        <firstHeader>&amp;L&amp;G&amp;C&amp;8
&amp;18Credit Memo</firstHeader>
      </headerFooter>
    </customSheetView>
    <customSheetView guid="{6E1FDEE6-49D0-4876-8C7C-09893145D2CE}" scale="85" showPageBreaks="1" showGridLines="0" printArea="1">
      <selection activeCell="B3" sqref="B3:J3"/>
      <pageMargins left="0" right="0" top="0" bottom="0" header="0" footer="0"/>
      <printOptions horizontalCentered="1"/>
      <pageSetup scale="72" orientation="portrait" r:id="rId2"/>
      <headerFooter differentFirst="1">
        <firstHeader>&amp;L&amp;G&amp;C&amp;8
&amp;18Credit Memo</firstHeader>
      </headerFooter>
    </customSheetView>
    <customSheetView guid="{DB1F6E98-7FCC-445F-9DA6-47D8BF8BE969}" scale="85" showPageBreaks="1" showGridLines="0" printArea="1">
      <selection activeCell="B3" sqref="B3:J3"/>
      <pageMargins left="0" right="0" top="0" bottom="0" header="0" footer="0"/>
      <printOptions horizontalCentered="1"/>
      <pageSetup scale="72" orientation="portrait" r:id="rId3"/>
      <headerFooter differentFirst="1">
        <firstHeader>&amp;L&amp;G&amp;C&amp;8
&amp;18Credit Memo</firstHeader>
      </headerFooter>
    </customSheetView>
    <customSheetView guid="{C02CA8E5-5D4C-45E5-BC4A-4C9BE481059B}" scale="85" showPageBreaks="1" showGridLines="0" printArea="1">
      <selection activeCell="N1" sqref="N1:P1"/>
      <pageMargins left="0" right="0" top="0" bottom="0" header="0" footer="0"/>
      <printOptions horizontalCentered="1"/>
      <pageSetup scale="72" orientation="portrait" r:id="rId4"/>
      <headerFooter differentFirst="1">
        <firstHeader>&amp;L&amp;G&amp;C&amp;8
&amp;18Credit Memo</firstHeader>
      </headerFooter>
    </customSheetView>
  </customSheetViews>
  <mergeCells count="15">
    <mergeCell ref="A57:K67"/>
    <mergeCell ref="E4:E5"/>
    <mergeCell ref="F4:G4"/>
    <mergeCell ref="F5:G5"/>
    <mergeCell ref="I15:K15"/>
    <mergeCell ref="I25:K25"/>
    <mergeCell ref="I34:K34"/>
    <mergeCell ref="B47:C47"/>
    <mergeCell ref="I5:K5"/>
    <mergeCell ref="H56:J56"/>
    <mergeCell ref="N2:P2"/>
    <mergeCell ref="A1:K1"/>
    <mergeCell ref="B3:J3"/>
    <mergeCell ref="N4:Q4"/>
    <mergeCell ref="N5:Q5"/>
  </mergeCells>
  <conditionalFormatting sqref="P18:R18">
    <cfRule type="containsText" dxfId="24" priority="1" operator="containsText" text="BoA BPS Loan">
      <formula>NOT(ISERROR(SEARCH("BoA BPS Loan",P18)))</formula>
    </cfRule>
  </conditionalFormatting>
  <printOptions horizontalCentered="1"/>
  <pageMargins left="0.7" right="0.7" top="0.75" bottom="0.75" header="0.3" footer="0.3"/>
  <pageSetup scale="65" orientation="portrait" r:id="rId5"/>
  <headerFooter differentFirst="1">
    <firstHeader>&amp;C&amp;8
&amp;18Credit Memo</firstHeader>
  </headerFooter>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F409B19B-87EF-47A8-8E91-32902CDE623C}">
          <x14:formula1>
            <xm:f>Lists!$C$2:$C$4</xm:f>
          </x14:formula1>
          <xm:sqref>D45</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tabColor rgb="FF00B050"/>
  </sheetPr>
  <dimension ref="A1:Q54"/>
  <sheetViews>
    <sheetView showGridLines="0" zoomScale="85" zoomScaleNormal="85" workbookViewId="0">
      <selection activeCell="F18" sqref="F18"/>
    </sheetView>
  </sheetViews>
  <sheetFormatPr baseColWidth="10" defaultColWidth="9.1640625" defaultRowHeight="16"/>
  <cols>
    <col min="1" max="1" width="9.6640625" style="60" customWidth="1"/>
    <col min="2" max="2" width="23.1640625" style="60" customWidth="1"/>
    <col min="3" max="4" width="13.33203125" style="60" customWidth="1"/>
    <col min="5" max="5" width="5.6640625" style="60" customWidth="1"/>
    <col min="6" max="6" width="32" style="60" customWidth="1"/>
    <col min="7" max="7" width="13.33203125" style="60" customWidth="1"/>
    <col min="8" max="9" width="9.1640625" style="60"/>
    <col min="10" max="10" width="10.33203125" style="60" customWidth="1"/>
    <col min="11" max="16384" width="9.1640625" style="60"/>
  </cols>
  <sheetData>
    <row r="1" spans="1:17" ht="17" thickBot="1">
      <c r="A1" s="3066" t="s">
        <v>1140</v>
      </c>
      <c r="B1" s="3067"/>
      <c r="C1" s="3067"/>
      <c r="D1" s="3067"/>
      <c r="E1" s="3067"/>
      <c r="F1" s="3067"/>
      <c r="G1" s="3068"/>
      <c r="J1" s="1221"/>
      <c r="K1" s="1221"/>
      <c r="L1" s="1221"/>
    </row>
    <row r="2" spans="1:17">
      <c r="A2" s="1167"/>
      <c r="B2" s="1163"/>
      <c r="C2" s="1163"/>
      <c r="D2" s="1163"/>
      <c r="E2" s="1163"/>
      <c r="F2" s="1163"/>
      <c r="G2" s="1154"/>
    </row>
    <row r="3" spans="1:17">
      <c r="A3" s="1161" t="s">
        <v>1141</v>
      </c>
      <c r="B3" s="3069" t="str">
        <f>'Per Need 1'!B3:J3</f>
        <v>{Name of Guarantor/Principal}</v>
      </c>
      <c r="C3" s="3070"/>
      <c r="D3" s="3070"/>
      <c r="E3" s="3070"/>
      <c r="F3" s="3071"/>
      <c r="G3" s="1283"/>
    </row>
    <row r="4" spans="1:17">
      <c r="A4" s="1161" t="s">
        <v>1142</v>
      </c>
      <c r="B4" s="254"/>
      <c r="C4" s="1148"/>
      <c r="D4" s="1284"/>
      <c r="E4" s="1163"/>
      <c r="F4" s="1163"/>
      <c r="G4" s="1154"/>
    </row>
    <row r="5" spans="1:17" ht="17" thickBot="1">
      <c r="A5" s="1285"/>
      <c r="B5" s="1286"/>
      <c r="C5" s="1287"/>
      <c r="D5" s="1288"/>
      <c r="E5" s="1288"/>
      <c r="F5" s="1286"/>
      <c r="G5" s="1154"/>
    </row>
    <row r="6" spans="1:17">
      <c r="A6" s="3063" t="s">
        <v>1143</v>
      </c>
      <c r="B6" s="3064"/>
      <c r="C6" s="3064"/>
      <c r="D6" s="1163"/>
      <c r="E6" s="1163"/>
      <c r="F6" s="3064" t="s">
        <v>1144</v>
      </c>
      <c r="G6" s="3065"/>
      <c r="I6" s="3061" t="s">
        <v>1145</v>
      </c>
      <c r="J6" s="3062"/>
      <c r="K6" s="3062"/>
      <c r="L6" s="3062"/>
      <c r="M6" s="1289"/>
      <c r="N6" s="1289"/>
      <c r="O6" s="1289"/>
      <c r="P6" s="1289"/>
      <c r="Q6" s="1290"/>
    </row>
    <row r="7" spans="1:17">
      <c r="A7" s="3063" t="s">
        <v>1146</v>
      </c>
      <c r="B7" s="3064"/>
      <c r="C7" s="3064"/>
      <c r="D7" s="1148" t="s">
        <v>1128</v>
      </c>
      <c r="E7" s="1291" t="s">
        <v>795</v>
      </c>
      <c r="F7" s="3064" t="s">
        <v>1146</v>
      </c>
      <c r="G7" s="3065"/>
      <c r="I7" s="3057" t="s">
        <v>1147</v>
      </c>
      <c r="J7" s="3058"/>
      <c r="K7" s="3058"/>
      <c r="L7" s="3058"/>
      <c r="Q7" s="1292"/>
    </row>
    <row r="8" spans="1:17">
      <c r="A8" s="1167" t="s">
        <v>1148</v>
      </c>
      <c r="B8" s="1163"/>
      <c r="C8" s="14">
        <v>0</v>
      </c>
      <c r="D8" s="659">
        <v>0</v>
      </c>
      <c r="E8" s="16"/>
      <c r="F8" s="1195" t="str">
        <f>A8</f>
        <v>Cash on Hand &amp; In Banks</v>
      </c>
      <c r="G8" s="1293">
        <f t="shared" ref="G8:G13" si="0">C8+D8</f>
        <v>0</v>
      </c>
      <c r="I8" s="1294"/>
      <c r="J8" s="1295" t="s">
        <v>100</v>
      </c>
      <c r="K8" s="1318">
        <v>1</v>
      </c>
      <c r="Q8" s="1292"/>
    </row>
    <row r="9" spans="1:17">
      <c r="A9" s="1167" t="s">
        <v>1149</v>
      </c>
      <c r="B9" s="1163"/>
      <c r="C9" s="15">
        <v>0</v>
      </c>
      <c r="D9" s="660">
        <v>0</v>
      </c>
      <c r="E9" s="17"/>
      <c r="F9" s="1195" t="str">
        <f t="shared" ref="F9:F21" si="1">A9</f>
        <v>Savings Accounts</v>
      </c>
      <c r="G9" s="1296">
        <f t="shared" si="0"/>
        <v>0</v>
      </c>
      <c r="I9" s="1294"/>
      <c r="J9" s="1520" t="s">
        <v>1150</v>
      </c>
      <c r="K9" s="1279">
        <v>0</v>
      </c>
      <c r="Q9" s="1292"/>
    </row>
    <row r="10" spans="1:17">
      <c r="A10" s="1167" t="s">
        <v>1151</v>
      </c>
      <c r="B10" s="1163"/>
      <c r="C10" s="15">
        <v>0</v>
      </c>
      <c r="D10" s="660">
        <v>0</v>
      </c>
      <c r="E10" s="17"/>
      <c r="F10" s="1195" t="str">
        <f t="shared" si="1"/>
        <v>IRA/Retirement Accounts</v>
      </c>
      <c r="G10" s="1296">
        <f t="shared" si="0"/>
        <v>0</v>
      </c>
      <c r="I10" s="1294"/>
      <c r="J10" s="1520" t="s">
        <v>1152</v>
      </c>
      <c r="K10" s="1279">
        <v>0</v>
      </c>
      <c r="Q10" s="1292"/>
    </row>
    <row r="11" spans="1:17">
      <c r="A11" s="1155" t="s">
        <v>1153</v>
      </c>
      <c r="B11" s="1150"/>
      <c r="C11" s="15">
        <v>0</v>
      </c>
      <c r="D11" s="660">
        <v>0</v>
      </c>
      <c r="E11" s="17"/>
      <c r="F11" s="1195" t="str">
        <f t="shared" si="1"/>
        <v>Accounts &amp; Notes Receivable</v>
      </c>
      <c r="G11" s="1296">
        <f t="shared" si="0"/>
        <v>0</v>
      </c>
      <c r="I11" s="1294"/>
      <c r="J11" s="1520" t="s">
        <v>1154</v>
      </c>
      <c r="K11" s="1279">
        <v>0</v>
      </c>
      <c r="Q11" s="1292"/>
    </row>
    <row r="12" spans="1:17">
      <c r="A12" s="1167" t="s">
        <v>1155</v>
      </c>
      <c r="B12" s="1163"/>
      <c r="C12" s="15">
        <v>0</v>
      </c>
      <c r="D12" s="660">
        <v>0</v>
      </c>
      <c r="E12" s="17"/>
      <c r="F12" s="1195" t="str">
        <f t="shared" si="1"/>
        <v>CSVLI</v>
      </c>
      <c r="G12" s="1296">
        <f t="shared" si="0"/>
        <v>0</v>
      </c>
      <c r="I12" s="1294"/>
      <c r="J12" s="1295" t="s">
        <v>1156</v>
      </c>
      <c r="K12" s="1279">
        <v>0</v>
      </c>
      <c r="Q12" s="1292"/>
    </row>
    <row r="13" spans="1:17">
      <c r="A13" s="1167" t="s">
        <v>1157</v>
      </c>
      <c r="B13" s="1163"/>
      <c r="C13" s="15">
        <v>0</v>
      </c>
      <c r="D13" s="660">
        <v>0</v>
      </c>
      <c r="E13" s="17"/>
      <c r="F13" s="1195" t="str">
        <f t="shared" si="1"/>
        <v>Stocks &amp; Bond (Liquid)</v>
      </c>
      <c r="G13" s="1296">
        <f t="shared" si="0"/>
        <v>0</v>
      </c>
      <c r="I13" s="1294"/>
      <c r="K13" s="1521">
        <f>IFERROR(AVERAGE(K9:K12),0)</f>
        <v>0</v>
      </c>
      <c r="Q13" s="1292"/>
    </row>
    <row r="14" spans="1:17">
      <c r="A14" s="1319" t="s">
        <v>1158</v>
      </c>
      <c r="B14" s="1320"/>
      <c r="C14" s="15">
        <v>0</v>
      </c>
      <c r="D14" s="662">
        <f>G14-C14</f>
        <v>0</v>
      </c>
      <c r="E14" s="17"/>
      <c r="F14" s="1195" t="str">
        <f t="shared" si="1"/>
        <v>Real Estate - SFR</v>
      </c>
      <c r="G14" s="1296">
        <f>K15</f>
        <v>0</v>
      </c>
      <c r="I14" s="1294"/>
      <c r="Q14" s="1292"/>
    </row>
    <row r="15" spans="1:17">
      <c r="A15" s="1319" t="s">
        <v>1159</v>
      </c>
      <c r="B15" s="1320"/>
      <c r="C15" s="15">
        <v>0</v>
      </c>
      <c r="D15" s="660">
        <v>0</v>
      </c>
      <c r="E15" s="17"/>
      <c r="F15" s="1195" t="str">
        <f t="shared" si="1"/>
        <v>Real Estate - Commercial</v>
      </c>
      <c r="G15" s="1296">
        <f t="shared" ref="G15:G21" si="2">C15+D15</f>
        <v>0</v>
      </c>
      <c r="I15" s="1294"/>
      <c r="J15" s="1295" t="s">
        <v>1160</v>
      </c>
      <c r="K15" s="1235">
        <f>K8*K13</f>
        <v>0</v>
      </c>
      <c r="Q15" s="1292"/>
    </row>
    <row r="16" spans="1:17">
      <c r="A16" s="1319" t="s">
        <v>1159</v>
      </c>
      <c r="B16" s="1320"/>
      <c r="C16" s="15">
        <v>0</v>
      </c>
      <c r="D16" s="660">
        <v>0</v>
      </c>
      <c r="E16" s="17"/>
      <c r="F16" s="1195" t="str">
        <f t="shared" si="1"/>
        <v>Real Estate - Commercial</v>
      </c>
      <c r="G16" s="1296">
        <f t="shared" si="2"/>
        <v>0</v>
      </c>
      <c r="I16" s="1294"/>
      <c r="J16" s="1295" t="s">
        <v>1161</v>
      </c>
      <c r="K16" s="1521">
        <f>'Per Need 1'!I7</f>
        <v>0</v>
      </c>
      <c r="Q16" s="1292"/>
    </row>
    <row r="17" spans="1:17">
      <c r="A17" s="1319" t="s">
        <v>1162</v>
      </c>
      <c r="B17" s="1320"/>
      <c r="C17" s="15">
        <v>0</v>
      </c>
      <c r="D17" s="660">
        <v>0</v>
      </c>
      <c r="E17" s="17"/>
      <c r="F17" s="1195" t="str">
        <f t="shared" si="1"/>
        <v>Real Estate - Rental</v>
      </c>
      <c r="G17" s="1296">
        <f t="shared" si="2"/>
        <v>0</v>
      </c>
      <c r="I17" s="1294"/>
      <c r="J17" s="1295" t="s">
        <v>1163</v>
      </c>
      <c r="K17" s="1235">
        <f>K13-K16</f>
        <v>0</v>
      </c>
      <c r="Q17" s="1292"/>
    </row>
    <row r="18" spans="1:17">
      <c r="A18" s="1319" t="s">
        <v>1162</v>
      </c>
      <c r="B18" s="1320"/>
      <c r="C18" s="15">
        <v>0</v>
      </c>
      <c r="D18" s="660">
        <v>0</v>
      </c>
      <c r="E18" s="17"/>
      <c r="F18" s="1195" t="str">
        <f t="shared" si="1"/>
        <v>Real Estate - Rental</v>
      </c>
      <c r="G18" s="1296">
        <f t="shared" si="2"/>
        <v>0</v>
      </c>
      <c r="I18" s="1294"/>
      <c r="J18" s="1295" t="s">
        <v>130</v>
      </c>
      <c r="K18" s="1235">
        <f>IFERROR(K17/K13,0)</f>
        <v>0</v>
      </c>
      <c r="Q18" s="1292"/>
    </row>
    <row r="19" spans="1:17">
      <c r="A19" s="1319" t="s">
        <v>1164</v>
      </c>
      <c r="B19" s="1320"/>
      <c r="C19" s="15">
        <v>0</v>
      </c>
      <c r="D19" s="660">
        <v>0</v>
      </c>
      <c r="E19" s="17"/>
      <c r="F19" s="1195" t="str">
        <f t="shared" si="1"/>
        <v>Automobiles</v>
      </c>
      <c r="G19" s="1296">
        <f t="shared" si="2"/>
        <v>0</v>
      </c>
      <c r="I19" s="1294"/>
      <c r="J19" s="1295" t="s">
        <v>1165</v>
      </c>
      <c r="K19" s="1297">
        <v>0.8</v>
      </c>
      <c r="Q19" s="1292"/>
    </row>
    <row r="20" spans="1:17">
      <c r="A20" s="1319" t="s">
        <v>1166</v>
      </c>
      <c r="B20" s="1320"/>
      <c r="C20" s="15">
        <v>0</v>
      </c>
      <c r="D20" s="660">
        <v>0</v>
      </c>
      <c r="E20" s="17"/>
      <c r="F20" s="1195" t="str">
        <f t="shared" si="1"/>
        <v>Other Personal Property</v>
      </c>
      <c r="G20" s="1296">
        <f t="shared" si="2"/>
        <v>0</v>
      </c>
      <c r="I20" s="1294"/>
      <c r="J20" s="1295" t="s">
        <v>1167</v>
      </c>
      <c r="K20" s="1235">
        <f>(K13*K19)-K16</f>
        <v>0</v>
      </c>
      <c r="Q20" s="1292"/>
    </row>
    <row r="21" spans="1:17">
      <c r="A21" s="1319" t="s">
        <v>1168</v>
      </c>
      <c r="B21" s="1320"/>
      <c r="C21" s="15">
        <v>0</v>
      </c>
      <c r="D21" s="661">
        <v>0</v>
      </c>
      <c r="E21" s="18"/>
      <c r="F21" s="1195" t="str">
        <f t="shared" si="1"/>
        <v>Other Assets</v>
      </c>
      <c r="G21" s="1296">
        <f t="shared" si="2"/>
        <v>0</v>
      </c>
      <c r="I21" s="3059" t="s">
        <v>1169</v>
      </c>
      <c r="J21" s="60" t="s">
        <v>1170</v>
      </c>
      <c r="Q21" s="1292"/>
    </row>
    <row r="22" spans="1:17" ht="17" thickBot="1">
      <c r="A22" s="1161" t="s">
        <v>943</v>
      </c>
      <c r="B22" s="1162"/>
      <c r="C22" s="1298">
        <f>SUM(C8:C21)</f>
        <v>0</v>
      </c>
      <c r="D22" s="1299" t="s">
        <v>923</v>
      </c>
      <c r="E22" s="1300"/>
      <c r="F22" s="1301" t="s">
        <v>1171</v>
      </c>
      <c r="G22" s="1302">
        <f>SUM(G8:G21)</f>
        <v>0</v>
      </c>
      <c r="I22" s="3060"/>
      <c r="J22" s="1303" t="s">
        <v>1172</v>
      </c>
      <c r="K22" s="1303"/>
      <c r="L22" s="1303"/>
      <c r="M22" s="1303"/>
      <c r="N22" s="1303"/>
      <c r="O22" s="1303"/>
      <c r="P22" s="1303"/>
      <c r="Q22" s="1304"/>
    </row>
    <row r="23" spans="1:17" ht="17" thickTop="1">
      <c r="A23" s="1167"/>
      <c r="B23" s="1163"/>
      <c r="C23" s="1305"/>
      <c r="D23" s="1306"/>
      <c r="E23" s="1163"/>
      <c r="F23" s="1163"/>
      <c r="G23" s="1307"/>
    </row>
    <row r="24" spans="1:17">
      <c r="A24" s="3063" t="s">
        <v>1173</v>
      </c>
      <c r="B24" s="3064"/>
      <c r="C24" s="3064"/>
      <c r="D24" s="1306"/>
      <c r="E24" s="1163"/>
      <c r="F24" s="3064" t="s">
        <v>1173</v>
      </c>
      <c r="G24" s="3065"/>
    </row>
    <row r="25" spans="1:17">
      <c r="A25" s="1167" t="s">
        <v>945</v>
      </c>
      <c r="B25" s="1163"/>
      <c r="C25" s="14">
        <v>0</v>
      </c>
      <c r="D25" s="663">
        <f>G25-C25</f>
        <v>0</v>
      </c>
      <c r="E25" s="19"/>
      <c r="F25" s="1195" t="s">
        <v>1174</v>
      </c>
      <c r="G25" s="1308">
        <f>'Per Need 1'!I54</f>
        <v>0</v>
      </c>
    </row>
    <row r="26" spans="1:17">
      <c r="A26" s="1167" t="s">
        <v>1175</v>
      </c>
      <c r="B26" s="1163"/>
      <c r="C26" s="15">
        <v>0</v>
      </c>
      <c r="D26" s="660">
        <v>0</v>
      </c>
      <c r="E26" s="20"/>
      <c r="F26" s="1195" t="s">
        <v>1176</v>
      </c>
      <c r="G26" s="1309">
        <f>C26+D26</f>
        <v>0</v>
      </c>
    </row>
    <row r="27" spans="1:17">
      <c r="A27" s="1167" t="s">
        <v>1177</v>
      </c>
      <c r="B27" s="1163"/>
      <c r="C27" s="15">
        <v>0</v>
      </c>
      <c r="D27" s="662">
        <f>G27-C27</f>
        <v>0</v>
      </c>
      <c r="E27" s="20"/>
      <c r="F27" s="1195" t="s">
        <v>1178</v>
      </c>
      <c r="G27" s="1309">
        <f>'Per Need 1'!I23</f>
        <v>0</v>
      </c>
    </row>
    <row r="28" spans="1:17">
      <c r="A28" s="1167" t="s">
        <v>1179</v>
      </c>
      <c r="B28" s="1163"/>
      <c r="C28" s="15">
        <v>0</v>
      </c>
      <c r="D28" s="662">
        <f>G28-C28</f>
        <v>0</v>
      </c>
      <c r="E28" s="20"/>
      <c r="F28" s="1195" t="s">
        <v>1180</v>
      </c>
      <c r="G28" s="1309">
        <f>'Per Need 1'!I32</f>
        <v>0</v>
      </c>
    </row>
    <row r="29" spans="1:17">
      <c r="A29" s="1167" t="s">
        <v>1181</v>
      </c>
      <c r="B29" s="1163"/>
      <c r="C29" s="15">
        <v>0</v>
      </c>
      <c r="D29" s="660">
        <v>0</v>
      </c>
      <c r="E29" s="20"/>
      <c r="F29" s="1195" t="s">
        <v>1181</v>
      </c>
      <c r="G29" s="1309">
        <f>C29+D29</f>
        <v>0</v>
      </c>
    </row>
    <row r="30" spans="1:17">
      <c r="A30" s="1319" t="s">
        <v>1182</v>
      </c>
      <c r="B30" s="1320"/>
      <c r="C30" s="15">
        <v>0</v>
      </c>
      <c r="D30" s="660">
        <v>0</v>
      </c>
      <c r="E30" s="20"/>
      <c r="F30" s="1195" t="str">
        <f>A30</f>
        <v>Mortgage - SFR</v>
      </c>
      <c r="G30" s="1309">
        <f>'Per Need 1'!I7</f>
        <v>0</v>
      </c>
    </row>
    <row r="31" spans="1:17">
      <c r="A31" s="1319" t="s">
        <v>1183</v>
      </c>
      <c r="B31" s="1320"/>
      <c r="C31" s="15">
        <v>0</v>
      </c>
      <c r="D31" s="660">
        <v>0</v>
      </c>
      <c r="E31" s="20"/>
      <c r="F31" s="1195" t="str">
        <f t="shared" ref="F31:F34" si="3">A31</f>
        <v>Mortgage - Commercial</v>
      </c>
      <c r="G31" s="1309">
        <f t="shared" ref="G31:G37" si="4">C31+D31</f>
        <v>0</v>
      </c>
    </row>
    <row r="32" spans="1:17">
      <c r="A32" s="1319" t="s">
        <v>1183</v>
      </c>
      <c r="B32" s="1320"/>
      <c r="C32" s="15">
        <v>0</v>
      </c>
      <c r="D32" s="660">
        <v>0</v>
      </c>
      <c r="E32" s="20"/>
      <c r="F32" s="1195" t="str">
        <f t="shared" si="3"/>
        <v>Mortgage - Commercial</v>
      </c>
      <c r="G32" s="1309">
        <f t="shared" si="4"/>
        <v>0</v>
      </c>
    </row>
    <row r="33" spans="1:7">
      <c r="A33" s="1319" t="s">
        <v>1184</v>
      </c>
      <c r="B33" s="1320"/>
      <c r="C33" s="15">
        <v>0</v>
      </c>
      <c r="D33" s="660">
        <v>0</v>
      </c>
      <c r="E33" s="20"/>
      <c r="F33" s="1195" t="str">
        <f t="shared" si="3"/>
        <v>Mortgage - Rental</v>
      </c>
      <c r="G33" s="1309">
        <f t="shared" si="4"/>
        <v>0</v>
      </c>
    </row>
    <row r="34" spans="1:7">
      <c r="A34" s="1319" t="s">
        <v>1184</v>
      </c>
      <c r="B34" s="1320"/>
      <c r="C34" s="15">
        <v>0</v>
      </c>
      <c r="D34" s="660">
        <v>0</v>
      </c>
      <c r="E34" s="20"/>
      <c r="F34" s="1195" t="str">
        <f t="shared" si="3"/>
        <v>Mortgage - Rental</v>
      </c>
      <c r="G34" s="1309">
        <f t="shared" si="4"/>
        <v>0</v>
      </c>
    </row>
    <row r="35" spans="1:7">
      <c r="A35" s="1319" t="s">
        <v>1185</v>
      </c>
      <c r="B35" s="1320"/>
      <c r="C35" s="15">
        <v>0</v>
      </c>
      <c r="D35" s="660">
        <v>0</v>
      </c>
      <c r="E35" s="20"/>
      <c r="F35" s="1195" t="s">
        <v>1185</v>
      </c>
      <c r="G35" s="1309">
        <f t="shared" si="4"/>
        <v>0</v>
      </c>
    </row>
    <row r="36" spans="1:7">
      <c r="A36" s="1319" t="s">
        <v>1186</v>
      </c>
      <c r="B36" s="1320"/>
      <c r="C36" s="15">
        <v>0</v>
      </c>
      <c r="D36" s="660">
        <v>0</v>
      </c>
      <c r="E36" s="20"/>
      <c r="F36" s="1195" t="s">
        <v>1186</v>
      </c>
      <c r="G36" s="1309">
        <f t="shared" si="4"/>
        <v>0</v>
      </c>
    </row>
    <row r="37" spans="1:7">
      <c r="A37" s="1319" t="s">
        <v>958</v>
      </c>
      <c r="B37" s="1320"/>
      <c r="C37" s="15">
        <v>0</v>
      </c>
      <c r="D37" s="661">
        <v>0</v>
      </c>
      <c r="E37" s="21"/>
      <c r="F37" s="1195" t="s">
        <v>958</v>
      </c>
      <c r="G37" s="1309">
        <f t="shared" si="4"/>
        <v>0</v>
      </c>
    </row>
    <row r="38" spans="1:7" ht="17" thickBot="1">
      <c r="A38" s="1161" t="s">
        <v>960</v>
      </c>
      <c r="B38" s="1162"/>
      <c r="C38" s="1298">
        <f>SUM(C25:C37)</f>
        <v>0</v>
      </c>
      <c r="D38" s="1310" t="s">
        <v>923</v>
      </c>
      <c r="E38" s="1151"/>
      <c r="F38" s="1301" t="s">
        <v>1187</v>
      </c>
      <c r="G38" s="1302">
        <f>SUM(G25:G37)</f>
        <v>0</v>
      </c>
    </row>
    <row r="39" spans="1:7" ht="17" thickTop="1">
      <c r="A39" s="1167"/>
      <c r="B39" s="1163"/>
      <c r="C39" s="1311"/>
      <c r="D39" s="1306"/>
      <c r="E39" s="1163"/>
      <c r="F39" s="1163"/>
      <c r="G39" s="1312"/>
    </row>
    <row r="40" spans="1:7">
      <c r="A40" s="1161" t="s">
        <v>964</v>
      </c>
      <c r="B40" s="1301"/>
      <c r="C40" s="510">
        <f>C22-C38</f>
        <v>0</v>
      </c>
      <c r="D40" s="1310" t="s">
        <v>923</v>
      </c>
      <c r="E40" s="1151"/>
      <c r="F40" s="1301" t="s">
        <v>1188</v>
      </c>
      <c r="G40" s="1313">
        <f>G22-G38</f>
        <v>0</v>
      </c>
    </row>
    <row r="41" spans="1:7">
      <c r="A41" s="1161" t="s">
        <v>276</v>
      </c>
      <c r="B41" s="1162"/>
      <c r="C41" s="1314">
        <f>C8+C9+C13</f>
        <v>0</v>
      </c>
      <c r="D41" s="1315"/>
      <c r="E41" s="1151"/>
      <c r="F41" s="1162" t="s">
        <v>1189</v>
      </c>
      <c r="G41" s="1314">
        <f>G8+G9+G13</f>
        <v>0</v>
      </c>
    </row>
    <row r="42" spans="1:7" ht="17" thickBot="1">
      <c r="A42" s="1161" t="s">
        <v>1190</v>
      </c>
      <c r="B42" s="1162"/>
      <c r="C42" s="1316"/>
      <c r="D42" s="1315"/>
      <c r="E42" s="1151"/>
      <c r="F42" s="1162"/>
      <c r="G42" s="1317"/>
    </row>
    <row r="43" spans="1:7" ht="15.75" customHeight="1">
      <c r="A43" s="3048"/>
      <c r="B43" s="3049"/>
      <c r="C43" s="3049"/>
      <c r="D43" s="3049"/>
      <c r="E43" s="3049"/>
      <c r="F43" s="3049"/>
      <c r="G43" s="3050"/>
    </row>
    <row r="44" spans="1:7" ht="15.75" customHeight="1">
      <c r="A44" s="3051"/>
      <c r="B44" s="3052"/>
      <c r="C44" s="3052"/>
      <c r="D44" s="3052"/>
      <c r="E44" s="3052"/>
      <c r="F44" s="3052"/>
      <c r="G44" s="3053"/>
    </row>
    <row r="45" spans="1:7" ht="15.75" customHeight="1">
      <c r="A45" s="3051"/>
      <c r="B45" s="3052"/>
      <c r="C45" s="3052"/>
      <c r="D45" s="3052"/>
      <c r="E45" s="3052"/>
      <c r="F45" s="3052"/>
      <c r="G45" s="3053"/>
    </row>
    <row r="46" spans="1:7" ht="15.75" customHeight="1">
      <c r="A46" s="3051"/>
      <c r="B46" s="3052"/>
      <c r="C46" s="3052"/>
      <c r="D46" s="3052"/>
      <c r="E46" s="3052"/>
      <c r="F46" s="3052"/>
      <c r="G46" s="3053"/>
    </row>
    <row r="47" spans="1:7" ht="15.75" customHeight="1">
      <c r="A47" s="3051"/>
      <c r="B47" s="3052"/>
      <c r="C47" s="3052"/>
      <c r="D47" s="3052"/>
      <c r="E47" s="3052"/>
      <c r="F47" s="3052"/>
      <c r="G47" s="3053"/>
    </row>
    <row r="48" spans="1:7" ht="15.75" customHeight="1">
      <c r="A48" s="3051"/>
      <c r="B48" s="3052"/>
      <c r="C48" s="3052"/>
      <c r="D48" s="3052"/>
      <c r="E48" s="3052"/>
      <c r="F48" s="3052"/>
      <c r="G48" s="3053"/>
    </row>
    <row r="49" spans="1:7">
      <c r="A49" s="3051"/>
      <c r="B49" s="3052"/>
      <c r="C49" s="3052"/>
      <c r="D49" s="3052"/>
      <c r="E49" s="3052"/>
      <c r="F49" s="3052"/>
      <c r="G49" s="3053"/>
    </row>
    <row r="50" spans="1:7">
      <c r="A50" s="3051"/>
      <c r="B50" s="3052"/>
      <c r="C50" s="3052"/>
      <c r="D50" s="3052"/>
      <c r="E50" s="3052"/>
      <c r="F50" s="3052"/>
      <c r="G50" s="3053"/>
    </row>
    <row r="51" spans="1:7">
      <c r="A51" s="3051"/>
      <c r="B51" s="3052"/>
      <c r="C51" s="3052"/>
      <c r="D51" s="3052"/>
      <c r="E51" s="3052"/>
      <c r="F51" s="3052"/>
      <c r="G51" s="3053"/>
    </row>
    <row r="52" spans="1:7">
      <c r="A52" s="3051"/>
      <c r="B52" s="3052"/>
      <c r="C52" s="3052"/>
      <c r="D52" s="3052"/>
      <c r="E52" s="3052"/>
      <c r="F52" s="3052"/>
      <c r="G52" s="3053"/>
    </row>
    <row r="53" spans="1:7">
      <c r="A53" s="3051"/>
      <c r="B53" s="3052"/>
      <c r="C53" s="3052"/>
      <c r="D53" s="3052"/>
      <c r="E53" s="3052"/>
      <c r="F53" s="3052"/>
      <c r="G53" s="3053"/>
    </row>
    <row r="54" spans="1:7" ht="17" thickBot="1">
      <c r="A54" s="3054"/>
      <c r="B54" s="3055"/>
      <c r="C54" s="3055"/>
      <c r="D54" s="3055"/>
      <c r="E54" s="3055"/>
      <c r="F54" s="3055"/>
      <c r="G54" s="3056"/>
    </row>
  </sheetData>
  <sheetProtection algorithmName="SHA-512" hashValue="1NU20/SYK+36stNB82rwK9xQqBagwubxr90k3ejLTLPHZjGd9nYkcFo5nwZY1tvvcbAh+e8WZtlKLVEft3508Q==" saltValue="qhpzJyOhQ4vZ0dwcAsDFLw==" spinCount="100000" sheet="1" scenarios="1" formatCells="0" formatColumns="0" formatRows="0"/>
  <customSheetViews>
    <customSheetView guid="{EDC0EC15-0264-48C8-A990-093960AE8EF3}" scale="85" showPageBreaks="1" showGridLines="0" printArea="1">
      <selection activeCell="B4" sqref="B4"/>
      <pageMargins left="0" right="0" top="0" bottom="0" header="0" footer="0"/>
      <printOptions horizontalCentered="1"/>
      <pageSetup scale="82" orientation="portrait" r:id="rId1"/>
      <headerFooter differentFirst="1">
        <firstHeader>&amp;L&amp;G&amp;C&amp;8
&amp;18Credit Memo</firstHeader>
      </headerFooter>
    </customSheetView>
    <customSheetView guid="{6E1FDEE6-49D0-4876-8C7C-09893145D2CE}" scale="85" showPageBreaks="1" showGridLines="0" printArea="1">
      <selection activeCell="B4" sqref="B4"/>
      <pageMargins left="0" right="0" top="0" bottom="0" header="0" footer="0"/>
      <printOptions horizontalCentered="1"/>
      <pageSetup scale="82" orientation="portrait" r:id="rId2"/>
      <headerFooter differentFirst="1">
        <firstHeader>&amp;L&amp;G&amp;C&amp;8
&amp;18Credit Memo</firstHeader>
      </headerFooter>
    </customSheetView>
    <customSheetView guid="{DB1F6E98-7FCC-445F-9DA6-47D8BF8BE969}" scale="85" showPageBreaks="1" showGridLines="0" printArea="1">
      <selection activeCell="B4" sqref="B4"/>
      <pageMargins left="0" right="0" top="0" bottom="0" header="0" footer="0"/>
      <printOptions horizontalCentered="1"/>
      <pageSetup scale="82" orientation="portrait" r:id="rId3"/>
      <headerFooter differentFirst="1">
        <firstHeader>&amp;L&amp;G&amp;C&amp;8
&amp;18Credit Memo</firstHeader>
      </headerFooter>
    </customSheetView>
    <customSheetView guid="{C02CA8E5-5D4C-45E5-BC4A-4C9BE481059B}" scale="85" showPageBreaks="1" showGridLines="0" printArea="1">
      <selection activeCell="B4" sqref="B4"/>
      <pageMargins left="0" right="0" top="0" bottom="0" header="0" footer="0"/>
      <printOptions horizontalCentered="1"/>
      <pageSetup scale="82" orientation="portrait" r:id="rId4"/>
      <headerFooter differentFirst="1">
        <firstHeader>&amp;L&amp;G&amp;C&amp;8
&amp;18Credit Memo</firstHeader>
      </headerFooter>
    </customSheetView>
  </customSheetViews>
  <mergeCells count="12">
    <mergeCell ref="A1:G1"/>
    <mergeCell ref="B3:F3"/>
    <mergeCell ref="A6:C6"/>
    <mergeCell ref="F6:G6"/>
    <mergeCell ref="A7:C7"/>
    <mergeCell ref="F7:G7"/>
    <mergeCell ref="A43:G54"/>
    <mergeCell ref="I7:L7"/>
    <mergeCell ref="I21:I22"/>
    <mergeCell ref="I6:L6"/>
    <mergeCell ref="A24:C24"/>
    <mergeCell ref="F24:G24"/>
  </mergeCells>
  <printOptions horizontalCentered="1"/>
  <pageMargins left="0.7" right="0.7" top="0.75" bottom="0.75" header="0.3" footer="0.3"/>
  <pageSetup scale="78" orientation="portrait" r:id="rId5"/>
  <headerFooter differentFirst="1">
    <firstHeader>&amp;L&amp;G&amp;C&amp;8
&amp;18Credit Memo</firstHead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pageSetUpPr fitToPage="1"/>
  </sheetPr>
  <dimension ref="A1:Y71"/>
  <sheetViews>
    <sheetView showGridLines="0" topLeftCell="D1" zoomScale="82" zoomScaleNormal="82" workbookViewId="0">
      <selection activeCell="F18" sqref="F18"/>
    </sheetView>
  </sheetViews>
  <sheetFormatPr baseColWidth="10" defaultColWidth="9.1640625" defaultRowHeight="16"/>
  <cols>
    <col min="1" max="1" width="26.5" style="60" bestFit="1" customWidth="1"/>
    <col min="2" max="2" width="5.6640625" style="60" customWidth="1"/>
    <col min="3" max="3" width="5.6640625" style="1341" customWidth="1"/>
    <col min="4" max="5" width="15.6640625" style="60" customWidth="1"/>
    <col min="6" max="6" width="2.6640625" style="60" customWidth="1"/>
    <col min="7" max="8" width="15.6640625" style="60" customWidth="1"/>
    <col min="9" max="9" width="2.6640625" style="60" customWidth="1"/>
    <col min="10" max="11" width="15.6640625" style="60" customWidth="1"/>
    <col min="12" max="12" width="2.6640625" style="60" customWidth="1"/>
    <col min="13" max="14" width="15.6640625" style="60" customWidth="1"/>
    <col min="15" max="15" width="2.6640625" style="60" customWidth="1"/>
    <col min="16" max="17" width="15.6640625" style="60" customWidth="1"/>
    <col min="18" max="18" width="2.6640625" style="60" customWidth="1"/>
    <col min="19" max="20" width="15.6640625" style="60" customWidth="1"/>
    <col min="21" max="16384" width="9.1640625" style="60"/>
  </cols>
  <sheetData>
    <row r="1" spans="1:25">
      <c r="A1" s="2922" t="s">
        <v>1191</v>
      </c>
      <c r="B1" s="2923"/>
      <c r="C1" s="2923"/>
      <c r="D1" s="2923"/>
      <c r="E1" s="2923"/>
      <c r="F1" s="2923"/>
      <c r="G1" s="2923"/>
      <c r="H1" s="2923"/>
      <c r="I1" s="2923"/>
      <c r="J1" s="2923"/>
      <c r="K1" s="2923"/>
      <c r="L1" s="2923"/>
      <c r="M1" s="2923"/>
      <c r="N1" s="2923"/>
      <c r="O1" s="2923"/>
      <c r="P1" s="2923"/>
      <c r="Q1" s="2923"/>
      <c r="R1" s="2923"/>
      <c r="S1" s="2923"/>
      <c r="T1" s="2924"/>
      <c r="U1"/>
      <c r="V1" s="1741"/>
      <c r="W1" s="1741"/>
      <c r="X1" s="1741"/>
      <c r="Y1"/>
    </row>
    <row r="2" spans="1:25" ht="17" thickBot="1">
      <c r="A2" s="1161" t="s">
        <v>1192</v>
      </c>
      <c r="B2" s="1162"/>
      <c r="C2" s="1321"/>
      <c r="D2" s="3108" t="str">
        <f>'Per Need 1'!B3</f>
        <v>{Name of Guarantor/Principal}</v>
      </c>
      <c r="E2" s="3109"/>
      <c r="F2" s="3109"/>
      <c r="G2" s="3109"/>
      <c r="H2" s="3109"/>
      <c r="I2" s="3109"/>
      <c r="J2" s="3109"/>
      <c r="K2" s="3110"/>
      <c r="L2" s="244"/>
      <c r="M2" s="244"/>
      <c r="N2" s="244"/>
      <c r="O2" s="244"/>
      <c r="P2" s="244"/>
      <c r="Q2" s="244"/>
      <c r="R2" s="244"/>
      <c r="S2" s="244"/>
      <c r="T2" s="251"/>
    </row>
    <row r="3" spans="1:25" ht="17" thickBot="1">
      <c r="A3" s="1167"/>
      <c r="B3" s="1322" t="s">
        <v>795</v>
      </c>
      <c r="C3" s="1323"/>
      <c r="D3" s="1163"/>
      <c r="E3" s="1163"/>
      <c r="F3" s="1163"/>
      <c r="G3" s="1163"/>
      <c r="H3" s="1163"/>
      <c r="I3" s="1163"/>
      <c r="J3" s="1163"/>
      <c r="K3" s="1163"/>
      <c r="L3" s="1163"/>
      <c r="M3" s="1163"/>
      <c r="N3" s="1163"/>
      <c r="O3" s="1163"/>
      <c r="P3" s="1163"/>
      <c r="Q3" s="1163"/>
      <c r="R3" s="1163"/>
      <c r="S3" s="1163"/>
      <c r="T3" s="1154"/>
      <c r="V3" s="60" t="s">
        <v>1193</v>
      </c>
    </row>
    <row r="4" spans="1:25" ht="15" customHeight="1">
      <c r="A4" s="1324" t="s">
        <v>1194</v>
      </c>
      <c r="B4" s="1178"/>
      <c r="C4" s="1321"/>
      <c r="D4" s="3096"/>
      <c r="E4" s="3096"/>
      <c r="F4" s="1325"/>
      <c r="G4" s="3096"/>
      <c r="H4" s="3096"/>
      <c r="I4" s="1325"/>
      <c r="J4" s="3096"/>
      <c r="K4" s="3096"/>
      <c r="L4" s="1325"/>
      <c r="M4" s="3096"/>
      <c r="N4" s="3096"/>
      <c r="O4" s="1325"/>
      <c r="P4" s="3096"/>
      <c r="Q4" s="3096"/>
      <c r="R4" s="1325"/>
      <c r="S4" s="3096"/>
      <c r="T4" s="3097"/>
    </row>
    <row r="5" spans="1:25" ht="15" customHeight="1">
      <c r="A5" s="1161" t="s">
        <v>664</v>
      </c>
      <c r="B5" s="1178"/>
      <c r="C5" s="1321"/>
      <c r="D5" s="3098"/>
      <c r="E5" s="3098"/>
      <c r="F5" s="1162"/>
      <c r="G5" s="3098"/>
      <c r="H5" s="3098"/>
      <c r="I5" s="1162"/>
      <c r="J5" s="3098"/>
      <c r="K5" s="3098"/>
      <c r="L5" s="1162"/>
      <c r="M5" s="3098"/>
      <c r="N5" s="3098"/>
      <c r="O5" s="1162"/>
      <c r="P5" s="3098"/>
      <c r="Q5" s="3098"/>
      <c r="R5" s="1162"/>
      <c r="S5" s="3098"/>
      <c r="T5" s="3099"/>
    </row>
    <row r="6" spans="1:25">
      <c r="A6" s="1326" t="s">
        <v>1195</v>
      </c>
      <c r="B6" s="257"/>
      <c r="C6" s="1327"/>
      <c r="D6" s="3100"/>
      <c r="E6" s="3100"/>
      <c r="F6" s="1328"/>
      <c r="G6" s="3100"/>
      <c r="H6" s="3100"/>
      <c r="I6" s="1328"/>
      <c r="J6" s="3100"/>
      <c r="K6" s="3100"/>
      <c r="L6" s="1328"/>
      <c r="M6" s="3100"/>
      <c r="N6" s="3100"/>
      <c r="O6" s="1328"/>
      <c r="P6" s="3100"/>
      <c r="Q6" s="3100"/>
      <c r="R6" s="1328"/>
      <c r="S6" s="3100"/>
      <c r="T6" s="3101"/>
    </row>
    <row r="7" spans="1:25">
      <c r="A7" s="1326" t="s">
        <v>103</v>
      </c>
      <c r="B7" s="257"/>
      <c r="C7" s="1327"/>
      <c r="D7" s="3078"/>
      <c r="E7" s="3078"/>
      <c r="F7" s="1328"/>
      <c r="G7" s="3078"/>
      <c r="H7" s="3078"/>
      <c r="I7" s="1328"/>
      <c r="J7" s="3078"/>
      <c r="K7" s="3078"/>
      <c r="L7" s="1328"/>
      <c r="M7" s="3078"/>
      <c r="N7" s="3078"/>
      <c r="O7" s="1328"/>
      <c r="P7" s="3078"/>
      <c r="Q7" s="3078"/>
      <c r="R7" s="1328"/>
      <c r="S7" s="3078"/>
      <c r="T7" s="3079"/>
    </row>
    <row r="8" spans="1:25">
      <c r="A8" s="1326" t="s">
        <v>1196</v>
      </c>
      <c r="B8" s="257"/>
      <c r="C8" s="1327"/>
      <c r="D8" s="3078"/>
      <c r="E8" s="3078"/>
      <c r="F8" s="1328"/>
      <c r="G8" s="3078"/>
      <c r="H8" s="3078"/>
      <c r="I8" s="1328"/>
      <c r="J8" s="3078"/>
      <c r="K8" s="3078"/>
      <c r="L8" s="1328"/>
      <c r="M8" s="3078"/>
      <c r="N8" s="3078"/>
      <c r="O8" s="1328"/>
      <c r="P8" s="3078"/>
      <c r="Q8" s="3078"/>
      <c r="R8" s="1328"/>
      <c r="S8" s="3078"/>
      <c r="T8" s="3079"/>
    </row>
    <row r="9" spans="1:25">
      <c r="A9" s="1326" t="s">
        <v>1161</v>
      </c>
      <c r="B9" s="257"/>
      <c r="C9" s="1327"/>
      <c r="D9" s="3078"/>
      <c r="E9" s="3078"/>
      <c r="F9" s="1328"/>
      <c r="G9" s="3078"/>
      <c r="H9" s="3078"/>
      <c r="I9" s="1328"/>
      <c r="J9" s="3078"/>
      <c r="K9" s="3078"/>
      <c r="L9" s="1328"/>
      <c r="M9" s="3078"/>
      <c r="N9" s="3078"/>
      <c r="O9" s="1328"/>
      <c r="P9" s="3078"/>
      <c r="Q9" s="3078"/>
      <c r="R9" s="1328"/>
      <c r="S9" s="3078"/>
      <c r="T9" s="3079"/>
    </row>
    <row r="10" spans="1:25" ht="17" thickBot="1">
      <c r="A10" s="1329" t="s">
        <v>1197</v>
      </c>
      <c r="B10" s="257"/>
      <c r="C10" s="1327"/>
      <c r="D10" s="3080">
        <f>D8-D9</f>
        <v>0</v>
      </c>
      <c r="E10" s="3080"/>
      <c r="F10" s="1328"/>
      <c r="G10" s="3080">
        <f>G8-G9</f>
        <v>0</v>
      </c>
      <c r="H10" s="3080"/>
      <c r="I10" s="1328"/>
      <c r="J10" s="3080">
        <f>J8-J9</f>
        <v>0</v>
      </c>
      <c r="K10" s="3080"/>
      <c r="L10" s="1328"/>
      <c r="M10" s="3080">
        <f>M8-M9</f>
        <v>0</v>
      </c>
      <c r="N10" s="3080"/>
      <c r="O10" s="1328"/>
      <c r="P10" s="3080">
        <f>P8-P9</f>
        <v>0</v>
      </c>
      <c r="Q10" s="3080"/>
      <c r="R10" s="1328"/>
      <c r="S10" s="3080">
        <f>S8-S9</f>
        <v>0</v>
      </c>
      <c r="T10" s="3081"/>
    </row>
    <row r="11" spans="1:25" ht="17" thickBot="1">
      <c r="A11" s="1330"/>
      <c r="B11" s="258"/>
      <c r="C11" s="1331"/>
      <c r="D11" s="244"/>
      <c r="E11" s="1332"/>
      <c r="F11" s="1328"/>
      <c r="G11" s="244"/>
      <c r="H11" s="1332"/>
      <c r="I11" s="1328"/>
      <c r="J11" s="244"/>
      <c r="K11" s="1332"/>
      <c r="L11" s="1328"/>
      <c r="M11" s="244"/>
      <c r="N11" s="1332"/>
      <c r="O11" s="1328"/>
      <c r="P11" s="244"/>
      <c r="Q11" s="1332"/>
      <c r="R11" s="1328"/>
      <c r="S11" s="244"/>
      <c r="T11" s="1333"/>
    </row>
    <row r="12" spans="1:25">
      <c r="A12" s="1334" t="s">
        <v>1198</v>
      </c>
      <c r="B12" s="258"/>
      <c r="C12" s="1331"/>
      <c r="D12" s="3096"/>
      <c r="E12" s="3096"/>
      <c r="F12" s="1328"/>
      <c r="G12" s="3096"/>
      <c r="H12" s="3096"/>
      <c r="I12" s="1328"/>
      <c r="J12" s="3096"/>
      <c r="K12" s="3096"/>
      <c r="L12" s="1328"/>
      <c r="M12" s="3096"/>
      <c r="N12" s="3096"/>
      <c r="O12" s="1328"/>
      <c r="P12" s="3096"/>
      <c r="Q12" s="3096"/>
      <c r="R12" s="1328"/>
      <c r="S12" s="3096"/>
      <c r="T12" s="3097"/>
    </row>
    <row r="13" spans="1:25" ht="17" thickBot="1">
      <c r="A13" s="1335" t="s">
        <v>1199</v>
      </c>
      <c r="B13" s="258"/>
      <c r="C13" s="1331"/>
      <c r="D13" s="3100"/>
      <c r="E13" s="3100"/>
      <c r="F13" s="1328"/>
      <c r="G13" s="3100"/>
      <c r="H13" s="3100"/>
      <c r="I13" s="1328"/>
      <c r="J13" s="3100"/>
      <c r="K13" s="3100"/>
      <c r="L13" s="1328"/>
      <c r="M13" s="3100"/>
      <c r="N13" s="3100"/>
      <c r="O13" s="1328"/>
      <c r="P13" s="3100"/>
      <c r="Q13" s="3100"/>
      <c r="R13" s="1328"/>
      <c r="S13" s="3100"/>
      <c r="T13" s="3101"/>
    </row>
    <row r="14" spans="1:25" ht="17" thickBot="1">
      <c r="A14" s="1330"/>
      <c r="B14" s="258"/>
      <c r="C14" s="1331"/>
      <c r="D14" s="244"/>
      <c r="E14" s="1332"/>
      <c r="F14" s="1328"/>
      <c r="G14" s="244"/>
      <c r="H14" s="1332"/>
      <c r="I14" s="1328"/>
      <c r="J14" s="244"/>
      <c r="K14" s="1332"/>
      <c r="L14" s="1328"/>
      <c r="M14" s="244"/>
      <c r="N14" s="1332"/>
      <c r="O14" s="1328"/>
      <c r="P14" s="244"/>
      <c r="Q14" s="1332"/>
      <c r="R14" s="1328"/>
      <c r="S14" s="244"/>
      <c r="T14" s="1333"/>
    </row>
    <row r="15" spans="1:25">
      <c r="A15" s="1334" t="s">
        <v>1200</v>
      </c>
      <c r="B15" s="258"/>
      <c r="C15" s="1331"/>
      <c r="D15" s="3078"/>
      <c r="E15" s="3078"/>
      <c r="F15" s="1328"/>
      <c r="G15" s="3078"/>
      <c r="H15" s="3078"/>
      <c r="I15" s="1328"/>
      <c r="J15" s="3078"/>
      <c r="K15" s="3078"/>
      <c r="L15" s="1328"/>
      <c r="M15" s="3078"/>
      <c r="N15" s="3078"/>
      <c r="O15" s="1328"/>
      <c r="P15" s="3078"/>
      <c r="Q15" s="3078"/>
      <c r="R15" s="1328"/>
      <c r="S15" s="3078"/>
      <c r="T15" s="3079"/>
    </row>
    <row r="16" spans="1:25">
      <c r="A16" s="1330" t="s">
        <v>1201</v>
      </c>
      <c r="B16" s="258"/>
      <c r="C16" s="1331" t="s">
        <v>1202</v>
      </c>
      <c r="D16" s="3078"/>
      <c r="E16" s="3078"/>
      <c r="F16" s="1328"/>
      <c r="G16" s="3078"/>
      <c r="H16" s="3078"/>
      <c r="I16" s="1328"/>
      <c r="J16" s="3078"/>
      <c r="K16" s="3078"/>
      <c r="L16" s="1328"/>
      <c r="M16" s="3078"/>
      <c r="N16" s="3078"/>
      <c r="O16" s="1328"/>
      <c r="P16" s="3078"/>
      <c r="Q16" s="3078"/>
      <c r="R16" s="1328"/>
      <c r="S16" s="3078"/>
      <c r="T16" s="3079"/>
    </row>
    <row r="17" spans="1:20" ht="17" thickBot="1">
      <c r="A17" s="1335" t="s">
        <v>810</v>
      </c>
      <c r="B17" s="258"/>
      <c r="C17" s="1331" t="s">
        <v>1203</v>
      </c>
      <c r="D17" s="3080">
        <f>D15-D16</f>
        <v>0</v>
      </c>
      <c r="E17" s="3080"/>
      <c r="F17" s="1328"/>
      <c r="G17" s="3080">
        <f>G15-G16</f>
        <v>0</v>
      </c>
      <c r="H17" s="3080"/>
      <c r="I17" s="1328"/>
      <c r="J17" s="3080">
        <f>J15-J16</f>
        <v>0</v>
      </c>
      <c r="K17" s="3080"/>
      <c r="L17" s="1328"/>
      <c r="M17" s="3080">
        <f>M15-M16</f>
        <v>0</v>
      </c>
      <c r="N17" s="3080"/>
      <c r="O17" s="1328"/>
      <c r="P17" s="3080">
        <f>P15-P16</f>
        <v>0</v>
      </c>
      <c r="Q17" s="3080"/>
      <c r="R17" s="1328"/>
      <c r="S17" s="3080">
        <f>S15-S16</f>
        <v>0</v>
      </c>
      <c r="T17" s="3081"/>
    </row>
    <row r="18" spans="1:20">
      <c r="A18" s="1330"/>
      <c r="B18" s="258"/>
      <c r="C18" s="1331"/>
      <c r="D18" s="244"/>
      <c r="E18" s="1332"/>
      <c r="F18" s="1328"/>
      <c r="G18" s="244"/>
      <c r="H18" s="1332"/>
      <c r="I18" s="1328"/>
      <c r="J18" s="244"/>
      <c r="K18" s="1332"/>
      <c r="L18" s="1328"/>
      <c r="M18" s="244"/>
      <c r="N18" s="1332"/>
      <c r="O18" s="1328"/>
      <c r="P18" s="244"/>
      <c r="Q18" s="1332"/>
      <c r="R18" s="1328"/>
      <c r="S18" s="244"/>
      <c r="T18" s="1333"/>
    </row>
    <row r="19" spans="1:20">
      <c r="A19" s="248" t="s">
        <v>1204</v>
      </c>
      <c r="B19" s="1342"/>
      <c r="C19" s="1336"/>
      <c r="D19" s="3104"/>
      <c r="E19" s="3106"/>
      <c r="F19" s="1328"/>
      <c r="G19" s="3104"/>
      <c r="H19" s="3106"/>
      <c r="I19" s="1328"/>
      <c r="J19" s="3104"/>
      <c r="K19" s="3106"/>
      <c r="L19" s="1328"/>
      <c r="M19" s="3104"/>
      <c r="N19" s="3106"/>
      <c r="O19" s="1328"/>
      <c r="P19" s="3104"/>
      <c r="Q19" s="3106"/>
      <c r="R19" s="1328"/>
      <c r="S19" s="3104"/>
      <c r="T19" s="3105"/>
    </row>
    <row r="20" spans="1:20">
      <c r="A20" s="248" t="s">
        <v>1205</v>
      </c>
      <c r="B20" s="1342"/>
      <c r="C20" s="1336" t="s">
        <v>1206</v>
      </c>
      <c r="D20" s="3078"/>
      <c r="E20" s="3078"/>
      <c r="F20" s="1328"/>
      <c r="G20" s="3078"/>
      <c r="H20" s="3078"/>
      <c r="I20" s="1328"/>
      <c r="J20" s="3078"/>
      <c r="K20" s="3078"/>
      <c r="L20" s="1328"/>
      <c r="M20" s="3078"/>
      <c r="N20" s="3078"/>
      <c r="O20" s="1328"/>
      <c r="P20" s="3078"/>
      <c r="Q20" s="3078"/>
      <c r="R20" s="1328"/>
      <c r="S20" s="3078"/>
      <c r="T20" s="3079"/>
    </row>
    <row r="21" spans="1:20">
      <c r="A21" s="248" t="s">
        <v>1207</v>
      </c>
      <c r="B21" s="1342"/>
      <c r="C21" s="1336" t="s">
        <v>1206</v>
      </c>
      <c r="D21" s="3078"/>
      <c r="E21" s="3078"/>
      <c r="F21" s="1328"/>
      <c r="G21" s="3078"/>
      <c r="H21" s="3078"/>
      <c r="I21" s="1328"/>
      <c r="J21" s="3078"/>
      <c r="K21" s="3078"/>
      <c r="L21" s="1328"/>
      <c r="M21" s="3078"/>
      <c r="N21" s="3078"/>
      <c r="O21" s="1328"/>
      <c r="P21" s="3078"/>
      <c r="Q21" s="3078"/>
      <c r="R21" s="1328"/>
      <c r="S21" s="3078"/>
      <c r="T21" s="3079"/>
    </row>
    <row r="22" spans="1:20">
      <c r="A22" s="248" t="s">
        <v>1208</v>
      </c>
      <c r="B22" s="1342"/>
      <c r="C22" s="1336" t="s">
        <v>1206</v>
      </c>
      <c r="D22" s="3078"/>
      <c r="E22" s="3078"/>
      <c r="F22" s="1328"/>
      <c r="G22" s="3078"/>
      <c r="H22" s="3078"/>
      <c r="I22" s="1328"/>
      <c r="J22" s="3078"/>
      <c r="K22" s="3078"/>
      <c r="L22" s="1328"/>
      <c r="M22" s="3078"/>
      <c r="N22" s="3078"/>
      <c r="O22" s="1328"/>
      <c r="P22" s="3078"/>
      <c r="Q22" s="3078"/>
      <c r="R22" s="1328"/>
      <c r="S22" s="3078"/>
      <c r="T22" s="3079"/>
    </row>
    <row r="23" spans="1:20">
      <c r="A23" s="248" t="s">
        <v>1209</v>
      </c>
      <c r="B23" s="1342"/>
      <c r="C23" s="1336" t="s">
        <v>1206</v>
      </c>
      <c r="D23" s="3078"/>
      <c r="E23" s="3078"/>
      <c r="F23" s="1328"/>
      <c r="G23" s="3078"/>
      <c r="H23" s="3078"/>
      <c r="I23" s="1328"/>
      <c r="J23" s="3078"/>
      <c r="K23" s="3078"/>
      <c r="L23" s="1328"/>
      <c r="M23" s="3078"/>
      <c r="N23" s="3078"/>
      <c r="O23" s="1328"/>
      <c r="P23" s="3078"/>
      <c r="Q23" s="3078"/>
      <c r="R23" s="1328"/>
      <c r="S23" s="3078"/>
      <c r="T23" s="3079"/>
    </row>
    <row r="24" spans="1:20">
      <c r="A24" s="248" t="s">
        <v>1210</v>
      </c>
      <c r="B24" s="1342"/>
      <c r="C24" s="1336" t="s">
        <v>1203</v>
      </c>
      <c r="D24" s="3080">
        <f>D17+SUM(D20:E23)</f>
        <v>0</v>
      </c>
      <c r="E24" s="3080"/>
      <c r="F24" s="1328"/>
      <c r="G24" s="3080">
        <f>G17+SUM(G20:H23)</f>
        <v>0</v>
      </c>
      <c r="H24" s="3080"/>
      <c r="I24" s="1328"/>
      <c r="J24" s="3080">
        <f>J17+SUM(J20:K23)</f>
        <v>0</v>
      </c>
      <c r="K24" s="3080"/>
      <c r="L24" s="1328"/>
      <c r="M24" s="3080">
        <f>M17+SUM(M20:N23)</f>
        <v>0</v>
      </c>
      <c r="N24" s="3080"/>
      <c r="O24" s="1328"/>
      <c r="P24" s="3080">
        <f>P17+SUM(P20:Q23)</f>
        <v>0</v>
      </c>
      <c r="Q24" s="3080"/>
      <c r="R24" s="1328"/>
      <c r="S24" s="3080">
        <f>S17+SUM(S20:T23)</f>
        <v>0</v>
      </c>
      <c r="T24" s="3081"/>
    </row>
    <row r="25" spans="1:20">
      <c r="A25" s="1330"/>
      <c r="B25" s="258"/>
      <c r="C25" s="1331"/>
      <c r="D25" s="244"/>
      <c r="E25" s="1332"/>
      <c r="F25" s="1328"/>
      <c r="G25" s="244"/>
      <c r="H25" s="1332"/>
      <c r="I25" s="1328"/>
      <c r="J25" s="244"/>
      <c r="K25" s="1332"/>
      <c r="L25" s="1328"/>
      <c r="M25" s="244"/>
      <c r="N25" s="1332"/>
      <c r="O25" s="1328"/>
      <c r="P25" s="244"/>
      <c r="Q25" s="1332"/>
      <c r="R25" s="1328"/>
      <c r="S25" s="244"/>
      <c r="T25" s="1333"/>
    </row>
    <row r="26" spans="1:20">
      <c r="A26" s="1330" t="s">
        <v>1211</v>
      </c>
      <c r="B26" s="258"/>
      <c r="C26" s="1331"/>
      <c r="D26" s="3102">
        <v>1</v>
      </c>
      <c r="E26" s="3102"/>
      <c r="F26" s="1328"/>
      <c r="G26" s="3102"/>
      <c r="H26" s="3102"/>
      <c r="I26" s="1328"/>
      <c r="J26" s="3102"/>
      <c r="K26" s="3102"/>
      <c r="L26" s="1328"/>
      <c r="M26" s="3102"/>
      <c r="N26" s="3102"/>
      <c r="O26" s="1328"/>
      <c r="P26" s="3102"/>
      <c r="Q26" s="3102"/>
      <c r="R26" s="1328"/>
      <c r="S26" s="3102"/>
      <c r="T26" s="3103"/>
    </row>
    <row r="27" spans="1:20">
      <c r="A27" s="1330"/>
      <c r="B27" s="258"/>
      <c r="C27" s="1331"/>
      <c r="D27" s="244"/>
      <c r="E27" s="1332"/>
      <c r="F27" s="1328"/>
      <c r="G27" s="244"/>
      <c r="H27" s="1332"/>
      <c r="I27" s="1328"/>
      <c r="J27" s="244"/>
      <c r="K27" s="1332"/>
      <c r="L27" s="1328"/>
      <c r="M27" s="244"/>
      <c r="N27" s="1332"/>
      <c r="O27" s="1328"/>
      <c r="P27" s="244"/>
      <c r="Q27" s="1332"/>
      <c r="R27" s="1328"/>
      <c r="S27" s="244"/>
      <c r="T27" s="1333"/>
    </row>
    <row r="28" spans="1:20">
      <c r="A28" s="1330" t="s">
        <v>1212</v>
      </c>
      <c r="B28" s="258"/>
      <c r="C28" s="1331"/>
      <c r="D28" s="3080">
        <f>D24*D26</f>
        <v>0</v>
      </c>
      <c r="E28" s="3080"/>
      <c r="F28" s="1328"/>
      <c r="G28" s="3080">
        <f>G24*G26</f>
        <v>0</v>
      </c>
      <c r="H28" s="3080"/>
      <c r="I28" s="1328"/>
      <c r="J28" s="3080">
        <f>J24*J26</f>
        <v>0</v>
      </c>
      <c r="K28" s="3080"/>
      <c r="L28" s="1328"/>
      <c r="M28" s="3080">
        <f>M24*M26</f>
        <v>0</v>
      </c>
      <c r="N28" s="3080"/>
      <c r="O28" s="1328"/>
      <c r="P28" s="3080">
        <f>P24*P26</f>
        <v>0</v>
      </c>
      <c r="Q28" s="3080"/>
      <c r="R28" s="1328"/>
      <c r="S28" s="3080">
        <f>S24*S26</f>
        <v>0</v>
      </c>
      <c r="T28" s="3081"/>
    </row>
    <row r="29" spans="1:20">
      <c r="A29" s="1330"/>
      <c r="B29" s="258"/>
      <c r="C29" s="1331"/>
      <c r="D29" s="244"/>
      <c r="E29" s="1332"/>
      <c r="F29" s="1328"/>
      <c r="G29" s="244"/>
      <c r="H29" s="1332"/>
      <c r="I29" s="1328"/>
      <c r="J29" s="244"/>
      <c r="K29" s="1332"/>
      <c r="L29" s="1328"/>
      <c r="M29" s="244"/>
      <c r="N29" s="1332"/>
      <c r="O29" s="1328"/>
      <c r="P29" s="244"/>
      <c r="Q29" s="1332"/>
      <c r="R29" s="1328"/>
      <c r="S29" s="244"/>
      <c r="T29" s="1333"/>
    </row>
    <row r="30" spans="1:20">
      <c r="A30" s="1330" t="s">
        <v>1213</v>
      </c>
      <c r="B30" s="258"/>
      <c r="C30" s="1331"/>
      <c r="D30" s="3078">
        <v>0</v>
      </c>
      <c r="E30" s="3078"/>
      <c r="F30" s="1328"/>
      <c r="G30" s="3078"/>
      <c r="H30" s="3078"/>
      <c r="I30" s="1328"/>
      <c r="J30" s="3078"/>
      <c r="K30" s="3078"/>
      <c r="L30" s="1328"/>
      <c r="M30" s="3078"/>
      <c r="N30" s="3078"/>
      <c r="O30" s="1328"/>
      <c r="P30" s="3078"/>
      <c r="Q30" s="3078"/>
      <c r="R30" s="1328"/>
      <c r="S30" s="3078"/>
      <c r="T30" s="3079"/>
    </row>
    <row r="31" spans="1:20">
      <c r="A31" s="1330" t="s">
        <v>1214</v>
      </c>
      <c r="B31" s="258"/>
      <c r="C31" s="1331"/>
      <c r="D31" s="3091">
        <f>D26</f>
        <v>1</v>
      </c>
      <c r="E31" s="3107"/>
      <c r="F31" s="1328"/>
      <c r="G31" s="3091">
        <f>G26</f>
        <v>0</v>
      </c>
      <c r="H31" s="3107"/>
      <c r="I31" s="1328"/>
      <c r="J31" s="3091">
        <f>J26</f>
        <v>0</v>
      </c>
      <c r="K31" s="3107"/>
      <c r="L31" s="1328"/>
      <c r="M31" s="3091">
        <f>M26</f>
        <v>0</v>
      </c>
      <c r="N31" s="3107"/>
      <c r="O31" s="1328"/>
      <c r="P31" s="3091">
        <f>P26</f>
        <v>0</v>
      </c>
      <c r="Q31" s="3107"/>
      <c r="R31" s="1328"/>
      <c r="S31" s="3091">
        <f>S26</f>
        <v>0</v>
      </c>
      <c r="T31" s="3092"/>
    </row>
    <row r="32" spans="1:20">
      <c r="A32" s="1330" t="s">
        <v>1215</v>
      </c>
      <c r="B32" s="258"/>
      <c r="C32" s="1331"/>
      <c r="D32" s="3080">
        <f>D30*D31</f>
        <v>0</v>
      </c>
      <c r="E32" s="3080"/>
      <c r="F32" s="1328"/>
      <c r="G32" s="3080">
        <f>G30*G31</f>
        <v>0</v>
      </c>
      <c r="H32" s="3080"/>
      <c r="I32" s="1328"/>
      <c r="J32" s="3080">
        <f>J30*J31</f>
        <v>0</v>
      </c>
      <c r="K32" s="3080"/>
      <c r="L32" s="1328"/>
      <c r="M32" s="3080">
        <f>M30*M31</f>
        <v>0</v>
      </c>
      <c r="N32" s="3080"/>
      <c r="O32" s="1328"/>
      <c r="P32" s="3080">
        <f>P30*P31</f>
        <v>0</v>
      </c>
      <c r="Q32" s="3080"/>
      <c r="R32" s="1328"/>
      <c r="S32" s="3080">
        <f>S30*S31</f>
        <v>0</v>
      </c>
      <c r="T32" s="3081"/>
    </row>
    <row r="33" spans="1:20">
      <c r="A33" s="1330"/>
      <c r="B33" s="258"/>
      <c r="C33" s="1331"/>
      <c r="D33" s="244"/>
      <c r="E33" s="1332"/>
      <c r="F33" s="1328"/>
      <c r="G33" s="244"/>
      <c r="H33" s="1332"/>
      <c r="I33" s="1328"/>
      <c r="J33" s="244"/>
      <c r="K33" s="1332"/>
      <c r="L33" s="1328"/>
      <c r="M33" s="244"/>
      <c r="N33" s="1332"/>
      <c r="O33" s="1328"/>
      <c r="P33" s="244"/>
      <c r="Q33" s="1332"/>
      <c r="R33" s="1328"/>
      <c r="S33" s="244"/>
      <c r="T33" s="1333"/>
    </row>
    <row r="34" spans="1:20" ht="17" thickBot="1">
      <c r="A34" s="1330" t="s">
        <v>1216</v>
      </c>
      <c r="B34" s="256"/>
      <c r="C34" s="1331"/>
      <c r="D34" s="3080">
        <f>D28-D32</f>
        <v>0</v>
      </c>
      <c r="E34" s="3080"/>
      <c r="F34" s="1328"/>
      <c r="G34" s="3080">
        <f>G28-G32</f>
        <v>0</v>
      </c>
      <c r="H34" s="3080"/>
      <c r="I34" s="1328"/>
      <c r="J34" s="3080">
        <f>J28-J32</f>
        <v>0</v>
      </c>
      <c r="K34" s="3080"/>
      <c r="L34" s="1328"/>
      <c r="M34" s="3080">
        <f>M28-M32</f>
        <v>0</v>
      </c>
      <c r="N34" s="3080"/>
      <c r="O34" s="1328"/>
      <c r="P34" s="3080">
        <f>P28-P32</f>
        <v>0</v>
      </c>
      <c r="Q34" s="3080"/>
      <c r="R34" s="1328"/>
      <c r="S34" s="3080">
        <f>S28-S32</f>
        <v>0</v>
      </c>
      <c r="T34" s="3081"/>
    </row>
    <row r="35" spans="1:20" ht="17" thickBot="1">
      <c r="A35" s="658">
        <f>D34+G34+J34+M34+P34+S34</f>
        <v>0</v>
      </c>
      <c r="B35" s="1331"/>
      <c r="C35" s="1331"/>
      <c r="D35" s="1151"/>
      <c r="E35" s="1151"/>
      <c r="F35" s="1328"/>
      <c r="G35" s="1151"/>
      <c r="H35" s="1151"/>
      <c r="I35" s="1328"/>
      <c r="J35" s="1151"/>
      <c r="K35" s="1151"/>
      <c r="L35" s="1328"/>
      <c r="M35" s="1151"/>
      <c r="N35" s="1151"/>
      <c r="O35" s="1328"/>
      <c r="P35" s="1151"/>
      <c r="Q35" s="1151"/>
      <c r="R35" s="1328"/>
      <c r="S35" s="1151"/>
      <c r="T35" s="1337"/>
    </row>
    <row r="36" spans="1:20">
      <c r="A36" s="1330"/>
      <c r="B36" s="1332"/>
      <c r="C36" s="1331"/>
      <c r="D36" s="1151"/>
      <c r="E36" s="1151"/>
      <c r="F36" s="1328"/>
      <c r="G36" s="1151"/>
      <c r="H36" s="1151"/>
      <c r="I36" s="1328"/>
      <c r="J36" s="1151"/>
      <c r="K36" s="1151"/>
      <c r="L36" s="1328"/>
      <c r="M36" s="1151"/>
      <c r="N36" s="1151"/>
      <c r="O36" s="1328"/>
      <c r="P36" s="1151"/>
      <c r="Q36" s="1151"/>
      <c r="R36" s="1328"/>
      <c r="S36" s="1151"/>
      <c r="T36" s="1337"/>
    </row>
    <row r="37" spans="1:20">
      <c r="A37" s="1090" t="s">
        <v>1150</v>
      </c>
      <c r="B37" s="255"/>
      <c r="C37" s="1331"/>
      <c r="D37" s="3078"/>
      <c r="E37" s="3078"/>
      <c r="F37" s="1328"/>
      <c r="G37" s="3078"/>
      <c r="H37" s="3078"/>
      <c r="I37" s="1328"/>
      <c r="J37" s="3078"/>
      <c r="K37" s="3078"/>
      <c r="L37" s="1328"/>
      <c r="M37" s="3078"/>
      <c r="N37" s="3078"/>
      <c r="O37" s="1328"/>
      <c r="P37" s="3078"/>
      <c r="Q37" s="3078"/>
      <c r="R37" s="1328"/>
      <c r="S37" s="3078"/>
      <c r="T37" s="3079"/>
    </row>
    <row r="38" spans="1:20">
      <c r="A38" s="1090" t="s">
        <v>1152</v>
      </c>
      <c r="B38" s="258"/>
      <c r="C38" s="1331"/>
      <c r="D38" s="3078"/>
      <c r="E38" s="3078"/>
      <c r="F38" s="1328"/>
      <c r="G38" s="3078"/>
      <c r="H38" s="3078"/>
      <c r="I38" s="1328"/>
      <c r="J38" s="3078"/>
      <c r="K38" s="3078"/>
      <c r="L38" s="1328"/>
      <c r="M38" s="3078"/>
      <c r="N38" s="3078"/>
      <c r="O38" s="1328"/>
      <c r="P38" s="3078"/>
      <c r="Q38" s="3078"/>
      <c r="R38" s="1328"/>
      <c r="S38" s="3078"/>
      <c r="T38" s="3079"/>
    </row>
    <row r="39" spans="1:20">
      <c r="A39" s="1090" t="s">
        <v>1154</v>
      </c>
      <c r="B39" s="258"/>
      <c r="C39" s="1331"/>
      <c r="D39" s="3078"/>
      <c r="E39" s="3078"/>
      <c r="F39" s="1328"/>
      <c r="G39" s="3078"/>
      <c r="H39" s="3078"/>
      <c r="I39" s="1328"/>
      <c r="J39" s="3078"/>
      <c r="K39" s="3078"/>
      <c r="L39" s="1328"/>
      <c r="M39" s="3078"/>
      <c r="N39" s="3078"/>
      <c r="O39" s="1328"/>
      <c r="P39" s="3078"/>
      <c r="Q39" s="3078"/>
      <c r="R39" s="1328"/>
      <c r="S39" s="3078"/>
      <c r="T39" s="3079"/>
    </row>
    <row r="40" spans="1:20">
      <c r="A40" s="1090" t="s">
        <v>1156</v>
      </c>
      <c r="B40" s="258"/>
      <c r="C40" s="1331"/>
      <c r="D40" s="3078"/>
      <c r="E40" s="3078"/>
      <c r="F40" s="1328"/>
      <c r="G40" s="3078"/>
      <c r="H40" s="3078"/>
      <c r="I40" s="1328"/>
      <c r="J40" s="3078"/>
      <c r="K40" s="3078"/>
      <c r="L40" s="1328"/>
      <c r="M40" s="3078"/>
      <c r="N40" s="3078"/>
      <c r="O40" s="1328"/>
      <c r="P40" s="3078"/>
      <c r="Q40" s="3078"/>
      <c r="R40" s="1328"/>
      <c r="S40" s="3078"/>
      <c r="T40" s="3079"/>
    </row>
    <row r="41" spans="1:20">
      <c r="A41" s="1090"/>
      <c r="B41" s="256"/>
      <c r="C41" s="1331"/>
      <c r="D41" s="3080">
        <f>IFERROR(AVERAGE(D37:E40),0)</f>
        <v>0</v>
      </c>
      <c r="E41" s="3080"/>
      <c r="F41" s="1328"/>
      <c r="G41" s="3080">
        <f>IFERROR(AVERAGE(G37:H40),0)</f>
        <v>0</v>
      </c>
      <c r="H41" s="3080"/>
      <c r="I41" s="1328"/>
      <c r="J41" s="3080">
        <f>IFERROR(AVERAGE(J37:K40),0)</f>
        <v>0</v>
      </c>
      <c r="K41" s="3080"/>
      <c r="L41" s="1328"/>
      <c r="M41" s="3080">
        <f>IFERROR(AVERAGE(M37:N40),0)</f>
        <v>0</v>
      </c>
      <c r="N41" s="3080"/>
      <c r="O41" s="1328"/>
      <c r="P41" s="3080">
        <f>IFERROR(AVERAGE(P37:Q40),0)</f>
        <v>0</v>
      </c>
      <c r="Q41" s="3080"/>
      <c r="R41" s="1328"/>
      <c r="S41" s="3080">
        <f>IFERROR(AVERAGE(S37:T40),0)</f>
        <v>0</v>
      </c>
      <c r="T41" s="3081"/>
    </row>
    <row r="42" spans="1:20">
      <c r="A42" s="1090"/>
      <c r="B42" s="1332"/>
      <c r="C42" s="1331"/>
      <c r="D42" s="1151"/>
      <c r="E42" s="1151"/>
      <c r="F42" s="1328"/>
      <c r="G42" s="1151"/>
      <c r="H42" s="1151"/>
      <c r="I42" s="1328"/>
      <c r="J42" s="1151"/>
      <c r="K42" s="1151"/>
      <c r="L42" s="1328"/>
      <c r="M42" s="1151"/>
      <c r="N42" s="1151"/>
      <c r="O42" s="1328"/>
      <c r="P42" s="1151"/>
      <c r="Q42" s="1151"/>
      <c r="R42" s="1328"/>
      <c r="S42" s="1151"/>
      <c r="T42" s="1337"/>
    </row>
    <row r="43" spans="1:20">
      <c r="A43" s="1090" t="s">
        <v>1160</v>
      </c>
      <c r="B43" s="255"/>
      <c r="C43" s="1331"/>
      <c r="D43" s="3072">
        <f>D26*D41</f>
        <v>0</v>
      </c>
      <c r="E43" s="3072"/>
      <c r="F43" s="1328"/>
      <c r="G43" s="3072">
        <f>G26*G41</f>
        <v>0</v>
      </c>
      <c r="H43" s="3072"/>
      <c r="I43" s="1328"/>
      <c r="J43" s="3072">
        <f>J26*J41</f>
        <v>0</v>
      </c>
      <c r="K43" s="3072"/>
      <c r="L43" s="1328"/>
      <c r="M43" s="3072">
        <f>M26*M41</f>
        <v>0</v>
      </c>
      <c r="N43" s="3072"/>
      <c r="O43" s="1328"/>
      <c r="P43" s="3072">
        <f>P26*P41</f>
        <v>0</v>
      </c>
      <c r="Q43" s="3072"/>
      <c r="R43" s="1328"/>
      <c r="S43" s="3072">
        <f>S26*S41</f>
        <v>0</v>
      </c>
      <c r="T43" s="3073"/>
    </row>
    <row r="44" spans="1:20">
      <c r="A44" s="1090" t="s">
        <v>1161</v>
      </c>
      <c r="B44" s="258"/>
      <c r="C44" s="1331"/>
      <c r="D44" s="3072">
        <f>D9</f>
        <v>0</v>
      </c>
      <c r="E44" s="3072"/>
      <c r="F44" s="1328"/>
      <c r="G44" s="3072">
        <f>G9</f>
        <v>0</v>
      </c>
      <c r="H44" s="3072"/>
      <c r="I44" s="1328"/>
      <c r="J44" s="3072">
        <f>J9</f>
        <v>0</v>
      </c>
      <c r="K44" s="3072"/>
      <c r="L44" s="1328"/>
      <c r="M44" s="3072">
        <f>M9</f>
        <v>0</v>
      </c>
      <c r="N44" s="3072"/>
      <c r="O44" s="1328"/>
      <c r="P44" s="3072">
        <f>P9</f>
        <v>0</v>
      </c>
      <c r="Q44" s="3072"/>
      <c r="R44" s="1328"/>
      <c r="S44" s="3072">
        <f>S9</f>
        <v>0</v>
      </c>
      <c r="T44" s="3073"/>
    </row>
    <row r="45" spans="1:20">
      <c r="A45" s="1090" t="s">
        <v>1163</v>
      </c>
      <c r="B45" s="258"/>
      <c r="C45" s="1331"/>
      <c r="D45" s="3072">
        <f>D41-D44</f>
        <v>0</v>
      </c>
      <c r="E45" s="3072"/>
      <c r="F45" s="1328"/>
      <c r="G45" s="3072">
        <f>G41-G44</f>
        <v>0</v>
      </c>
      <c r="H45" s="3072"/>
      <c r="I45" s="1328"/>
      <c r="J45" s="3072">
        <f>J41-J44</f>
        <v>0</v>
      </c>
      <c r="K45" s="3072"/>
      <c r="L45" s="1328"/>
      <c r="M45" s="3072">
        <f>M41-M44</f>
        <v>0</v>
      </c>
      <c r="N45" s="3072"/>
      <c r="O45" s="1328"/>
      <c r="P45" s="3072">
        <f>P41-P44</f>
        <v>0</v>
      </c>
      <c r="Q45" s="3072"/>
      <c r="R45" s="1328"/>
      <c r="S45" s="3072">
        <f>S41-S44</f>
        <v>0</v>
      </c>
      <c r="T45" s="3073"/>
    </row>
    <row r="46" spans="1:20">
      <c r="A46" s="1090" t="s">
        <v>1217</v>
      </c>
      <c r="B46" s="258"/>
      <c r="C46" s="1331"/>
      <c r="D46" s="3074">
        <f>IFERROR(D45/D43,0)</f>
        <v>0</v>
      </c>
      <c r="E46" s="3075"/>
      <c r="F46" s="1328"/>
      <c r="G46" s="3074">
        <f>IFERROR(G45/G43,0)</f>
        <v>0</v>
      </c>
      <c r="H46" s="3075"/>
      <c r="I46" s="1328"/>
      <c r="J46" s="3074">
        <f>IFERROR(J45/J43,0)</f>
        <v>0</v>
      </c>
      <c r="K46" s="3075"/>
      <c r="L46" s="1328"/>
      <c r="M46" s="3074">
        <f>IFERROR(M45/M43,0)</f>
        <v>0</v>
      </c>
      <c r="N46" s="3075"/>
      <c r="O46" s="1328"/>
      <c r="P46" s="3074">
        <f>IFERROR(P45/P43,0)</f>
        <v>0</v>
      </c>
      <c r="Q46" s="3075"/>
      <c r="R46" s="1328"/>
      <c r="S46" s="3074">
        <f>IFERROR(S45/S43,0)</f>
        <v>0</v>
      </c>
      <c r="T46" s="3075"/>
    </row>
    <row r="47" spans="1:20">
      <c r="A47" s="1090" t="s">
        <v>1165</v>
      </c>
      <c r="B47" s="258"/>
      <c r="C47" s="1331"/>
      <c r="D47" s="3076">
        <v>0.8</v>
      </c>
      <c r="E47" s="3076"/>
      <c r="F47" s="1328"/>
      <c r="G47" s="3076">
        <v>0.8</v>
      </c>
      <c r="H47" s="3076"/>
      <c r="I47" s="1328"/>
      <c r="J47" s="3076">
        <v>0.8</v>
      </c>
      <c r="K47" s="3076"/>
      <c r="L47" s="1328"/>
      <c r="M47" s="3076">
        <v>0.8</v>
      </c>
      <c r="N47" s="3076"/>
      <c r="O47" s="1328"/>
      <c r="P47" s="3076">
        <v>0.8</v>
      </c>
      <c r="Q47" s="3076"/>
      <c r="R47" s="1328"/>
      <c r="S47" s="3076">
        <v>0.8</v>
      </c>
      <c r="T47" s="3077"/>
    </row>
    <row r="48" spans="1:20">
      <c r="A48" s="1090" t="s">
        <v>1167</v>
      </c>
      <c r="B48" s="256"/>
      <c r="C48" s="1331"/>
      <c r="D48" s="3072">
        <f>(D41*D47)-D44</f>
        <v>0</v>
      </c>
      <c r="E48" s="3072"/>
      <c r="F48" s="1328"/>
      <c r="G48" s="3072">
        <f>(G41*G47)-G44</f>
        <v>0</v>
      </c>
      <c r="H48" s="3072"/>
      <c r="I48" s="1328"/>
      <c r="J48" s="3072">
        <f>(J41*J47)-J44</f>
        <v>0</v>
      </c>
      <c r="K48" s="3072"/>
      <c r="L48" s="1328"/>
      <c r="M48" s="3072">
        <f>(M41*M47)-M44</f>
        <v>0</v>
      </c>
      <c r="N48" s="3072"/>
      <c r="O48" s="1328"/>
      <c r="P48" s="3072">
        <f>(P41*P47)-P44</f>
        <v>0</v>
      </c>
      <c r="Q48" s="3072"/>
      <c r="R48" s="1328"/>
      <c r="S48" s="3072">
        <f>(S41*S47)-S44</f>
        <v>0</v>
      </c>
      <c r="T48" s="3073"/>
    </row>
    <row r="49" spans="1:20">
      <c r="A49" s="1338"/>
      <c r="B49" s="1339"/>
      <c r="C49" s="1331"/>
      <c r="D49" s="244"/>
      <c r="E49" s="1332"/>
      <c r="F49" s="1328"/>
      <c r="G49" s="1328"/>
      <c r="H49" s="1332"/>
      <c r="I49" s="1328"/>
      <c r="J49" s="1328"/>
      <c r="K49" s="1328"/>
      <c r="L49" s="1328"/>
      <c r="M49" s="244"/>
      <c r="N49" s="244"/>
      <c r="O49" s="1328"/>
      <c r="P49" s="244"/>
      <c r="Q49" s="244"/>
      <c r="R49" s="1328"/>
      <c r="S49" s="244"/>
      <c r="T49" s="251"/>
    </row>
    <row r="50" spans="1:20" ht="17" thickBot="1">
      <c r="A50" s="3093" t="s">
        <v>447</v>
      </c>
      <c r="B50" s="3094"/>
      <c r="C50" s="3094"/>
      <c r="D50" s="3094"/>
      <c r="E50" s="3094"/>
      <c r="F50" s="3094"/>
      <c r="G50" s="3094"/>
      <c r="H50" s="3094"/>
      <c r="I50" s="3094"/>
      <c r="J50" s="3094"/>
      <c r="K50" s="3094"/>
      <c r="L50" s="3094"/>
      <c r="M50" s="3094"/>
      <c r="N50" s="3094"/>
      <c r="O50" s="3094"/>
      <c r="P50" s="3094"/>
      <c r="Q50" s="3094"/>
      <c r="R50" s="3094"/>
      <c r="S50" s="3094"/>
      <c r="T50" s="3095"/>
    </row>
    <row r="51" spans="1:20">
      <c r="A51" s="3088"/>
      <c r="B51" s="3089"/>
      <c r="C51" s="3089"/>
      <c r="D51" s="3089"/>
      <c r="E51" s="3089"/>
      <c r="F51" s="3089"/>
      <c r="G51" s="3089"/>
      <c r="H51" s="3089"/>
      <c r="I51" s="3089"/>
      <c r="J51" s="3089"/>
      <c r="K51" s="3089"/>
      <c r="L51" s="3089"/>
      <c r="M51" s="3089"/>
      <c r="N51" s="3089"/>
      <c r="O51" s="3089"/>
      <c r="P51" s="3089"/>
      <c r="Q51" s="3089"/>
      <c r="R51" s="3089"/>
      <c r="S51" s="3089"/>
      <c r="T51" s="3090"/>
    </row>
    <row r="52" spans="1:20">
      <c r="A52" s="3085"/>
      <c r="B52" s="3086"/>
      <c r="C52" s="3086"/>
      <c r="D52" s="3086"/>
      <c r="E52" s="3086"/>
      <c r="F52" s="3086"/>
      <c r="G52" s="3086"/>
      <c r="H52" s="3086"/>
      <c r="I52" s="3086"/>
      <c r="J52" s="3086"/>
      <c r="K52" s="3086"/>
      <c r="L52" s="3086"/>
      <c r="M52" s="3086"/>
      <c r="N52" s="3086"/>
      <c r="O52" s="3086"/>
      <c r="P52" s="3086"/>
      <c r="Q52" s="3086"/>
      <c r="R52" s="3086"/>
      <c r="S52" s="3086"/>
      <c r="T52" s="3087"/>
    </row>
    <row r="53" spans="1:20">
      <c r="A53" s="3085"/>
      <c r="B53" s="3086"/>
      <c r="C53" s="3086"/>
      <c r="D53" s="3086"/>
      <c r="E53" s="3086"/>
      <c r="F53" s="3086"/>
      <c r="G53" s="3086"/>
      <c r="H53" s="3086"/>
      <c r="I53" s="3086"/>
      <c r="J53" s="3086"/>
      <c r="K53" s="3086"/>
      <c r="L53" s="3086"/>
      <c r="M53" s="3086"/>
      <c r="N53" s="3086"/>
      <c r="O53" s="3086"/>
      <c r="P53" s="3086"/>
      <c r="Q53" s="3086"/>
      <c r="R53" s="3086"/>
      <c r="S53" s="3086"/>
      <c r="T53" s="3087"/>
    </row>
    <row r="54" spans="1:20">
      <c r="A54" s="3085"/>
      <c r="B54" s="3086"/>
      <c r="C54" s="3086"/>
      <c r="D54" s="3086"/>
      <c r="E54" s="3086"/>
      <c r="F54" s="3086"/>
      <c r="G54" s="3086"/>
      <c r="H54" s="3086"/>
      <c r="I54" s="3086"/>
      <c r="J54" s="3086"/>
      <c r="K54" s="3086"/>
      <c r="L54" s="3086"/>
      <c r="M54" s="3086"/>
      <c r="N54" s="3086"/>
      <c r="O54" s="3086"/>
      <c r="P54" s="3086"/>
      <c r="Q54" s="3086"/>
      <c r="R54" s="3086"/>
      <c r="S54" s="3086"/>
      <c r="T54" s="3087"/>
    </row>
    <row r="55" spans="1:20">
      <c r="A55" s="3085"/>
      <c r="B55" s="3086"/>
      <c r="C55" s="3086"/>
      <c r="D55" s="3086"/>
      <c r="E55" s="3086"/>
      <c r="F55" s="3086"/>
      <c r="G55" s="3086"/>
      <c r="H55" s="3086"/>
      <c r="I55" s="3086"/>
      <c r="J55" s="3086"/>
      <c r="K55" s="3086"/>
      <c r="L55" s="3086"/>
      <c r="M55" s="3086"/>
      <c r="N55" s="3086"/>
      <c r="O55" s="3086"/>
      <c r="P55" s="3086"/>
      <c r="Q55" s="3086"/>
      <c r="R55" s="3086"/>
      <c r="S55" s="3086"/>
      <c r="T55" s="3087"/>
    </row>
    <row r="56" spans="1:20">
      <c r="A56" s="3085"/>
      <c r="B56" s="3086"/>
      <c r="C56" s="3086"/>
      <c r="D56" s="3086"/>
      <c r="E56" s="3086"/>
      <c r="F56" s="3086"/>
      <c r="G56" s="3086"/>
      <c r="H56" s="3086"/>
      <c r="I56" s="3086"/>
      <c r="J56" s="3086"/>
      <c r="K56" s="3086"/>
      <c r="L56" s="3086"/>
      <c r="M56" s="3086"/>
      <c r="N56" s="3086"/>
      <c r="O56" s="3086"/>
      <c r="P56" s="3086"/>
      <c r="Q56" s="3086"/>
      <c r="R56" s="3086"/>
      <c r="S56" s="3086"/>
      <c r="T56" s="3087"/>
    </row>
    <row r="57" spans="1:20">
      <c r="A57" s="3085"/>
      <c r="B57" s="3086"/>
      <c r="C57" s="3086"/>
      <c r="D57" s="3086"/>
      <c r="E57" s="3086"/>
      <c r="F57" s="3086"/>
      <c r="G57" s="3086"/>
      <c r="H57" s="3086"/>
      <c r="I57" s="3086"/>
      <c r="J57" s="3086"/>
      <c r="K57" s="3086"/>
      <c r="L57" s="3086"/>
      <c r="M57" s="3086"/>
      <c r="N57" s="3086"/>
      <c r="O57" s="3086"/>
      <c r="P57" s="3086"/>
      <c r="Q57" s="3086"/>
      <c r="R57" s="3086"/>
      <c r="S57" s="3086"/>
      <c r="T57" s="3087"/>
    </row>
    <row r="58" spans="1:20">
      <c r="A58" s="3085"/>
      <c r="B58" s="3086"/>
      <c r="C58" s="3086"/>
      <c r="D58" s="3086"/>
      <c r="E58" s="3086"/>
      <c r="F58" s="3086"/>
      <c r="G58" s="3086"/>
      <c r="H58" s="3086"/>
      <c r="I58" s="3086"/>
      <c r="J58" s="3086"/>
      <c r="K58" s="3086"/>
      <c r="L58" s="3086"/>
      <c r="M58" s="3086"/>
      <c r="N58" s="3086"/>
      <c r="O58" s="3086"/>
      <c r="P58" s="3086"/>
      <c r="Q58" s="3086"/>
      <c r="R58" s="3086"/>
      <c r="S58" s="3086"/>
      <c r="T58" s="3087"/>
    </row>
    <row r="59" spans="1:20">
      <c r="A59" s="3085"/>
      <c r="B59" s="3086"/>
      <c r="C59" s="3086"/>
      <c r="D59" s="3086"/>
      <c r="E59" s="3086"/>
      <c r="F59" s="3086"/>
      <c r="G59" s="3086"/>
      <c r="H59" s="3086"/>
      <c r="I59" s="3086"/>
      <c r="J59" s="3086"/>
      <c r="K59" s="3086"/>
      <c r="L59" s="3086"/>
      <c r="M59" s="3086"/>
      <c r="N59" s="3086"/>
      <c r="O59" s="3086"/>
      <c r="P59" s="3086"/>
      <c r="Q59" s="3086"/>
      <c r="R59" s="3086"/>
      <c r="S59" s="3086"/>
      <c r="T59" s="3087"/>
    </row>
    <row r="60" spans="1:20">
      <c r="A60" s="3085"/>
      <c r="B60" s="3086"/>
      <c r="C60" s="3086"/>
      <c r="D60" s="3086"/>
      <c r="E60" s="3086"/>
      <c r="F60" s="3086"/>
      <c r="G60" s="3086"/>
      <c r="H60" s="3086"/>
      <c r="I60" s="3086"/>
      <c r="J60" s="3086"/>
      <c r="K60" s="3086"/>
      <c r="L60" s="3086"/>
      <c r="M60" s="3086"/>
      <c r="N60" s="3086"/>
      <c r="O60" s="3086"/>
      <c r="P60" s="3086"/>
      <c r="Q60" s="3086"/>
      <c r="R60" s="3086"/>
      <c r="S60" s="3086"/>
      <c r="T60" s="3087"/>
    </row>
    <row r="61" spans="1:20">
      <c r="A61" s="3085"/>
      <c r="B61" s="3086"/>
      <c r="C61" s="3086"/>
      <c r="D61" s="3086"/>
      <c r="E61" s="3086"/>
      <c r="F61" s="3086"/>
      <c r="G61" s="3086"/>
      <c r="H61" s="3086"/>
      <c r="I61" s="3086"/>
      <c r="J61" s="3086"/>
      <c r="K61" s="3086"/>
      <c r="L61" s="3086"/>
      <c r="M61" s="3086"/>
      <c r="N61" s="3086"/>
      <c r="O61" s="3086"/>
      <c r="P61" s="3086"/>
      <c r="Q61" s="3086"/>
      <c r="R61" s="3086"/>
      <c r="S61" s="3086"/>
      <c r="T61" s="3087"/>
    </row>
    <row r="62" spans="1:20">
      <c r="A62" s="3085"/>
      <c r="B62" s="3086"/>
      <c r="C62" s="3086"/>
      <c r="D62" s="3086"/>
      <c r="E62" s="3086"/>
      <c r="F62" s="3086"/>
      <c r="G62" s="3086"/>
      <c r="H62" s="3086"/>
      <c r="I62" s="3086"/>
      <c r="J62" s="3086"/>
      <c r="K62" s="3086"/>
      <c r="L62" s="3086"/>
      <c r="M62" s="3086"/>
      <c r="N62" s="3086"/>
      <c r="O62" s="3086"/>
      <c r="P62" s="3086"/>
      <c r="Q62" s="3086"/>
      <c r="R62" s="3086"/>
      <c r="S62" s="3086"/>
      <c r="T62" s="3087"/>
    </row>
    <row r="63" spans="1:20">
      <c r="A63" s="3085"/>
      <c r="B63" s="3086"/>
      <c r="C63" s="3086"/>
      <c r="D63" s="3086"/>
      <c r="E63" s="3086"/>
      <c r="F63" s="3086"/>
      <c r="G63" s="3086"/>
      <c r="H63" s="3086"/>
      <c r="I63" s="3086"/>
      <c r="J63" s="3086"/>
      <c r="K63" s="3086"/>
      <c r="L63" s="3086"/>
      <c r="M63" s="3086"/>
      <c r="N63" s="3086"/>
      <c r="O63" s="3086"/>
      <c r="P63" s="3086"/>
      <c r="Q63" s="3086"/>
      <c r="R63" s="3086"/>
      <c r="S63" s="3086"/>
      <c r="T63" s="3087"/>
    </row>
    <row r="64" spans="1:20">
      <c r="A64" s="3085"/>
      <c r="B64" s="3086"/>
      <c r="C64" s="3086"/>
      <c r="D64" s="3086"/>
      <c r="E64" s="3086"/>
      <c r="F64" s="3086"/>
      <c r="G64" s="3086"/>
      <c r="H64" s="3086"/>
      <c r="I64" s="3086"/>
      <c r="J64" s="3086"/>
      <c r="K64" s="3086"/>
      <c r="L64" s="3086"/>
      <c r="M64" s="3086"/>
      <c r="N64" s="3086"/>
      <c r="O64" s="3086"/>
      <c r="P64" s="3086"/>
      <c r="Q64" s="3086"/>
      <c r="R64" s="3086"/>
      <c r="S64" s="3086"/>
      <c r="T64" s="3087"/>
    </row>
    <row r="65" spans="1:20">
      <c r="A65" s="3085"/>
      <c r="B65" s="3086"/>
      <c r="C65" s="3086"/>
      <c r="D65" s="3086"/>
      <c r="E65" s="3086"/>
      <c r="F65" s="3086"/>
      <c r="G65" s="3086"/>
      <c r="H65" s="3086"/>
      <c r="I65" s="3086"/>
      <c r="J65" s="3086"/>
      <c r="K65" s="3086"/>
      <c r="L65" s="3086"/>
      <c r="M65" s="3086"/>
      <c r="N65" s="3086"/>
      <c r="O65" s="3086"/>
      <c r="P65" s="3086"/>
      <c r="Q65" s="3086"/>
      <c r="R65" s="3086"/>
      <c r="S65" s="3086"/>
      <c r="T65" s="3087"/>
    </row>
    <row r="66" spans="1:20" ht="17" thickBot="1">
      <c r="A66" s="3082"/>
      <c r="B66" s="3083"/>
      <c r="C66" s="3083"/>
      <c r="D66" s="3083"/>
      <c r="E66" s="3083"/>
      <c r="F66" s="3083"/>
      <c r="G66" s="3083"/>
      <c r="H66" s="3083"/>
      <c r="I66" s="3083"/>
      <c r="J66" s="3083"/>
      <c r="K66" s="3083"/>
      <c r="L66" s="3083"/>
      <c r="M66" s="3083"/>
      <c r="N66" s="3083"/>
      <c r="O66" s="3083"/>
      <c r="P66" s="3083"/>
      <c r="Q66" s="3083"/>
      <c r="R66" s="3083"/>
      <c r="S66" s="3083"/>
      <c r="T66" s="3084"/>
    </row>
    <row r="67" spans="1:20">
      <c r="A67" s="1340"/>
      <c r="B67" s="1340"/>
      <c r="C67" s="1340"/>
      <c r="D67" s="1340"/>
      <c r="E67" s="1340"/>
      <c r="F67" s="1340"/>
      <c r="G67" s="1340"/>
      <c r="H67" s="1340"/>
      <c r="I67" s="1340"/>
      <c r="J67" s="1340"/>
      <c r="K67" s="1340"/>
      <c r="L67" s="1340"/>
      <c r="M67" s="1340"/>
      <c r="N67" s="1340"/>
      <c r="O67" s="1340"/>
      <c r="P67" s="1340"/>
      <c r="Q67" s="1340"/>
      <c r="R67" s="1340"/>
      <c r="S67" s="1340"/>
      <c r="T67" s="1340"/>
    </row>
    <row r="68" spans="1:20">
      <c r="A68" s="1340"/>
      <c r="B68" s="1340"/>
      <c r="C68" s="1340"/>
      <c r="D68" s="1340"/>
      <c r="E68" s="1340"/>
      <c r="F68" s="1340"/>
      <c r="G68" s="1340"/>
      <c r="H68" s="1340"/>
      <c r="I68" s="1340"/>
      <c r="J68" s="1340"/>
      <c r="K68" s="1340"/>
      <c r="L68" s="1340"/>
      <c r="M68" s="1340"/>
      <c r="N68" s="1340"/>
      <c r="O68" s="1340"/>
      <c r="P68" s="1340"/>
      <c r="Q68" s="1340"/>
      <c r="R68" s="1340"/>
      <c r="S68" s="1340"/>
      <c r="T68" s="1340"/>
    </row>
    <row r="69" spans="1:20">
      <c r="A69" s="1340"/>
      <c r="B69" s="1340"/>
      <c r="C69" s="1340"/>
      <c r="D69" s="1340"/>
      <c r="E69" s="1340"/>
      <c r="F69" s="1340"/>
      <c r="G69" s="1340"/>
      <c r="H69" s="1340"/>
      <c r="I69" s="1340"/>
      <c r="J69" s="1340"/>
      <c r="K69" s="1340"/>
      <c r="L69" s="1340"/>
      <c r="M69" s="1340"/>
      <c r="N69" s="1340"/>
      <c r="O69" s="1340"/>
      <c r="P69" s="1340"/>
      <c r="Q69" s="1340"/>
      <c r="R69" s="1340"/>
      <c r="S69" s="1340"/>
      <c r="T69" s="1340"/>
    </row>
    <row r="70" spans="1:20">
      <c r="A70" s="1340"/>
      <c r="B70" s="1340"/>
      <c r="C70" s="1340"/>
      <c r="D70" s="1340"/>
      <c r="E70" s="1340"/>
      <c r="F70" s="1340"/>
      <c r="G70" s="1340"/>
      <c r="H70" s="1340"/>
      <c r="I70" s="1340"/>
      <c r="J70" s="1340"/>
      <c r="K70" s="1340"/>
      <c r="L70" s="1340"/>
      <c r="M70" s="1340"/>
      <c r="N70" s="1340"/>
      <c r="O70" s="1340"/>
      <c r="P70" s="1340"/>
      <c r="Q70" s="1340"/>
      <c r="R70" s="1340"/>
      <c r="S70" s="1340"/>
      <c r="T70" s="1340"/>
    </row>
    <row r="71" spans="1:20">
      <c r="A71" s="1340"/>
      <c r="B71" s="1340"/>
      <c r="C71" s="1340"/>
      <c r="D71" s="1340"/>
      <c r="E71" s="1340"/>
      <c r="F71" s="1340"/>
      <c r="G71" s="1340"/>
      <c r="H71" s="1340"/>
      <c r="I71" s="1340"/>
      <c r="J71" s="1340"/>
      <c r="K71" s="1340"/>
      <c r="L71" s="1340"/>
      <c r="M71" s="1340"/>
      <c r="N71" s="1340"/>
      <c r="O71" s="1340"/>
      <c r="P71" s="1340"/>
      <c r="Q71" s="1340"/>
      <c r="R71" s="1340"/>
      <c r="S71" s="1340"/>
      <c r="T71" s="1340"/>
    </row>
  </sheetData>
  <sheetProtection algorithmName="SHA-512" hashValue="9k9GUKYSQhzd1kfL0pasXgGSYFL7DWFurb6eCsLWF4jGreY00l5C0za4S+3bd+1JGzRvSyKMhzfDgYSzZbKRzw==" saltValue="qyv2jffVlvnXfAPZw4uoEQ==" spinCount="100000" sheet="1" scenarios="1" formatCells="0" formatColumns="0" formatRows="0"/>
  <customSheetViews>
    <customSheetView guid="{EDC0EC15-0264-48C8-A990-093960AE8EF3}" scale="85" showPageBreaks="1" showGridLines="0" printArea="1">
      <selection activeCell="A6" sqref="A6:A7"/>
      <pageMargins left="0" right="0" top="0" bottom="0" header="0" footer="0"/>
      <printOptions horizontalCentered="1"/>
      <pageSetup scale="77" orientation="landscape" r:id="rId1"/>
      <headerFooter differentFirst="1">
        <firstHeader>&amp;L&amp;G&amp;C&amp;8
&amp;18Credit Memo</firstHeader>
      </headerFooter>
    </customSheetView>
    <customSheetView guid="{6E1FDEE6-49D0-4876-8C7C-09893145D2CE}" scale="85" showPageBreaks="1" showGridLines="0" printArea="1">
      <selection activeCell="A6" sqref="A6:A7"/>
      <pageMargins left="0" right="0" top="0" bottom="0" header="0" footer="0"/>
      <printOptions horizontalCentered="1"/>
      <pageSetup scale="77" orientation="landscape" r:id="rId2"/>
      <headerFooter differentFirst="1">
        <firstHeader>&amp;L&amp;G&amp;C&amp;8
&amp;18Credit Memo</firstHeader>
      </headerFooter>
    </customSheetView>
    <customSheetView guid="{DB1F6E98-7FCC-445F-9DA6-47D8BF8BE969}" scale="85" showPageBreaks="1" showGridLines="0" printArea="1">
      <selection activeCell="A6" sqref="A6:A7"/>
      <pageMargins left="0" right="0" top="0" bottom="0" header="0" footer="0"/>
      <printOptions horizontalCentered="1"/>
      <pageSetup scale="77" orientation="landscape" r:id="rId3"/>
      <headerFooter differentFirst="1">
        <firstHeader>&amp;L&amp;G&amp;C&amp;8
&amp;18Credit Memo</firstHeader>
      </headerFooter>
    </customSheetView>
    <customSheetView guid="{C02CA8E5-5D4C-45E5-BC4A-4C9BE481059B}" scale="85" showPageBreaks="1" showGridLines="0" printArea="1">
      <selection activeCell="A6" sqref="A6:A7"/>
      <pageMargins left="0" right="0" top="0" bottom="0" header="0" footer="0"/>
      <printOptions horizontalCentered="1"/>
      <pageSetup scale="77" orientation="landscape" r:id="rId4"/>
      <headerFooter differentFirst="1">
        <firstHeader>&amp;L&amp;G&amp;C&amp;8
&amp;18Credit Memo</firstHeader>
      </headerFooter>
    </customSheetView>
  </customSheetViews>
  <mergeCells count="229">
    <mergeCell ref="D4:E4"/>
    <mergeCell ref="D5:E5"/>
    <mergeCell ref="D6:E6"/>
    <mergeCell ref="D2:K2"/>
    <mergeCell ref="M22:N22"/>
    <mergeCell ref="M23:N23"/>
    <mergeCell ref="P4:Q4"/>
    <mergeCell ref="P5:Q5"/>
    <mergeCell ref="M15:N15"/>
    <mergeCell ref="M16:N16"/>
    <mergeCell ref="M17:N17"/>
    <mergeCell ref="M4:N4"/>
    <mergeCell ref="M5:N5"/>
    <mergeCell ref="M6:N6"/>
    <mergeCell ref="M7:N7"/>
    <mergeCell ref="M8:N8"/>
    <mergeCell ref="M9:N9"/>
    <mergeCell ref="M10:N10"/>
    <mergeCell ref="M12:N12"/>
    <mergeCell ref="M13:N13"/>
    <mergeCell ref="P6:Q6"/>
    <mergeCell ref="P7:Q7"/>
    <mergeCell ref="G20:H20"/>
    <mergeCell ref="G21:H21"/>
    <mergeCell ref="D26:E26"/>
    <mergeCell ref="D28:E28"/>
    <mergeCell ref="D30:E30"/>
    <mergeCell ref="D31:E31"/>
    <mergeCell ref="D32:E32"/>
    <mergeCell ref="D7:E7"/>
    <mergeCell ref="D8:E8"/>
    <mergeCell ref="D9:E9"/>
    <mergeCell ref="D17:E17"/>
    <mergeCell ref="D13:E13"/>
    <mergeCell ref="G4:H4"/>
    <mergeCell ref="G5:H5"/>
    <mergeCell ref="G6:H6"/>
    <mergeCell ref="G7:H7"/>
    <mergeCell ref="G8:H8"/>
    <mergeCell ref="G9:H9"/>
    <mergeCell ref="G10:H10"/>
    <mergeCell ref="G12:H12"/>
    <mergeCell ref="G13:H13"/>
    <mergeCell ref="G34:H34"/>
    <mergeCell ref="G31:H31"/>
    <mergeCell ref="G32:H32"/>
    <mergeCell ref="D10:E10"/>
    <mergeCell ref="D12:E12"/>
    <mergeCell ref="D22:E22"/>
    <mergeCell ref="D23:E23"/>
    <mergeCell ref="D24:E24"/>
    <mergeCell ref="G22:H22"/>
    <mergeCell ref="G23:H23"/>
    <mergeCell ref="G24:H24"/>
    <mergeCell ref="D19:E19"/>
    <mergeCell ref="D20:E20"/>
    <mergeCell ref="D21:E21"/>
    <mergeCell ref="D15:E15"/>
    <mergeCell ref="D16:E16"/>
    <mergeCell ref="G26:H26"/>
    <mergeCell ref="G28:H28"/>
    <mergeCell ref="G30:H30"/>
    <mergeCell ref="D34:E34"/>
    <mergeCell ref="G15:H15"/>
    <mergeCell ref="G16:H16"/>
    <mergeCell ref="G17:H17"/>
    <mergeCell ref="G19:H19"/>
    <mergeCell ref="J4:K4"/>
    <mergeCell ref="J5:K5"/>
    <mergeCell ref="J6:K6"/>
    <mergeCell ref="J7:K7"/>
    <mergeCell ref="J8:K8"/>
    <mergeCell ref="J9:K9"/>
    <mergeCell ref="J10:K10"/>
    <mergeCell ref="J12:K12"/>
    <mergeCell ref="J13:K13"/>
    <mergeCell ref="J15:K15"/>
    <mergeCell ref="J16:K16"/>
    <mergeCell ref="J17:K17"/>
    <mergeCell ref="J19:K19"/>
    <mergeCell ref="J20:K20"/>
    <mergeCell ref="J21:K21"/>
    <mergeCell ref="M19:N19"/>
    <mergeCell ref="M20:N20"/>
    <mergeCell ref="J30:K30"/>
    <mergeCell ref="J22:K22"/>
    <mergeCell ref="J23:K23"/>
    <mergeCell ref="J24:K24"/>
    <mergeCell ref="J26:K26"/>
    <mergeCell ref="J28:K28"/>
    <mergeCell ref="P32:Q32"/>
    <mergeCell ref="P34:Q34"/>
    <mergeCell ref="P21:Q21"/>
    <mergeCell ref="P22:Q22"/>
    <mergeCell ref="P23:Q23"/>
    <mergeCell ref="P24:Q24"/>
    <mergeCell ref="P26:Q26"/>
    <mergeCell ref="J31:K31"/>
    <mergeCell ref="J32:K32"/>
    <mergeCell ref="J34:K34"/>
    <mergeCell ref="M34:N34"/>
    <mergeCell ref="M31:N31"/>
    <mergeCell ref="M21:N21"/>
    <mergeCell ref="P30:Q30"/>
    <mergeCell ref="P31:Q31"/>
    <mergeCell ref="M28:N28"/>
    <mergeCell ref="M30:N30"/>
    <mergeCell ref="M32:N32"/>
    <mergeCell ref="M24:N24"/>
    <mergeCell ref="M26:N26"/>
    <mergeCell ref="P8:Q8"/>
    <mergeCell ref="P9:Q9"/>
    <mergeCell ref="P10:Q10"/>
    <mergeCell ref="P12:Q12"/>
    <mergeCell ref="P13:Q13"/>
    <mergeCell ref="P15:Q15"/>
    <mergeCell ref="P16:Q16"/>
    <mergeCell ref="S28:T28"/>
    <mergeCell ref="P17:Q17"/>
    <mergeCell ref="P19:Q19"/>
    <mergeCell ref="P20:Q20"/>
    <mergeCell ref="P28:Q28"/>
    <mergeCell ref="S4:T4"/>
    <mergeCell ref="S5:T5"/>
    <mergeCell ref="S6:T6"/>
    <mergeCell ref="S7:T7"/>
    <mergeCell ref="S8:T8"/>
    <mergeCell ref="S22:T22"/>
    <mergeCell ref="S23:T23"/>
    <mergeCell ref="S24:T24"/>
    <mergeCell ref="S26:T26"/>
    <mergeCell ref="S16:T16"/>
    <mergeCell ref="S17:T17"/>
    <mergeCell ref="S19:T19"/>
    <mergeCell ref="S20:T20"/>
    <mergeCell ref="S21:T21"/>
    <mergeCell ref="S9:T9"/>
    <mergeCell ref="S10:T10"/>
    <mergeCell ref="S12:T12"/>
    <mergeCell ref="S13:T13"/>
    <mergeCell ref="S15:T15"/>
    <mergeCell ref="A1:T1"/>
    <mergeCell ref="A51:T51"/>
    <mergeCell ref="A52:T52"/>
    <mergeCell ref="A53:T53"/>
    <mergeCell ref="A54:T54"/>
    <mergeCell ref="A55:T55"/>
    <mergeCell ref="G41:H41"/>
    <mergeCell ref="G43:H43"/>
    <mergeCell ref="G44:H44"/>
    <mergeCell ref="G45:H45"/>
    <mergeCell ref="G46:H46"/>
    <mergeCell ref="G47:H47"/>
    <mergeCell ref="G48:H48"/>
    <mergeCell ref="J37:K37"/>
    <mergeCell ref="J38:K38"/>
    <mergeCell ref="S30:T30"/>
    <mergeCell ref="S31:T31"/>
    <mergeCell ref="S32:T32"/>
    <mergeCell ref="S34:T34"/>
    <mergeCell ref="A50:T50"/>
    <mergeCell ref="J39:K39"/>
    <mergeCell ref="J40:K40"/>
    <mergeCell ref="J41:K41"/>
    <mergeCell ref="J43:K43"/>
    <mergeCell ref="D47:E47"/>
    <mergeCell ref="D48:E48"/>
    <mergeCell ref="G37:H37"/>
    <mergeCell ref="G38:H38"/>
    <mergeCell ref="G39:H39"/>
    <mergeCell ref="G40:H40"/>
    <mergeCell ref="A66:T66"/>
    <mergeCell ref="A61:T61"/>
    <mergeCell ref="A62:T62"/>
    <mergeCell ref="A63:T63"/>
    <mergeCell ref="A64:T64"/>
    <mergeCell ref="A65:T65"/>
    <mergeCell ref="A56:T56"/>
    <mergeCell ref="A57:T57"/>
    <mergeCell ref="A58:T58"/>
    <mergeCell ref="A59:T59"/>
    <mergeCell ref="A60:T60"/>
    <mergeCell ref="J44:K44"/>
    <mergeCell ref="J45:K45"/>
    <mergeCell ref="J46:K46"/>
    <mergeCell ref="J47:K47"/>
    <mergeCell ref="J48:K48"/>
    <mergeCell ref="M37:N37"/>
    <mergeCell ref="M38:N38"/>
    <mergeCell ref="D37:E37"/>
    <mergeCell ref="D38:E38"/>
    <mergeCell ref="D39:E39"/>
    <mergeCell ref="D40:E40"/>
    <mergeCell ref="D41:E41"/>
    <mergeCell ref="D43:E43"/>
    <mergeCell ref="D44:E44"/>
    <mergeCell ref="D45:E45"/>
    <mergeCell ref="D46:E46"/>
    <mergeCell ref="M45:N45"/>
    <mergeCell ref="M46:N46"/>
    <mergeCell ref="M47:N47"/>
    <mergeCell ref="M48:N48"/>
    <mergeCell ref="P37:Q37"/>
    <mergeCell ref="P38:Q38"/>
    <mergeCell ref="P39:Q39"/>
    <mergeCell ref="P40:Q40"/>
    <mergeCell ref="P41:Q41"/>
    <mergeCell ref="P43:Q43"/>
    <mergeCell ref="P44:Q44"/>
    <mergeCell ref="P45:Q45"/>
    <mergeCell ref="P46:Q46"/>
    <mergeCell ref="P47:Q47"/>
    <mergeCell ref="P48:Q48"/>
    <mergeCell ref="M39:N39"/>
    <mergeCell ref="M40:N40"/>
    <mergeCell ref="M41:N41"/>
    <mergeCell ref="M43:N43"/>
    <mergeCell ref="M44:N44"/>
    <mergeCell ref="S48:T48"/>
    <mergeCell ref="S43:T43"/>
    <mergeCell ref="S44:T44"/>
    <mergeCell ref="S45:T45"/>
    <mergeCell ref="S46:T46"/>
    <mergeCell ref="S47:T47"/>
    <mergeCell ref="S37:T37"/>
    <mergeCell ref="S38:T38"/>
    <mergeCell ref="S39:T39"/>
    <mergeCell ref="S40:T40"/>
    <mergeCell ref="S41:T41"/>
  </mergeCells>
  <hyperlinks>
    <hyperlink ref="V1" location="Index!A1" display="Index" xr:uid="{06EE0431-2E26-464B-AD09-3D63F9B87449}"/>
  </hyperlinks>
  <printOptions horizontalCentered="1"/>
  <pageMargins left="0.7" right="0.7" top="0.75" bottom="0.75" header="0.3" footer="0.3"/>
  <pageSetup scale="44" fitToHeight="0" orientation="landscape" r:id="rId5"/>
  <headerFooter differentFirst="1">
    <firstHeader>&amp;L&amp;G&amp;C&amp;8
&amp;18Credit Memo</firstHeader>
  </headerFooter>
  <legacyDrawing r:id="rId6"/>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2600-000000000000}">
          <x14:formula1>
            <xm:f>Lists!$B$39:$B$42</xm:f>
          </x14:formula1>
          <xm:sqref>D5:E5 G5:H5 J5:K5 M5:N5 P5:Q5 S5:T5</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Q67"/>
  <sheetViews>
    <sheetView showGridLines="0" topLeftCell="A28" zoomScale="85" zoomScaleNormal="85" workbookViewId="0">
      <selection activeCell="A16" sqref="A16:M20"/>
    </sheetView>
  </sheetViews>
  <sheetFormatPr baseColWidth="10" defaultColWidth="8.83203125" defaultRowHeight="15"/>
  <cols>
    <col min="1" max="3" width="13.6640625" customWidth="1"/>
    <col min="4" max="6" width="12.6640625" customWidth="1"/>
    <col min="7" max="7" width="3.6640625" bestFit="1" customWidth="1"/>
    <col min="8" max="11" width="12.6640625" customWidth="1"/>
    <col min="14" max="14" width="21.1640625" bestFit="1" customWidth="1"/>
  </cols>
  <sheetData>
    <row r="1" spans="1:17" ht="17" thickBot="1">
      <c r="A1" s="2953" t="s">
        <v>1104</v>
      </c>
      <c r="B1" s="2954"/>
      <c r="C1" s="2954"/>
      <c r="D1" s="2954"/>
      <c r="E1" s="2954"/>
      <c r="F1" s="2954"/>
      <c r="G1" s="2954"/>
      <c r="H1" s="2954"/>
      <c r="I1" s="2954"/>
      <c r="J1" s="2954"/>
      <c r="K1" s="2955"/>
      <c r="N1" s="1179"/>
      <c r="O1" s="1179"/>
      <c r="P1" s="1179"/>
    </row>
    <row r="2" spans="1:17" ht="16">
      <c r="A2" s="233"/>
      <c r="B2" s="232"/>
      <c r="C2" s="232"/>
      <c r="D2" s="234"/>
      <c r="E2" s="232"/>
      <c r="F2" s="232"/>
      <c r="G2" s="232"/>
      <c r="H2" s="232"/>
      <c r="I2" s="232"/>
      <c r="J2" s="232"/>
      <c r="K2" s="1222"/>
      <c r="N2" t="str" cm="1">
        <f t="array" aca="1" ref="N2" ca="1">MID(CELL("filename",A1),FIND("]",CELL("filename",A1))+1,256)</f>
        <v>Per Need 2</v>
      </c>
    </row>
    <row r="3" spans="1:17" ht="15.75" customHeight="1">
      <c r="A3" s="236" t="s">
        <v>1105</v>
      </c>
      <c r="B3" s="3028" t="s">
        <v>1106</v>
      </c>
      <c r="C3" s="3029"/>
      <c r="D3" s="3029"/>
      <c r="E3" s="3029"/>
      <c r="F3" s="3029"/>
      <c r="G3" s="3029"/>
      <c r="H3" s="3029"/>
      <c r="I3" s="3030"/>
      <c r="J3" s="3031"/>
      <c r="K3" s="1223"/>
    </row>
    <row r="4" spans="1:17" ht="17" thickBot="1">
      <c r="A4" s="233"/>
      <c r="B4" s="232"/>
      <c r="C4" s="232"/>
      <c r="D4" s="232"/>
      <c r="E4" s="3042"/>
      <c r="F4" s="3044"/>
      <c r="G4" s="3044"/>
      <c r="H4" s="1224"/>
      <c r="I4" s="1224"/>
      <c r="J4" s="1224"/>
      <c r="K4" s="1225"/>
      <c r="N4" s="2779" t="s">
        <v>1107</v>
      </c>
      <c r="O4" s="2779"/>
      <c r="P4" s="2779"/>
      <c r="Q4" s="2779"/>
    </row>
    <row r="5" spans="1:17" ht="17" thickBot="1">
      <c r="A5" s="247" t="s">
        <v>277</v>
      </c>
      <c r="B5" s="232"/>
      <c r="C5" s="232"/>
      <c r="D5" s="232"/>
      <c r="E5" s="3043"/>
      <c r="F5" s="3045"/>
      <c r="G5" s="3045"/>
      <c r="H5" s="1226"/>
      <c r="I5" s="2908" t="s">
        <v>1108</v>
      </c>
      <c r="J5" s="2909"/>
      <c r="K5" s="2910"/>
      <c r="N5" s="3032" t="s">
        <v>1109</v>
      </c>
      <c r="O5" s="3032"/>
      <c r="P5" s="3032"/>
      <c r="Q5" s="3032"/>
    </row>
    <row r="6" spans="1:17" ht="17" thickBot="1">
      <c r="A6" s="1227" t="s">
        <v>278</v>
      </c>
      <c r="B6" s="232"/>
      <c r="C6" s="232"/>
      <c r="D6" s="1614"/>
      <c r="E6" s="1228"/>
      <c r="F6" s="1228"/>
      <c r="G6" s="1229" t="s">
        <v>795</v>
      </c>
      <c r="H6" s="244"/>
      <c r="I6" s="1230" t="s">
        <v>488</v>
      </c>
      <c r="J6" s="1231" t="s">
        <v>1110</v>
      </c>
      <c r="K6" s="1232" t="s">
        <v>847</v>
      </c>
      <c r="N6" s="1279"/>
      <c r="O6" s="1280">
        <v>2020</v>
      </c>
      <c r="P6" s="1281">
        <f>O6+1</f>
        <v>2021</v>
      </c>
      <c r="Q6" s="1281">
        <f>P6+1</f>
        <v>2022</v>
      </c>
    </row>
    <row r="7" spans="1:17" ht="16">
      <c r="A7" s="1227" t="s">
        <v>279</v>
      </c>
      <c r="B7" s="232"/>
      <c r="C7" s="232"/>
      <c r="D7" s="1615"/>
      <c r="E7" s="1228"/>
      <c r="F7" s="1228"/>
      <c r="G7" s="12"/>
      <c r="H7" s="1235" t="s">
        <v>1111</v>
      </c>
      <c r="I7" s="1609"/>
      <c r="J7" s="1623"/>
      <c r="K7" s="1606"/>
      <c r="N7" s="1279" t="s">
        <v>1112</v>
      </c>
      <c r="O7" s="1622"/>
      <c r="P7" s="1622"/>
      <c r="Q7" s="1622"/>
    </row>
    <row r="8" spans="1:17" ht="16">
      <c r="A8" s="1227" t="s">
        <v>280</v>
      </c>
      <c r="B8" s="232"/>
      <c r="C8" s="232"/>
      <c r="D8" s="1615"/>
      <c r="E8" s="241"/>
      <c r="F8" s="232"/>
      <c r="G8" s="246"/>
      <c r="H8" s="244"/>
      <c r="I8" s="1610"/>
      <c r="J8" s="1624"/>
      <c r="K8" s="1606"/>
      <c r="N8" s="1279" t="s">
        <v>205</v>
      </c>
      <c r="O8" s="1622"/>
      <c r="P8" s="1622"/>
      <c r="Q8" s="1622"/>
    </row>
    <row r="9" spans="1:17" ht="16">
      <c r="A9" s="1227" t="s">
        <v>281</v>
      </c>
      <c r="B9" s="232"/>
      <c r="C9" s="232"/>
      <c r="D9" s="1615">
        <f>'Per RE 2'!A35</f>
        <v>0</v>
      </c>
      <c r="E9" s="1228"/>
      <c r="F9" s="232"/>
      <c r="G9" s="246"/>
      <c r="H9" s="232"/>
      <c r="I9" s="1610"/>
      <c r="J9" s="1624"/>
      <c r="K9" s="1606"/>
      <c r="N9" s="1279" t="s">
        <v>1113</v>
      </c>
      <c r="O9" s="1622"/>
      <c r="P9" s="1622"/>
      <c r="Q9" s="1622"/>
    </row>
    <row r="10" spans="1:17" ht="16">
      <c r="A10" s="1227" t="s">
        <v>282</v>
      </c>
      <c r="B10" s="232"/>
      <c r="C10" s="232"/>
      <c r="D10" s="1615"/>
      <c r="E10" s="241"/>
      <c r="F10" s="232"/>
      <c r="G10" s="246"/>
      <c r="H10" s="232"/>
      <c r="I10" s="1610"/>
      <c r="J10" s="1624"/>
      <c r="K10" s="1606"/>
      <c r="N10" s="1279" t="s">
        <v>1114</v>
      </c>
      <c r="O10" s="1622"/>
      <c r="P10" s="1622"/>
      <c r="Q10" s="1622"/>
    </row>
    <row r="11" spans="1:17" ht="16">
      <c r="A11" s="1227" t="s">
        <v>283</v>
      </c>
      <c r="B11" s="232"/>
      <c r="C11" s="232"/>
      <c r="D11" s="1615"/>
      <c r="E11" s="1228"/>
      <c r="F11" s="232"/>
      <c r="G11" s="246"/>
      <c r="H11" s="232"/>
      <c r="I11" s="1610"/>
      <c r="J11" s="1624"/>
      <c r="K11" s="1606"/>
      <c r="N11" s="1279" t="s">
        <v>1115</v>
      </c>
      <c r="O11" s="1622"/>
      <c r="P11" s="1622"/>
      <c r="Q11" s="1622"/>
    </row>
    <row r="12" spans="1:17" ht="17" thickBot="1">
      <c r="A12" s="1227" t="s">
        <v>284</v>
      </c>
      <c r="B12" s="232"/>
      <c r="C12" s="232"/>
      <c r="D12" s="1616"/>
      <c r="E12" s="241"/>
      <c r="F12" s="232"/>
      <c r="G12" s="1101"/>
      <c r="H12" s="232"/>
      <c r="I12" s="1611"/>
      <c r="J12" s="1625"/>
      <c r="K12" s="1612"/>
      <c r="N12" s="1279" t="s">
        <v>1116</v>
      </c>
      <c r="O12" s="1622"/>
      <c r="P12" s="1622"/>
      <c r="Q12" s="1622"/>
    </row>
    <row r="13" spans="1:17" ht="17" thickTop="1">
      <c r="A13" s="247" t="s">
        <v>285</v>
      </c>
      <c r="B13" s="232"/>
      <c r="C13" s="232"/>
      <c r="D13" s="513">
        <f>SUM(D6:D12)</f>
        <v>0</v>
      </c>
      <c r="E13" s="1228"/>
      <c r="F13" s="232"/>
      <c r="G13" s="122"/>
      <c r="H13" s="232"/>
      <c r="I13" s="1277">
        <f>SUM(I7:I12)</f>
        <v>0</v>
      </c>
      <c r="J13" s="1277">
        <f>SUM(J7:J12)</f>
        <v>0</v>
      </c>
      <c r="K13" s="1278"/>
      <c r="N13" s="1279" t="s">
        <v>1117</v>
      </c>
      <c r="O13" s="1622"/>
      <c r="P13" s="1622"/>
      <c r="Q13" s="1622"/>
    </row>
    <row r="14" spans="1:17" ht="17" thickBot="1">
      <c r="A14" s="233"/>
      <c r="B14" s="232"/>
      <c r="C14" s="232"/>
      <c r="D14" s="232"/>
      <c r="E14" s="1238"/>
      <c r="F14" s="232"/>
      <c r="G14" s="232"/>
      <c r="H14" s="232"/>
      <c r="I14" s="1228"/>
      <c r="J14" s="1228"/>
      <c r="K14" s="235"/>
      <c r="N14" s="1279" t="s">
        <v>1118</v>
      </c>
      <c r="O14" s="1622"/>
      <c r="P14" s="1622"/>
      <c r="Q14" s="1622"/>
    </row>
    <row r="15" spans="1:17" ht="17" thickBot="1">
      <c r="A15" s="247" t="s">
        <v>286</v>
      </c>
      <c r="B15" s="234"/>
      <c r="C15" s="234"/>
      <c r="D15" s="234"/>
      <c r="E15" s="1228"/>
      <c r="F15" s="232"/>
      <c r="G15" s="1240"/>
      <c r="H15" s="244"/>
      <c r="I15" s="2908" t="s">
        <v>1119</v>
      </c>
      <c r="J15" s="2909"/>
      <c r="K15" s="2910"/>
      <c r="N15" s="1279" t="s">
        <v>1120</v>
      </c>
      <c r="O15" s="1622"/>
      <c r="P15" s="1622"/>
      <c r="Q15" s="1622"/>
    </row>
    <row r="16" spans="1:17" ht="17" thickBot="1">
      <c r="A16" s="1227" t="s">
        <v>287</v>
      </c>
      <c r="B16" s="232"/>
      <c r="C16" s="232"/>
      <c r="D16" s="1617">
        <f>J7</f>
        <v>0</v>
      </c>
      <c r="E16" s="241"/>
      <c r="F16" s="232"/>
      <c r="G16" s="1229" t="s">
        <v>795</v>
      </c>
      <c r="H16" s="244"/>
      <c r="I16" s="1230" t="s">
        <v>488</v>
      </c>
      <c r="J16" s="1231" t="s">
        <v>1110</v>
      </c>
      <c r="K16" s="1232" t="s">
        <v>847</v>
      </c>
      <c r="N16" s="1279" t="s">
        <v>1121</v>
      </c>
      <c r="O16" s="1622"/>
      <c r="P16" s="1622"/>
      <c r="Q16" s="1622"/>
    </row>
    <row r="17" spans="1:17" ht="16">
      <c r="A17" s="1227" t="s">
        <v>288</v>
      </c>
      <c r="B17" s="232"/>
      <c r="C17" s="232"/>
      <c r="D17" s="1618">
        <f>SUM(J8:J12)</f>
        <v>0</v>
      </c>
      <c r="E17" s="1228"/>
      <c r="F17" s="232"/>
      <c r="G17" s="12"/>
      <c r="H17" s="244"/>
      <c r="I17" s="1605"/>
      <c r="J17" s="1605"/>
      <c r="K17" s="1613"/>
      <c r="N17" s="1279" t="s">
        <v>1122</v>
      </c>
      <c r="O17" s="1622"/>
      <c r="P17" s="1622"/>
      <c r="Q17" s="1622"/>
    </row>
    <row r="18" spans="1:17" ht="16">
      <c r="A18" s="1227" t="s">
        <v>289</v>
      </c>
      <c r="B18" s="232"/>
      <c r="C18" s="232"/>
      <c r="D18" s="1618">
        <f>J32</f>
        <v>0</v>
      </c>
      <c r="E18" s="241"/>
      <c r="F18" s="232"/>
      <c r="G18" s="12"/>
      <c r="H18" s="244"/>
      <c r="I18" s="1605"/>
      <c r="J18" s="1605"/>
      <c r="K18" s="1613"/>
      <c r="N18" s="1279" t="s">
        <v>1123</v>
      </c>
      <c r="O18" s="1622"/>
      <c r="P18" s="1622"/>
      <c r="Q18" s="1622"/>
    </row>
    <row r="19" spans="1:17" ht="16">
      <c r="A19" s="1227" t="s">
        <v>290</v>
      </c>
      <c r="B19" s="232"/>
      <c r="C19" s="232"/>
      <c r="D19" s="1618">
        <f>J23</f>
        <v>0</v>
      </c>
      <c r="E19" s="1242"/>
      <c r="F19" s="1240"/>
      <c r="G19" s="12"/>
      <c r="H19" s="244"/>
      <c r="I19" s="1605"/>
      <c r="J19" s="1605"/>
      <c r="K19" s="1613"/>
      <c r="N19" s="1279" t="s">
        <v>1124</v>
      </c>
      <c r="O19" s="1622"/>
      <c r="P19" s="1622"/>
      <c r="Q19" s="1622"/>
    </row>
    <row r="20" spans="1:17" ht="16">
      <c r="A20" s="1227" t="s">
        <v>291</v>
      </c>
      <c r="B20" s="232"/>
      <c r="C20" s="232"/>
      <c r="D20" s="1618">
        <f>J54</f>
        <v>0</v>
      </c>
      <c r="E20" s="241"/>
      <c r="F20" s="232"/>
      <c r="G20" s="12"/>
      <c r="H20" s="244"/>
      <c r="I20" s="1605"/>
      <c r="J20" s="1605"/>
      <c r="K20" s="1613"/>
      <c r="N20" s="1279" t="s">
        <v>1125</v>
      </c>
      <c r="O20" s="1622"/>
      <c r="P20" s="1622"/>
      <c r="Q20" s="1622"/>
    </row>
    <row r="21" spans="1:17" ht="17" thickBot="1">
      <c r="A21" s="1227" t="s">
        <v>292</v>
      </c>
      <c r="B21" s="234"/>
      <c r="C21" s="234"/>
      <c r="D21" s="1619"/>
      <c r="E21" s="241"/>
      <c r="F21" s="232"/>
      <c r="G21" s="12"/>
      <c r="H21" s="244"/>
      <c r="I21" s="1605"/>
      <c r="J21" s="1605"/>
      <c r="K21" s="1613"/>
      <c r="N21" s="1279" t="s">
        <v>1126</v>
      </c>
      <c r="O21" s="1622"/>
      <c r="P21" s="1622"/>
      <c r="Q21" s="1622"/>
    </row>
    <row r="22" spans="1:17" ht="17" thickTop="1">
      <c r="A22" s="247" t="s">
        <v>293</v>
      </c>
      <c r="B22" s="232"/>
      <c r="C22" s="232"/>
      <c r="D22" s="240">
        <f>SUM(D16:D21)</f>
        <v>0</v>
      </c>
      <c r="E22" s="232"/>
      <c r="F22" s="232"/>
      <c r="G22" s="13"/>
      <c r="H22" s="244"/>
      <c r="I22" s="1605"/>
      <c r="J22" s="1605"/>
      <c r="K22" s="1613"/>
      <c r="N22" s="1279" t="s">
        <v>1127</v>
      </c>
      <c r="O22" s="1282">
        <f>SUM(O7:O21)</f>
        <v>0</v>
      </c>
      <c r="P22" s="1282">
        <f>SUM(P7:P21)</f>
        <v>0</v>
      </c>
      <c r="Q22" s="1282">
        <f>SUM(Q7:Q21)</f>
        <v>0</v>
      </c>
    </row>
    <row r="23" spans="1:17" ht="16">
      <c r="A23" s="233"/>
      <c r="B23" s="232"/>
      <c r="C23" s="232"/>
      <c r="D23" s="232"/>
      <c r="E23" s="241"/>
      <c r="F23" s="232"/>
      <c r="G23" s="232"/>
      <c r="H23" s="232"/>
      <c r="I23" s="1245">
        <f>SUM(I17:I22)</f>
        <v>0</v>
      </c>
      <c r="J23" s="1245">
        <f>SUM(J17:J22)</f>
        <v>0</v>
      </c>
      <c r="K23" s="1246"/>
      <c r="N23" s="1279" t="s">
        <v>1128</v>
      </c>
      <c r="O23" s="1622"/>
      <c r="P23" s="1622"/>
      <c r="Q23" s="1622"/>
    </row>
    <row r="24" spans="1:17" ht="17" thickBot="1">
      <c r="A24" s="247" t="s">
        <v>294</v>
      </c>
      <c r="B24" s="232"/>
      <c r="C24" s="232"/>
      <c r="D24" s="242">
        <f>D22*12</f>
        <v>0</v>
      </c>
      <c r="E24" s="241"/>
      <c r="F24" s="232"/>
      <c r="G24" s="232"/>
      <c r="H24" s="232"/>
      <c r="I24" s="1247"/>
      <c r="J24" s="1247"/>
      <c r="K24" s="1248"/>
      <c r="N24" s="1279" t="s">
        <v>1129</v>
      </c>
      <c r="O24" s="1282">
        <f>O22-O23</f>
        <v>0</v>
      </c>
      <c r="P24" s="1282">
        <f>P22-P23</f>
        <v>0</v>
      </c>
      <c r="Q24" s="1282">
        <f>Q22-Q23</f>
        <v>0</v>
      </c>
    </row>
    <row r="25" spans="1:17" ht="17" thickBot="1">
      <c r="A25" s="247" t="s">
        <v>295</v>
      </c>
      <c r="B25" s="232"/>
      <c r="C25" s="232"/>
      <c r="D25" s="514">
        <f>IF(D13=0,0,D24/D13)</f>
        <v>0</v>
      </c>
      <c r="E25" s="1228"/>
      <c r="F25" s="232"/>
      <c r="G25" s="232"/>
      <c r="H25" s="244"/>
      <c r="I25" s="2908" t="s">
        <v>1130</v>
      </c>
      <c r="J25" s="2909"/>
      <c r="K25" s="2910"/>
      <c r="N25" s="498" t="s">
        <v>1131</v>
      </c>
      <c r="O25" s="1622"/>
      <c r="P25" s="1622"/>
      <c r="Q25" s="1622"/>
    </row>
    <row r="26" spans="1:17" ht="17" thickBot="1">
      <c r="A26" s="247" t="s">
        <v>296</v>
      </c>
      <c r="B26" s="232"/>
      <c r="C26" s="232"/>
      <c r="D26" s="242">
        <f>D22*12/50*100</f>
        <v>0</v>
      </c>
      <c r="E26" s="1228"/>
      <c r="F26" s="232"/>
      <c r="G26" s="1229" t="s">
        <v>795</v>
      </c>
      <c r="H26" s="244"/>
      <c r="I26" s="1230" t="s">
        <v>488</v>
      </c>
      <c r="J26" s="1231" t="s">
        <v>1110</v>
      </c>
      <c r="K26" s="1232" t="s">
        <v>847</v>
      </c>
    </row>
    <row r="27" spans="1:17" ht="16">
      <c r="A27" s="233"/>
      <c r="B27" s="232"/>
      <c r="C27" s="232"/>
      <c r="D27" s="232"/>
      <c r="E27" s="1228"/>
      <c r="F27" s="1240"/>
      <c r="G27" s="12"/>
      <c r="H27" s="244"/>
      <c r="I27" s="1605"/>
      <c r="J27" s="1605"/>
      <c r="K27" s="1606"/>
    </row>
    <row r="28" spans="1:17" ht="16">
      <c r="A28" s="247" t="s">
        <v>297</v>
      </c>
      <c r="B28" s="232"/>
      <c r="C28" s="232"/>
      <c r="D28" s="232"/>
      <c r="E28" s="1228"/>
      <c r="F28" s="232"/>
      <c r="G28" s="12"/>
      <c r="H28" s="244"/>
      <c r="I28" s="1605"/>
      <c r="J28" s="1605"/>
      <c r="K28" s="1606"/>
    </row>
    <row r="29" spans="1:17" ht="16">
      <c r="A29" s="248" t="s">
        <v>298</v>
      </c>
      <c r="B29" s="232"/>
      <c r="C29" s="232"/>
      <c r="D29" s="1617">
        <f>D37</f>
        <v>0</v>
      </c>
      <c r="E29" s="1228"/>
      <c r="F29" s="232"/>
      <c r="G29" s="12"/>
      <c r="H29" s="244"/>
      <c r="I29" s="1605"/>
      <c r="J29" s="1605"/>
      <c r="K29" s="1606"/>
    </row>
    <row r="30" spans="1:17" ht="16">
      <c r="A30" s="248" t="s">
        <v>299</v>
      </c>
      <c r="B30" s="232"/>
      <c r="C30" s="232"/>
      <c r="D30" s="1618"/>
      <c r="E30" s="1228"/>
      <c r="F30" s="232"/>
      <c r="G30" s="12"/>
      <c r="H30" s="244"/>
      <c r="I30" s="1605"/>
      <c r="J30" s="1605"/>
      <c r="K30" s="1606"/>
    </row>
    <row r="31" spans="1:17" ht="16">
      <c r="A31" s="248" t="s">
        <v>300</v>
      </c>
      <c r="B31" s="232"/>
      <c r="C31" s="232"/>
      <c r="D31" s="1618"/>
      <c r="E31" s="1228"/>
      <c r="F31" s="232"/>
      <c r="G31" s="13"/>
      <c r="H31" s="244"/>
      <c r="I31" s="1605"/>
      <c r="J31" s="1605"/>
      <c r="K31" s="1606"/>
    </row>
    <row r="32" spans="1:17" ht="17" thickBot="1">
      <c r="A32" s="248" t="s">
        <v>218</v>
      </c>
      <c r="B32" s="232"/>
      <c r="C32" s="232"/>
      <c r="D32" s="1618"/>
      <c r="E32" s="1228"/>
      <c r="F32" s="232"/>
      <c r="G32" s="245"/>
      <c r="H32" s="244"/>
      <c r="I32" s="510">
        <f>SUM(I27:I31)</f>
        <v>0</v>
      </c>
      <c r="J32" s="510">
        <f>SUM(J27:J31)</f>
        <v>0</v>
      </c>
      <c r="K32" s="1251"/>
    </row>
    <row r="33" spans="1:11" ht="18" thickTop="1" thickBot="1">
      <c r="A33" s="233"/>
      <c r="B33" s="232"/>
      <c r="C33" s="232"/>
      <c r="D33" s="240">
        <f>SUM(D29:D32)</f>
        <v>0</v>
      </c>
      <c r="E33" s="241"/>
      <c r="F33" s="232"/>
      <c r="G33" s="232"/>
      <c r="H33" s="232"/>
      <c r="I33" s="1228"/>
      <c r="J33" s="1228"/>
      <c r="K33" s="235"/>
    </row>
    <row r="34" spans="1:11" ht="17" thickBot="1">
      <c r="A34" s="233"/>
      <c r="B34" s="232"/>
      <c r="C34" s="232"/>
      <c r="D34" s="515"/>
      <c r="E34" s="1228"/>
      <c r="F34" s="232"/>
      <c r="G34" s="232"/>
      <c r="H34" s="232"/>
      <c r="I34" s="2908" t="s">
        <v>1132</v>
      </c>
      <c r="J34" s="2909"/>
      <c r="K34" s="2910"/>
    </row>
    <row r="35" spans="1:11" ht="17" thickBot="1">
      <c r="A35" s="247" t="s">
        <v>301</v>
      </c>
      <c r="B35" s="244"/>
      <c r="C35" s="244"/>
      <c r="D35" s="1620"/>
      <c r="E35" s="241"/>
      <c r="F35" s="232"/>
      <c r="G35" s="1252" t="s">
        <v>795</v>
      </c>
      <c r="H35" s="1253" t="s">
        <v>1133</v>
      </c>
      <c r="I35" s="1254" t="s">
        <v>488</v>
      </c>
      <c r="J35" s="1254" t="s">
        <v>1110</v>
      </c>
      <c r="K35" s="1255" t="s">
        <v>847</v>
      </c>
    </row>
    <row r="36" spans="1:11" ht="16">
      <c r="A36" s="247" t="s">
        <v>302</v>
      </c>
      <c r="B36" s="244"/>
      <c r="C36" s="244"/>
      <c r="D36" s="516">
        <f>D35-D26</f>
        <v>0</v>
      </c>
      <c r="E36" s="1256"/>
      <c r="F36" s="232"/>
      <c r="G36" s="12"/>
      <c r="H36" s="1600"/>
      <c r="I36" s="1605"/>
      <c r="J36" s="1605"/>
      <c r="K36" s="1606"/>
    </row>
    <row r="37" spans="1:11" ht="16">
      <c r="A37" s="247" t="s">
        <v>1134</v>
      </c>
      <c r="B37" s="1258"/>
      <c r="C37" s="244"/>
      <c r="D37" s="516">
        <f>IF(D26&gt;D35,0,D36/12)</f>
        <v>0</v>
      </c>
      <c r="E37" s="241"/>
      <c r="F37" s="232"/>
      <c r="G37" s="12"/>
      <c r="H37" s="1600"/>
      <c r="I37" s="1605"/>
      <c r="J37" s="1605"/>
      <c r="K37" s="1606"/>
    </row>
    <row r="38" spans="1:11" ht="15.75" customHeight="1">
      <c r="A38" s="1259"/>
      <c r="B38" s="1260"/>
      <c r="C38" s="244"/>
      <c r="D38" s="243"/>
      <c r="E38" s="244"/>
      <c r="F38" s="232"/>
      <c r="G38" s="12"/>
      <c r="H38" s="1600"/>
      <c r="I38" s="1605"/>
      <c r="J38" s="1605"/>
      <c r="K38" s="1606"/>
    </row>
    <row r="39" spans="1:11" ht="16">
      <c r="A39" s="1262"/>
      <c r="B39" s="1263"/>
      <c r="C39" s="244"/>
      <c r="D39" s="330"/>
      <c r="E39" s="244"/>
      <c r="F39" s="232"/>
      <c r="G39" s="12"/>
      <c r="H39" s="1601"/>
      <c r="I39" s="1605"/>
      <c r="J39" s="1605"/>
      <c r="K39" s="1606"/>
    </row>
    <row r="40" spans="1:11" ht="15.75" customHeight="1">
      <c r="A40" s="247" t="s">
        <v>303</v>
      </c>
      <c r="B40" s="1258"/>
      <c r="C40" s="1258"/>
      <c r="D40" s="517">
        <f>D26+(D33*12)</f>
        <v>0</v>
      </c>
      <c r="E40" s="1258"/>
      <c r="F40" s="245"/>
      <c r="G40" s="12"/>
      <c r="H40" s="1600"/>
      <c r="I40" s="1605"/>
      <c r="J40" s="1607"/>
      <c r="K40" s="1606"/>
    </row>
    <row r="41" spans="1:11" ht="16">
      <c r="A41" s="1268" t="s">
        <v>304</v>
      </c>
      <c r="B41" s="1260"/>
      <c r="C41" s="1258"/>
      <c r="D41" s="517">
        <f>D13</f>
        <v>0</v>
      </c>
      <c r="E41" s="1258"/>
      <c r="F41" s="245"/>
      <c r="G41" s="12"/>
      <c r="H41" s="1600"/>
      <c r="I41" s="1605"/>
      <c r="J41" s="1605"/>
      <c r="K41" s="1606"/>
    </row>
    <row r="42" spans="1:11" ht="17">
      <c r="A42" s="1269" t="s">
        <v>981</v>
      </c>
      <c r="B42" s="1258"/>
      <c r="C42" s="245"/>
      <c r="D42" s="1270">
        <f>D40-D41</f>
        <v>0</v>
      </c>
      <c r="E42" s="515"/>
      <c r="F42" s="1271"/>
      <c r="G42" s="12"/>
      <c r="H42" s="1600"/>
      <c r="I42" s="1605"/>
      <c r="J42" s="1605"/>
      <c r="K42" s="1606"/>
    </row>
    <row r="43" spans="1:11" ht="17" thickBot="1">
      <c r="A43" s="1274"/>
      <c r="B43" s="1258"/>
      <c r="C43" s="245"/>
      <c r="D43" s="330"/>
      <c r="E43" s="515"/>
      <c r="F43" s="1271"/>
      <c r="G43" s="12"/>
      <c r="H43" s="1600"/>
      <c r="I43" s="1605"/>
      <c r="J43" s="1605"/>
      <c r="K43" s="1606"/>
    </row>
    <row r="44" spans="1:11" ht="16">
      <c r="A44" s="247" t="s">
        <v>305</v>
      </c>
      <c r="B44" s="245"/>
      <c r="C44" s="245"/>
      <c r="D44" s="1621">
        <f>IF(D45="Yes",IF((D40-D41)&lt;24000,24000,(D40-D41)),0)</f>
        <v>0</v>
      </c>
      <c r="E44" s="1242"/>
      <c r="F44" s="245"/>
      <c r="G44" s="12"/>
      <c r="H44" s="1600"/>
      <c r="I44" s="1605"/>
      <c r="J44" s="1605"/>
      <c r="K44" s="1606"/>
    </row>
    <row r="45" spans="1:11" ht="17">
      <c r="A45" s="3111" t="s">
        <v>306</v>
      </c>
      <c r="B45" s="3112"/>
      <c r="C45" s="3112"/>
      <c r="D45" s="377" t="s">
        <v>123</v>
      </c>
      <c r="E45" s="241"/>
      <c r="F45" s="245"/>
      <c r="G45" s="12"/>
      <c r="H45" s="1600"/>
      <c r="I45" s="1605"/>
      <c r="J45" s="1605"/>
      <c r="K45" s="1606"/>
    </row>
    <row r="46" spans="1:11" ht="15.75" customHeight="1">
      <c r="A46" s="937"/>
      <c r="B46" s="122"/>
      <c r="C46" s="122"/>
      <c r="D46" s="244"/>
      <c r="E46" s="245"/>
      <c r="F46" s="245"/>
      <c r="G46" s="12"/>
      <c r="H46" s="1602"/>
      <c r="I46" s="1605"/>
      <c r="J46" s="1605"/>
      <c r="K46" s="1606"/>
    </row>
    <row r="47" spans="1:11" ht="15.5" customHeight="1">
      <c r="A47" s="937"/>
      <c r="B47" s="3046" t="s">
        <v>1135</v>
      </c>
      <c r="C47" s="3046"/>
      <c r="D47" s="244"/>
      <c r="E47" s="245"/>
      <c r="F47" s="245"/>
      <c r="G47" s="12"/>
      <c r="H47" s="1603"/>
      <c r="I47" s="1605"/>
      <c r="J47" s="1605"/>
      <c r="K47" s="1606"/>
    </row>
    <row r="48" spans="1:11" ht="15.75" customHeight="1">
      <c r="A48" s="937"/>
      <c r="B48" s="909" t="s">
        <v>1136</v>
      </c>
      <c r="C48" s="909" t="s">
        <v>1137</v>
      </c>
      <c r="D48" s="244"/>
      <c r="E48" s="330"/>
      <c r="F48" s="330"/>
      <c r="G48" s="12"/>
      <c r="H48" s="1604"/>
      <c r="I48" s="1605"/>
      <c r="J48" s="1605"/>
      <c r="K48" s="1606"/>
    </row>
    <row r="49" spans="1:11" ht="16">
      <c r="A49" s="937"/>
      <c r="B49" s="250"/>
      <c r="C49" s="250"/>
      <c r="D49" s="244"/>
      <c r="E49" s="330"/>
      <c r="F49" s="330"/>
      <c r="G49" s="12"/>
      <c r="H49" s="1604"/>
      <c r="I49" s="1605"/>
      <c r="J49" s="1605"/>
      <c r="K49" s="1606"/>
    </row>
    <row r="50" spans="1:11" ht="16">
      <c r="A50" s="937"/>
      <c r="B50" s="250"/>
      <c r="C50" s="250"/>
      <c r="D50" s="244"/>
      <c r="E50" s="330"/>
      <c r="F50" s="330"/>
      <c r="G50" s="12"/>
      <c r="H50" s="1604"/>
      <c r="I50" s="1605"/>
      <c r="J50" s="1605"/>
      <c r="K50" s="1606"/>
    </row>
    <row r="51" spans="1:11" ht="16">
      <c r="A51" s="248"/>
      <c r="B51" s="250"/>
      <c r="C51" s="250"/>
      <c r="D51" s="244"/>
      <c r="E51" s="330"/>
      <c r="F51" s="330"/>
      <c r="G51" s="12"/>
      <c r="H51" s="1604"/>
      <c r="I51" s="1605"/>
      <c r="J51" s="1605"/>
      <c r="K51" s="1606"/>
    </row>
    <row r="52" spans="1:11" ht="16">
      <c r="A52" s="248"/>
      <c r="B52" s="1275">
        <f>IFERROR(AVERAGE(B49:B51),0)</f>
        <v>0</v>
      </c>
      <c r="C52" s="1275">
        <f>IFERROR(AVERAGE(C49:C51),0)</f>
        <v>0</v>
      </c>
      <c r="D52" s="244"/>
      <c r="E52" s="330"/>
      <c r="F52" s="330"/>
      <c r="G52" s="12"/>
      <c r="H52" s="1604"/>
      <c r="I52" s="1605"/>
      <c r="J52" s="1605"/>
      <c r="K52" s="1606"/>
    </row>
    <row r="53" spans="1:11" ht="16">
      <c r="A53" s="248"/>
      <c r="B53" s="244"/>
      <c r="C53" s="244"/>
      <c r="D53" s="244"/>
      <c r="E53" s="330"/>
      <c r="F53" s="330"/>
      <c r="G53" s="13"/>
      <c r="H53" s="1604"/>
      <c r="I53" s="1608"/>
      <c r="J53" s="1608"/>
      <c r="K53" s="1606"/>
    </row>
    <row r="54" spans="1:11" ht="16">
      <c r="A54" s="248"/>
      <c r="B54" s="244"/>
      <c r="C54" s="244"/>
      <c r="D54" s="244"/>
      <c r="E54" s="244"/>
      <c r="F54" s="244"/>
      <c r="G54" s="244"/>
      <c r="H54" s="1245">
        <f>SUM(H36:H53)</f>
        <v>0</v>
      </c>
      <c r="I54" s="1245">
        <f>SUM(I36:I53)</f>
        <v>0</v>
      </c>
      <c r="J54" s="1245">
        <f>SUM(J36:J53)</f>
        <v>0</v>
      </c>
      <c r="K54" s="1246"/>
    </row>
    <row r="55" spans="1:11" ht="16">
      <c r="A55" s="248"/>
      <c r="B55" s="244"/>
      <c r="C55" s="244"/>
      <c r="D55" s="244"/>
      <c r="E55" s="244"/>
      <c r="F55" s="244"/>
      <c r="G55" s="244"/>
      <c r="H55" s="244"/>
      <c r="I55" s="244"/>
      <c r="J55" s="244"/>
      <c r="K55" s="251"/>
    </row>
    <row r="56" spans="1:11" ht="17" thickBot="1">
      <c r="A56" s="252"/>
      <c r="B56" s="249"/>
      <c r="C56" s="249"/>
      <c r="D56" s="249"/>
      <c r="E56" s="249"/>
      <c r="F56" s="249"/>
      <c r="G56" s="249"/>
      <c r="H56" s="3047" t="s">
        <v>1138</v>
      </c>
      <c r="I56" s="3047"/>
      <c r="J56" s="3047"/>
      <c r="K56" s="1276">
        <f>IFERROR(1-(I54/H54),0)</f>
        <v>0</v>
      </c>
    </row>
    <row r="57" spans="1:11" ht="15" customHeight="1">
      <c r="A57" s="3033" t="s">
        <v>1139</v>
      </c>
      <c r="B57" s="3034"/>
      <c r="C57" s="3034"/>
      <c r="D57" s="3034"/>
      <c r="E57" s="3034"/>
      <c r="F57" s="3034"/>
      <c r="G57" s="3034"/>
      <c r="H57" s="3034"/>
      <c r="I57" s="3034"/>
      <c r="J57" s="3034"/>
      <c r="K57" s="3035"/>
    </row>
    <row r="58" spans="1:11" ht="15" customHeight="1">
      <c r="A58" s="3036"/>
      <c r="B58" s="3037"/>
      <c r="C58" s="3037"/>
      <c r="D58" s="3037"/>
      <c r="E58" s="3037"/>
      <c r="F58" s="3037"/>
      <c r="G58" s="3037"/>
      <c r="H58" s="3037"/>
      <c r="I58" s="3037"/>
      <c r="J58" s="3037"/>
      <c r="K58" s="3038"/>
    </row>
    <row r="59" spans="1:11" ht="15" customHeight="1">
      <c r="A59" s="3036"/>
      <c r="B59" s="3037"/>
      <c r="C59" s="3037"/>
      <c r="D59" s="3037"/>
      <c r="E59" s="3037"/>
      <c r="F59" s="3037"/>
      <c r="G59" s="3037"/>
      <c r="H59" s="3037"/>
      <c r="I59" s="3037"/>
      <c r="J59" s="3037"/>
      <c r="K59" s="3038"/>
    </row>
    <row r="60" spans="1:11" ht="15" customHeight="1">
      <c r="A60" s="3036"/>
      <c r="B60" s="3037"/>
      <c r="C60" s="3037"/>
      <c r="D60" s="3037"/>
      <c r="E60" s="3037"/>
      <c r="F60" s="3037"/>
      <c r="G60" s="3037"/>
      <c r="H60" s="3037"/>
      <c r="I60" s="3037"/>
      <c r="J60" s="3037"/>
      <c r="K60" s="3038"/>
    </row>
    <row r="61" spans="1:11" ht="15" customHeight="1">
      <c r="A61" s="3036"/>
      <c r="B61" s="3037"/>
      <c r="C61" s="3037"/>
      <c r="D61" s="3037"/>
      <c r="E61" s="3037"/>
      <c r="F61" s="3037"/>
      <c r="G61" s="3037"/>
      <c r="H61" s="3037"/>
      <c r="I61" s="3037"/>
      <c r="J61" s="3037"/>
      <c r="K61" s="3038"/>
    </row>
    <row r="62" spans="1:11" ht="15" customHeight="1">
      <c r="A62" s="3036"/>
      <c r="B62" s="3037"/>
      <c r="C62" s="3037"/>
      <c r="D62" s="3037"/>
      <c r="E62" s="3037"/>
      <c r="F62" s="3037"/>
      <c r="G62" s="3037"/>
      <c r="H62" s="3037"/>
      <c r="I62" s="3037"/>
      <c r="J62" s="3037"/>
      <c r="K62" s="3038"/>
    </row>
    <row r="63" spans="1:11" ht="15" customHeight="1">
      <c r="A63" s="3036"/>
      <c r="B63" s="3037"/>
      <c r="C63" s="3037"/>
      <c r="D63" s="3037"/>
      <c r="E63" s="3037"/>
      <c r="F63" s="3037"/>
      <c r="G63" s="3037"/>
      <c r="H63" s="3037"/>
      <c r="I63" s="3037"/>
      <c r="J63" s="3037"/>
      <c r="K63" s="3038"/>
    </row>
    <row r="64" spans="1:11" ht="15" customHeight="1">
      <c r="A64" s="3036"/>
      <c r="B64" s="3037"/>
      <c r="C64" s="3037"/>
      <c r="D64" s="3037"/>
      <c r="E64" s="3037"/>
      <c r="F64" s="3037"/>
      <c r="G64" s="3037"/>
      <c r="H64" s="3037"/>
      <c r="I64" s="3037"/>
      <c r="J64" s="3037"/>
      <c r="K64" s="3038"/>
    </row>
    <row r="65" spans="1:11" ht="15" customHeight="1">
      <c r="A65" s="3036"/>
      <c r="B65" s="3037"/>
      <c r="C65" s="3037"/>
      <c r="D65" s="3037"/>
      <c r="E65" s="3037"/>
      <c r="F65" s="3037"/>
      <c r="G65" s="3037"/>
      <c r="H65" s="3037"/>
      <c r="I65" s="3037"/>
      <c r="J65" s="3037"/>
      <c r="K65" s="3038"/>
    </row>
    <row r="66" spans="1:11" ht="15" customHeight="1">
      <c r="A66" s="3036"/>
      <c r="B66" s="3037"/>
      <c r="C66" s="3037"/>
      <c r="D66" s="3037"/>
      <c r="E66" s="3037"/>
      <c r="F66" s="3037"/>
      <c r="G66" s="3037"/>
      <c r="H66" s="3037"/>
      <c r="I66" s="3037"/>
      <c r="J66" s="3037"/>
      <c r="K66" s="3038"/>
    </row>
    <row r="67" spans="1:11" ht="15.75" customHeight="1" thickBot="1">
      <c r="A67" s="3039"/>
      <c r="B67" s="3040"/>
      <c r="C67" s="3040"/>
      <c r="D67" s="3040"/>
      <c r="E67" s="3040"/>
      <c r="F67" s="3040"/>
      <c r="G67" s="3040"/>
      <c r="H67" s="3040"/>
      <c r="I67" s="3040"/>
      <c r="J67" s="3040"/>
      <c r="K67" s="3041"/>
    </row>
  </sheetData>
  <sheetProtection algorithmName="SHA-512" hashValue="UWhrllWS1nrZ8KXC3stTstdQlqz0tmNKP8lLSdETBOAPs7VqUi1FbeSsNGJatH0jWHu/CVYX/lAxGyPCkFhD1A==" saltValue="sHn3kpBpU62MbJGTUFUJ6Q==" spinCount="100000" sheet="1" scenarios="1" formatCells="0" formatColumns="0" formatRows="0"/>
  <customSheetViews>
    <customSheetView guid="{EDC0EC15-0264-48C8-A990-093960AE8EF3}" scale="85" showPageBreaks="1" showGridLines="0" printArea="1">
      <selection activeCell="B3" sqref="B3:J3"/>
      <pageMargins left="0" right="0" top="0" bottom="0" header="0" footer="0"/>
      <printOptions horizontalCentered="1"/>
      <pageSetup scale="72" orientation="portrait" r:id="rId1"/>
      <headerFooter differentFirst="1">
        <firstHeader>&amp;L&amp;G&amp;C&amp;8
&amp;18Credit Memo</firstHeader>
      </headerFooter>
    </customSheetView>
    <customSheetView guid="{6E1FDEE6-49D0-4876-8C7C-09893145D2CE}" scale="85" showPageBreaks="1" showGridLines="0" printArea="1">
      <selection activeCell="B3" sqref="B3:J3"/>
      <pageMargins left="0" right="0" top="0" bottom="0" header="0" footer="0"/>
      <printOptions horizontalCentered="1"/>
      <pageSetup scale="72" orientation="portrait" r:id="rId2"/>
      <headerFooter differentFirst="1">
        <firstHeader>&amp;L&amp;G&amp;C&amp;8
&amp;18Credit Memo</firstHeader>
      </headerFooter>
    </customSheetView>
    <customSheetView guid="{DB1F6E98-7FCC-445F-9DA6-47D8BF8BE969}" scale="85" showPageBreaks="1" showGridLines="0" printArea="1">
      <selection activeCell="B3" sqref="B3:J3"/>
      <pageMargins left="0" right="0" top="0" bottom="0" header="0" footer="0"/>
      <printOptions horizontalCentered="1"/>
      <pageSetup scale="72" orientation="portrait" r:id="rId3"/>
      <headerFooter differentFirst="1">
        <firstHeader>&amp;L&amp;G&amp;C&amp;8
&amp;18Credit Memo</firstHeader>
      </headerFooter>
    </customSheetView>
    <customSheetView guid="{C02CA8E5-5D4C-45E5-BC4A-4C9BE481059B}" scale="85" showPageBreaks="1" showGridLines="0" printArea="1">
      <selection activeCell="B3" sqref="B3:J3"/>
      <pageMargins left="0" right="0" top="0" bottom="0" header="0" footer="0"/>
      <printOptions horizontalCentered="1"/>
      <pageSetup scale="72" orientation="portrait" r:id="rId4"/>
      <headerFooter differentFirst="1">
        <firstHeader>&amp;L&amp;G&amp;C&amp;8
&amp;18Credit Memo</firstHeader>
      </headerFooter>
    </customSheetView>
  </customSheetViews>
  <mergeCells count="15">
    <mergeCell ref="A1:K1"/>
    <mergeCell ref="B3:J3"/>
    <mergeCell ref="I5:K5"/>
    <mergeCell ref="E4:E5"/>
    <mergeCell ref="F4:G4"/>
    <mergeCell ref="A57:K67"/>
    <mergeCell ref="H56:J56"/>
    <mergeCell ref="N4:Q4"/>
    <mergeCell ref="N5:Q5"/>
    <mergeCell ref="F5:G5"/>
    <mergeCell ref="I15:K15"/>
    <mergeCell ref="I25:K25"/>
    <mergeCell ref="I34:K34"/>
    <mergeCell ref="B47:C47"/>
    <mergeCell ref="A45:C45"/>
  </mergeCells>
  <conditionalFormatting sqref="P18:Q18">
    <cfRule type="containsText" dxfId="23" priority="1" operator="containsText" text="BoA BPS Loan">
      <formula>NOT(ISERROR(SEARCH("BoA BPS Loan",P18)))</formula>
    </cfRule>
  </conditionalFormatting>
  <printOptions horizontalCentered="1"/>
  <pageMargins left="0.7" right="0.7" top="0.75" bottom="0.75" header="0.3" footer="0.3"/>
  <pageSetup scale="64" orientation="portrait" r:id="rId5"/>
  <headerFooter differentFirst="1">
    <firstHeader>&amp;L&amp;G&amp;C&amp;8
&amp;18Credit Memo</firstHeader>
  </headerFooter>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75F1CA96-63B6-4DFC-86AB-1830B85AFFFA}">
          <x14:formula1>
            <xm:f>Lists!$C$2:$C$4</xm:f>
          </x14:formula1>
          <xm:sqref>D45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Q54"/>
  <sheetViews>
    <sheetView showGridLines="0" topLeftCell="C1" zoomScale="85" zoomScaleNormal="85" workbookViewId="0">
      <selection activeCell="F18" sqref="F18"/>
    </sheetView>
  </sheetViews>
  <sheetFormatPr baseColWidth="10" defaultColWidth="8.83203125" defaultRowHeight="15"/>
  <cols>
    <col min="1" max="1" width="9.6640625" customWidth="1"/>
    <col min="2" max="2" width="23.1640625" customWidth="1"/>
    <col min="3" max="4" width="13.33203125" customWidth="1"/>
    <col min="5" max="5" width="5.33203125" customWidth="1"/>
    <col min="6" max="6" width="32" customWidth="1"/>
    <col min="7" max="7" width="13.33203125" customWidth="1"/>
    <col min="9" max="10" width="10.6640625" customWidth="1"/>
  </cols>
  <sheetData>
    <row r="1" spans="1:17" ht="17" thickBot="1">
      <c r="A1" s="3066" t="s">
        <v>1140</v>
      </c>
      <c r="B1" s="3067"/>
      <c r="C1" s="3067"/>
      <c r="D1" s="3067"/>
      <c r="E1" s="3067"/>
      <c r="F1" s="3067"/>
      <c r="G1" s="3068"/>
      <c r="J1" s="1179"/>
      <c r="K1" s="1179"/>
      <c r="L1" s="1179"/>
    </row>
    <row r="2" spans="1:17" ht="16">
      <c r="A2" s="1167"/>
      <c r="B2" s="1163"/>
      <c r="C2" s="1163"/>
      <c r="D2" s="1163"/>
      <c r="E2" s="1163"/>
      <c r="F2" s="1163"/>
      <c r="G2" s="1154"/>
    </row>
    <row r="3" spans="1:17" ht="15.75" customHeight="1">
      <c r="A3" s="1161" t="s">
        <v>1141</v>
      </c>
      <c r="B3" s="3069" t="str">
        <f>'Per Need 2'!B3:J3</f>
        <v>{Name of Guarantor/Principal}</v>
      </c>
      <c r="C3" s="3070"/>
      <c r="D3" s="3070"/>
      <c r="E3" s="3070"/>
      <c r="F3" s="3071"/>
      <c r="G3" s="1283"/>
    </row>
    <row r="4" spans="1:17" ht="16">
      <c r="A4" s="1161" t="s">
        <v>1142</v>
      </c>
      <c r="B4" s="254"/>
      <c r="C4" s="1148"/>
      <c r="D4" s="1284"/>
      <c r="E4" s="1163"/>
      <c r="F4" s="1163"/>
      <c r="G4" s="1154"/>
      <c r="H4" s="60"/>
      <c r="I4" s="60"/>
      <c r="J4" s="60"/>
      <c r="K4" s="60"/>
      <c r="L4" s="60"/>
      <c r="M4" s="60"/>
      <c r="N4" s="60"/>
      <c r="O4" s="60"/>
      <c r="P4" s="60"/>
      <c r="Q4" s="60"/>
    </row>
    <row r="5" spans="1:17" ht="17" thickBot="1">
      <c r="A5" s="1285"/>
      <c r="B5" s="1286"/>
      <c r="C5" s="1287"/>
      <c r="D5" s="1288"/>
      <c r="E5" s="1288"/>
      <c r="F5" s="1286"/>
      <c r="G5" s="1154"/>
      <c r="H5" s="60"/>
      <c r="I5" s="60"/>
      <c r="J5" s="60"/>
      <c r="K5" s="60"/>
      <c r="L5" s="60"/>
      <c r="M5" s="60"/>
      <c r="N5" s="60"/>
      <c r="O5" s="60"/>
      <c r="P5" s="60"/>
      <c r="Q5" s="60"/>
    </row>
    <row r="6" spans="1:17" ht="16">
      <c r="A6" s="3063" t="s">
        <v>1143</v>
      </c>
      <c r="B6" s="3064"/>
      <c r="C6" s="3064"/>
      <c r="D6" s="1163"/>
      <c r="E6" s="1163"/>
      <c r="F6" s="3064" t="s">
        <v>1144</v>
      </c>
      <c r="G6" s="3065"/>
      <c r="H6" s="60"/>
      <c r="I6" s="3061" t="s">
        <v>1145</v>
      </c>
      <c r="J6" s="3062"/>
      <c r="K6" s="3062"/>
      <c r="L6" s="3062"/>
      <c r="M6" s="1289"/>
      <c r="N6" s="1289"/>
      <c r="O6" s="1289"/>
      <c r="P6" s="1289"/>
      <c r="Q6" s="1290"/>
    </row>
    <row r="7" spans="1:17" ht="16">
      <c r="A7" s="3063" t="s">
        <v>1146</v>
      </c>
      <c r="B7" s="3064"/>
      <c r="C7" s="3064"/>
      <c r="D7" s="1148" t="s">
        <v>1128</v>
      </c>
      <c r="E7" s="1291" t="s">
        <v>795</v>
      </c>
      <c r="F7" s="3064" t="s">
        <v>1146</v>
      </c>
      <c r="G7" s="3065"/>
      <c r="H7" s="60"/>
      <c r="I7" s="3057" t="s">
        <v>1147</v>
      </c>
      <c r="J7" s="3058"/>
      <c r="K7" s="3058"/>
      <c r="L7" s="3058"/>
      <c r="M7" s="60"/>
      <c r="N7" s="60"/>
      <c r="O7" s="60"/>
      <c r="P7" s="60"/>
      <c r="Q7" s="1292"/>
    </row>
    <row r="8" spans="1:17" ht="16">
      <c r="A8" s="1167" t="s">
        <v>1148</v>
      </c>
      <c r="B8" s="1163"/>
      <c r="C8" s="14">
        <v>0</v>
      </c>
      <c r="D8" s="659">
        <v>0</v>
      </c>
      <c r="E8" s="16"/>
      <c r="F8" s="1195" t="str">
        <f>A8</f>
        <v>Cash on Hand &amp; In Banks</v>
      </c>
      <c r="G8" s="1293">
        <f t="shared" ref="G8:G13" si="0">C8+D8</f>
        <v>0</v>
      </c>
      <c r="H8" s="60"/>
      <c r="I8" s="1294"/>
      <c r="J8" s="1295" t="s">
        <v>100</v>
      </c>
      <c r="K8" s="1318"/>
      <c r="L8" s="60"/>
      <c r="M8" s="60"/>
      <c r="N8" s="60"/>
      <c r="O8" s="60"/>
      <c r="P8" s="60"/>
      <c r="Q8" s="1292"/>
    </row>
    <row r="9" spans="1:17" ht="16">
      <c r="A9" s="1167" t="s">
        <v>1149</v>
      </c>
      <c r="B9" s="1163"/>
      <c r="C9" s="15">
        <v>0</v>
      </c>
      <c r="D9" s="660">
        <v>0</v>
      </c>
      <c r="E9" s="17"/>
      <c r="F9" s="1195" t="str">
        <f t="shared" ref="F9:F21" si="1">A9</f>
        <v>Savings Accounts</v>
      </c>
      <c r="G9" s="1296">
        <f t="shared" si="0"/>
        <v>0</v>
      </c>
      <c r="H9" s="60"/>
      <c r="I9" s="1294"/>
      <c r="J9" s="1520" t="s">
        <v>1150</v>
      </c>
      <c r="K9" s="1279"/>
      <c r="L9" s="60"/>
      <c r="M9" s="60"/>
      <c r="N9" s="60"/>
      <c r="O9" s="60"/>
      <c r="P9" s="60"/>
      <c r="Q9" s="1292"/>
    </row>
    <row r="10" spans="1:17" ht="16">
      <c r="A10" s="1167" t="s">
        <v>1151</v>
      </c>
      <c r="B10" s="1163"/>
      <c r="C10" s="15">
        <v>0</v>
      </c>
      <c r="D10" s="660">
        <v>0</v>
      </c>
      <c r="E10" s="17"/>
      <c r="F10" s="1195" t="str">
        <f t="shared" si="1"/>
        <v>IRA/Retirement Accounts</v>
      </c>
      <c r="G10" s="1296">
        <f t="shared" si="0"/>
        <v>0</v>
      </c>
      <c r="H10" s="60"/>
      <c r="I10" s="1294"/>
      <c r="J10" s="1520" t="s">
        <v>1152</v>
      </c>
      <c r="K10" s="1279"/>
      <c r="L10" s="60"/>
      <c r="M10" s="60"/>
      <c r="N10" s="60"/>
      <c r="O10" s="60"/>
      <c r="P10" s="60"/>
      <c r="Q10" s="1292"/>
    </row>
    <row r="11" spans="1:17" ht="16">
      <c r="A11" s="1155" t="s">
        <v>1153</v>
      </c>
      <c r="B11" s="1150"/>
      <c r="C11" s="15">
        <v>0</v>
      </c>
      <c r="D11" s="660">
        <v>0</v>
      </c>
      <c r="E11" s="17"/>
      <c r="F11" s="1195" t="str">
        <f t="shared" si="1"/>
        <v>Accounts &amp; Notes Receivable</v>
      </c>
      <c r="G11" s="1296">
        <f t="shared" si="0"/>
        <v>0</v>
      </c>
      <c r="H11" s="60"/>
      <c r="I11" s="1294"/>
      <c r="J11" s="1520" t="s">
        <v>1154</v>
      </c>
      <c r="K11" s="1279"/>
      <c r="L11" s="60"/>
      <c r="M11" s="60"/>
      <c r="N11" s="60"/>
      <c r="O11" s="60"/>
      <c r="P11" s="60"/>
      <c r="Q11" s="1292"/>
    </row>
    <row r="12" spans="1:17" ht="16">
      <c r="A12" s="1167" t="s">
        <v>1155</v>
      </c>
      <c r="B12" s="1163"/>
      <c r="C12" s="15">
        <v>0</v>
      </c>
      <c r="D12" s="660">
        <v>0</v>
      </c>
      <c r="E12" s="17"/>
      <c r="F12" s="1195" t="str">
        <f t="shared" si="1"/>
        <v>CSVLI</v>
      </c>
      <c r="G12" s="1296">
        <f t="shared" si="0"/>
        <v>0</v>
      </c>
      <c r="H12" s="60"/>
      <c r="I12" s="1294"/>
      <c r="J12" s="1295" t="s">
        <v>1156</v>
      </c>
      <c r="K12" s="1279"/>
      <c r="L12" s="60"/>
      <c r="M12" s="60"/>
      <c r="N12" s="60"/>
      <c r="O12" s="60"/>
      <c r="P12" s="60"/>
      <c r="Q12" s="1292"/>
    </row>
    <row r="13" spans="1:17" ht="16">
      <c r="A13" s="1167" t="s">
        <v>1157</v>
      </c>
      <c r="B13" s="1163"/>
      <c r="C13" s="15">
        <v>0</v>
      </c>
      <c r="D13" s="660">
        <v>0</v>
      </c>
      <c r="E13" s="17"/>
      <c r="F13" s="1195" t="str">
        <f t="shared" si="1"/>
        <v>Stocks &amp; Bond (Liquid)</v>
      </c>
      <c r="G13" s="1296">
        <f t="shared" si="0"/>
        <v>0</v>
      </c>
      <c r="H13" s="60"/>
      <c r="I13" s="1294"/>
      <c r="J13" s="60"/>
      <c r="K13" s="1521">
        <f>IFERROR(AVERAGE(K9:K12),0)</f>
        <v>0</v>
      </c>
      <c r="L13" s="60"/>
      <c r="M13" s="60"/>
      <c r="N13" s="60"/>
      <c r="O13" s="60"/>
      <c r="P13" s="60"/>
      <c r="Q13" s="1292"/>
    </row>
    <row r="14" spans="1:17" ht="16">
      <c r="A14" s="1319" t="s">
        <v>1158</v>
      </c>
      <c r="B14" s="1320"/>
      <c r="C14" s="15">
        <v>0</v>
      </c>
      <c r="D14" s="662">
        <f>G14-C14</f>
        <v>0</v>
      </c>
      <c r="E14" s="17"/>
      <c r="F14" s="1195" t="str">
        <f t="shared" si="1"/>
        <v>Real Estate - SFR</v>
      </c>
      <c r="G14" s="1296">
        <f>K15</f>
        <v>0</v>
      </c>
      <c r="H14" s="60"/>
      <c r="I14" s="1294"/>
      <c r="J14" s="60"/>
      <c r="K14" s="60"/>
      <c r="L14" s="60"/>
      <c r="M14" s="60"/>
      <c r="N14" s="60"/>
      <c r="O14" s="60"/>
      <c r="P14" s="60"/>
      <c r="Q14" s="1292"/>
    </row>
    <row r="15" spans="1:17" ht="16">
      <c r="A15" s="1319" t="s">
        <v>1159</v>
      </c>
      <c r="B15" s="1320"/>
      <c r="C15" s="15">
        <v>0</v>
      </c>
      <c r="D15" s="660">
        <v>0</v>
      </c>
      <c r="E15" s="17"/>
      <c r="F15" s="1195" t="str">
        <f t="shared" si="1"/>
        <v>Real Estate - Commercial</v>
      </c>
      <c r="G15" s="1296">
        <f t="shared" ref="G15:G21" si="2">C15+D15</f>
        <v>0</v>
      </c>
      <c r="H15" s="60"/>
      <c r="I15" s="1294"/>
      <c r="J15" s="1295" t="s">
        <v>1160</v>
      </c>
      <c r="K15" s="1235">
        <f>K8*K13</f>
        <v>0</v>
      </c>
      <c r="L15" s="60"/>
      <c r="M15" s="60"/>
      <c r="N15" s="60"/>
      <c r="O15" s="60"/>
      <c r="P15" s="60"/>
      <c r="Q15" s="1292"/>
    </row>
    <row r="16" spans="1:17" ht="16">
      <c r="A16" s="1319" t="s">
        <v>1159</v>
      </c>
      <c r="B16" s="1320"/>
      <c r="C16" s="15">
        <v>0</v>
      </c>
      <c r="D16" s="660">
        <v>0</v>
      </c>
      <c r="E16" s="17"/>
      <c r="F16" s="1195" t="str">
        <f t="shared" si="1"/>
        <v>Real Estate - Commercial</v>
      </c>
      <c r="G16" s="1296">
        <f t="shared" si="2"/>
        <v>0</v>
      </c>
      <c r="H16" s="60"/>
      <c r="I16" s="1294"/>
      <c r="J16" s="1295" t="s">
        <v>1161</v>
      </c>
      <c r="K16" s="1521">
        <f>'Per Need 2'!I7</f>
        <v>0</v>
      </c>
      <c r="L16" s="60"/>
      <c r="M16" s="60"/>
      <c r="N16" s="60"/>
      <c r="O16" s="60"/>
      <c r="P16" s="60"/>
      <c r="Q16" s="1292"/>
    </row>
    <row r="17" spans="1:17" ht="16">
      <c r="A17" s="1319" t="s">
        <v>1162</v>
      </c>
      <c r="B17" s="1320"/>
      <c r="C17" s="15">
        <v>0</v>
      </c>
      <c r="D17" s="660">
        <v>0</v>
      </c>
      <c r="E17" s="17"/>
      <c r="F17" s="1195" t="str">
        <f t="shared" si="1"/>
        <v>Real Estate - Rental</v>
      </c>
      <c r="G17" s="1296">
        <f t="shared" si="2"/>
        <v>0</v>
      </c>
      <c r="H17" s="60"/>
      <c r="I17" s="1294"/>
      <c r="J17" s="1295" t="s">
        <v>1163</v>
      </c>
      <c r="K17" s="1235">
        <f>K13-K16</f>
        <v>0</v>
      </c>
      <c r="L17" s="60"/>
      <c r="M17" s="60"/>
      <c r="N17" s="60"/>
      <c r="O17" s="60"/>
      <c r="P17" s="60"/>
      <c r="Q17" s="1292"/>
    </row>
    <row r="18" spans="1:17" ht="16">
      <c r="A18" s="1319" t="s">
        <v>1162</v>
      </c>
      <c r="B18" s="1320"/>
      <c r="C18" s="15">
        <v>0</v>
      </c>
      <c r="D18" s="660">
        <v>0</v>
      </c>
      <c r="E18" s="17"/>
      <c r="F18" s="1195" t="str">
        <f t="shared" si="1"/>
        <v>Real Estate - Rental</v>
      </c>
      <c r="G18" s="1296">
        <f t="shared" si="2"/>
        <v>0</v>
      </c>
      <c r="H18" s="60"/>
      <c r="I18" s="1294"/>
      <c r="J18" s="1295" t="s">
        <v>130</v>
      </c>
      <c r="K18" s="1235">
        <f>IFERROR(K17/K13,0)</f>
        <v>0</v>
      </c>
      <c r="L18" s="60"/>
      <c r="M18" s="60"/>
      <c r="N18" s="60"/>
      <c r="O18" s="60"/>
      <c r="P18" s="60"/>
      <c r="Q18" s="1292"/>
    </row>
    <row r="19" spans="1:17" ht="16">
      <c r="A19" s="1319" t="s">
        <v>1164</v>
      </c>
      <c r="B19" s="1320"/>
      <c r="C19" s="15">
        <v>0</v>
      </c>
      <c r="D19" s="660">
        <v>0</v>
      </c>
      <c r="E19" s="17"/>
      <c r="F19" s="1195" t="str">
        <f t="shared" si="1"/>
        <v>Automobiles</v>
      </c>
      <c r="G19" s="1296">
        <f t="shared" si="2"/>
        <v>0</v>
      </c>
      <c r="H19" s="60"/>
      <c r="I19" s="1294"/>
      <c r="J19" s="1295" t="s">
        <v>1165</v>
      </c>
      <c r="K19" s="1297">
        <v>0.8</v>
      </c>
      <c r="L19" s="60"/>
      <c r="M19" s="60"/>
      <c r="N19" s="60"/>
      <c r="O19" s="60"/>
      <c r="P19" s="60"/>
      <c r="Q19" s="1292"/>
    </row>
    <row r="20" spans="1:17" ht="16">
      <c r="A20" s="1319" t="s">
        <v>1166</v>
      </c>
      <c r="B20" s="1320"/>
      <c r="C20" s="15">
        <v>0</v>
      </c>
      <c r="D20" s="660">
        <v>0</v>
      </c>
      <c r="E20" s="17"/>
      <c r="F20" s="1195" t="str">
        <f t="shared" si="1"/>
        <v>Other Personal Property</v>
      </c>
      <c r="G20" s="1296">
        <f t="shared" si="2"/>
        <v>0</v>
      </c>
      <c r="H20" s="60"/>
      <c r="I20" s="1294"/>
      <c r="J20" s="1295" t="s">
        <v>1167</v>
      </c>
      <c r="K20" s="1235">
        <f>(K13*K19)-K16</f>
        <v>0</v>
      </c>
      <c r="L20" s="60"/>
      <c r="M20" s="60"/>
      <c r="N20" s="60"/>
      <c r="O20" s="60"/>
      <c r="P20" s="60"/>
      <c r="Q20" s="1292"/>
    </row>
    <row r="21" spans="1:17" ht="16">
      <c r="A21" s="1319" t="s">
        <v>1168</v>
      </c>
      <c r="B21" s="1320"/>
      <c r="C21" s="15">
        <v>0</v>
      </c>
      <c r="D21" s="661">
        <v>0</v>
      </c>
      <c r="E21" s="18"/>
      <c r="F21" s="1195" t="str">
        <f t="shared" si="1"/>
        <v>Other Assets</v>
      </c>
      <c r="G21" s="1296">
        <f t="shared" si="2"/>
        <v>0</v>
      </c>
      <c r="H21" s="60"/>
      <c r="I21" s="3059" t="s">
        <v>1169</v>
      </c>
      <c r="J21" s="60" t="s">
        <v>1170</v>
      </c>
      <c r="K21" s="60"/>
      <c r="L21" s="60"/>
      <c r="M21" s="60"/>
      <c r="N21" s="60"/>
      <c r="O21" s="60"/>
      <c r="P21" s="60"/>
      <c r="Q21" s="1292"/>
    </row>
    <row r="22" spans="1:17" ht="17" thickBot="1">
      <c r="A22" s="1161" t="s">
        <v>943</v>
      </c>
      <c r="B22" s="1162"/>
      <c r="C22" s="1298">
        <f>SUM(C8:C21)</f>
        <v>0</v>
      </c>
      <c r="D22" s="1299" t="s">
        <v>923</v>
      </c>
      <c r="E22" s="1300"/>
      <c r="F22" s="1301" t="s">
        <v>1171</v>
      </c>
      <c r="G22" s="1302">
        <f>SUM(G8:G21)</f>
        <v>0</v>
      </c>
      <c r="H22" s="60"/>
      <c r="I22" s="3060"/>
      <c r="J22" s="1303" t="s">
        <v>1172</v>
      </c>
      <c r="K22" s="1303"/>
      <c r="L22" s="1303"/>
      <c r="M22" s="1303"/>
      <c r="N22" s="1303"/>
      <c r="O22" s="1303"/>
      <c r="P22" s="1303"/>
      <c r="Q22" s="1304"/>
    </row>
    <row r="23" spans="1:17" ht="17" thickTop="1">
      <c r="A23" s="1167"/>
      <c r="B23" s="1163"/>
      <c r="C23" s="1305"/>
      <c r="D23" s="1306"/>
      <c r="E23" s="1163"/>
      <c r="F23" s="1163"/>
      <c r="G23" s="1307"/>
      <c r="H23" s="60"/>
      <c r="I23" s="60"/>
      <c r="J23" s="60"/>
      <c r="K23" s="60"/>
      <c r="L23" s="60"/>
      <c r="M23" s="60"/>
      <c r="N23" s="60"/>
      <c r="O23" s="60"/>
      <c r="P23" s="60"/>
      <c r="Q23" s="60"/>
    </row>
    <row r="24" spans="1:17" ht="16">
      <c r="A24" s="3063" t="s">
        <v>1173</v>
      </c>
      <c r="B24" s="3064"/>
      <c r="C24" s="3064"/>
      <c r="D24" s="1306"/>
      <c r="E24" s="1163"/>
      <c r="F24" s="3064" t="s">
        <v>1173</v>
      </c>
      <c r="G24" s="3065"/>
      <c r="H24" s="60"/>
      <c r="I24" s="60"/>
      <c r="J24" s="60"/>
      <c r="K24" s="60"/>
      <c r="L24" s="60"/>
      <c r="M24" s="60"/>
      <c r="N24" s="60"/>
      <c r="O24" s="60"/>
      <c r="P24" s="60"/>
      <c r="Q24" s="60"/>
    </row>
    <row r="25" spans="1:17" ht="16">
      <c r="A25" s="1167" t="s">
        <v>945</v>
      </c>
      <c r="B25" s="1163"/>
      <c r="C25" s="14">
        <v>0</v>
      </c>
      <c r="D25" s="663">
        <f>G25-C25</f>
        <v>0</v>
      </c>
      <c r="E25" s="19"/>
      <c r="F25" s="1195" t="s">
        <v>1174</v>
      </c>
      <c r="G25" s="1308">
        <f>'Per Need 2'!I54</f>
        <v>0</v>
      </c>
      <c r="H25" s="60"/>
      <c r="I25" s="60"/>
      <c r="J25" s="60"/>
      <c r="K25" s="60"/>
      <c r="L25" s="60"/>
      <c r="M25" s="60"/>
      <c r="N25" s="60"/>
      <c r="O25" s="60"/>
      <c r="P25" s="60"/>
      <c r="Q25" s="60"/>
    </row>
    <row r="26" spans="1:17" ht="16">
      <c r="A26" s="1167" t="s">
        <v>1175</v>
      </c>
      <c r="B26" s="1163"/>
      <c r="C26" s="15">
        <v>0</v>
      </c>
      <c r="D26" s="660">
        <v>0</v>
      </c>
      <c r="E26" s="20"/>
      <c r="F26" s="1195" t="s">
        <v>1176</v>
      </c>
      <c r="G26" s="1309">
        <f>C26+D26</f>
        <v>0</v>
      </c>
      <c r="H26" s="60"/>
      <c r="I26" s="60"/>
      <c r="J26" s="60"/>
      <c r="K26" s="60"/>
      <c r="L26" s="60"/>
      <c r="M26" s="60"/>
      <c r="N26" s="60"/>
      <c r="O26" s="60"/>
      <c r="P26" s="60"/>
      <c r="Q26" s="60"/>
    </row>
    <row r="27" spans="1:17" ht="16">
      <c r="A27" s="1167" t="s">
        <v>1177</v>
      </c>
      <c r="B27" s="1163"/>
      <c r="C27" s="15">
        <v>0</v>
      </c>
      <c r="D27" s="662">
        <f>G27-C27</f>
        <v>0</v>
      </c>
      <c r="E27" s="20"/>
      <c r="F27" s="1195" t="s">
        <v>1178</v>
      </c>
      <c r="G27" s="1309">
        <f>'Per Need 2'!I23</f>
        <v>0</v>
      </c>
      <c r="H27" s="60"/>
      <c r="I27" s="60"/>
      <c r="J27" s="60"/>
      <c r="K27" s="60"/>
      <c r="L27" s="60"/>
      <c r="M27" s="60"/>
      <c r="N27" s="60"/>
      <c r="O27" s="60"/>
      <c r="P27" s="60"/>
      <c r="Q27" s="60"/>
    </row>
    <row r="28" spans="1:17" ht="16">
      <c r="A28" s="1167" t="s">
        <v>1179</v>
      </c>
      <c r="B28" s="1163"/>
      <c r="C28" s="15">
        <v>0</v>
      </c>
      <c r="D28" s="662">
        <f>G28-C28</f>
        <v>0</v>
      </c>
      <c r="E28" s="20"/>
      <c r="F28" s="1195" t="s">
        <v>1180</v>
      </c>
      <c r="G28" s="1309">
        <f>'Per Need 2'!I32</f>
        <v>0</v>
      </c>
      <c r="H28" s="60"/>
      <c r="I28" s="60"/>
      <c r="J28" s="60"/>
      <c r="K28" s="60"/>
      <c r="L28" s="60"/>
      <c r="M28" s="60"/>
      <c r="N28" s="60"/>
      <c r="O28" s="60"/>
      <c r="P28" s="60"/>
      <c r="Q28" s="60"/>
    </row>
    <row r="29" spans="1:17" ht="16">
      <c r="A29" s="1167" t="s">
        <v>1181</v>
      </c>
      <c r="B29" s="1163"/>
      <c r="C29" s="15">
        <v>0</v>
      </c>
      <c r="D29" s="660">
        <v>0</v>
      </c>
      <c r="E29" s="20"/>
      <c r="F29" s="1195" t="s">
        <v>1181</v>
      </c>
      <c r="G29" s="1309">
        <f>C29+D29</f>
        <v>0</v>
      </c>
      <c r="H29" s="60"/>
      <c r="I29" s="60"/>
      <c r="J29" s="60"/>
      <c r="K29" s="60"/>
      <c r="L29" s="60"/>
      <c r="M29" s="60"/>
      <c r="N29" s="60"/>
      <c r="O29" s="60"/>
      <c r="P29" s="60"/>
      <c r="Q29" s="60"/>
    </row>
    <row r="30" spans="1:17" ht="16">
      <c r="A30" s="1319" t="s">
        <v>1182</v>
      </c>
      <c r="B30" s="1320"/>
      <c r="C30" s="15">
        <v>0</v>
      </c>
      <c r="D30" s="660">
        <v>0</v>
      </c>
      <c r="E30" s="20"/>
      <c r="F30" s="1195" t="str">
        <f>A30</f>
        <v>Mortgage - SFR</v>
      </c>
      <c r="G30" s="1309">
        <f>'Per Need 2'!I7</f>
        <v>0</v>
      </c>
      <c r="H30" s="60"/>
      <c r="I30" s="60"/>
      <c r="J30" s="60"/>
      <c r="K30" s="60"/>
      <c r="L30" s="60"/>
      <c r="M30" s="60"/>
      <c r="N30" s="60"/>
      <c r="O30" s="60"/>
      <c r="P30" s="60"/>
      <c r="Q30" s="60"/>
    </row>
    <row r="31" spans="1:17" ht="16">
      <c r="A31" s="1319" t="s">
        <v>1183</v>
      </c>
      <c r="B31" s="1320"/>
      <c r="C31" s="15">
        <v>0</v>
      </c>
      <c r="D31" s="660">
        <v>0</v>
      </c>
      <c r="E31" s="20"/>
      <c r="F31" s="1195" t="str">
        <f t="shared" ref="F31:F34" si="3">A31</f>
        <v>Mortgage - Commercial</v>
      </c>
      <c r="G31" s="1309">
        <f t="shared" ref="G31:G37" si="4">C31+D31</f>
        <v>0</v>
      </c>
      <c r="H31" s="60"/>
      <c r="I31" s="60"/>
      <c r="J31" s="60"/>
      <c r="K31" s="60"/>
      <c r="L31" s="60"/>
      <c r="M31" s="60"/>
      <c r="N31" s="60"/>
      <c r="O31" s="60"/>
      <c r="P31" s="60"/>
      <c r="Q31" s="60"/>
    </row>
    <row r="32" spans="1:17" ht="16">
      <c r="A32" s="1319" t="s">
        <v>1183</v>
      </c>
      <c r="B32" s="1320"/>
      <c r="C32" s="15">
        <v>0</v>
      </c>
      <c r="D32" s="660">
        <v>0</v>
      </c>
      <c r="E32" s="20"/>
      <c r="F32" s="1195" t="str">
        <f t="shared" si="3"/>
        <v>Mortgage - Commercial</v>
      </c>
      <c r="G32" s="1309">
        <f t="shared" si="4"/>
        <v>0</v>
      </c>
      <c r="H32" s="60"/>
      <c r="I32" s="60"/>
      <c r="J32" s="60"/>
      <c r="K32" s="60"/>
      <c r="L32" s="60"/>
      <c r="M32" s="60"/>
      <c r="N32" s="60"/>
      <c r="O32" s="60"/>
      <c r="P32" s="60"/>
      <c r="Q32" s="60"/>
    </row>
    <row r="33" spans="1:17" ht="16">
      <c r="A33" s="1319" t="s">
        <v>1184</v>
      </c>
      <c r="B33" s="1320"/>
      <c r="C33" s="15">
        <v>0</v>
      </c>
      <c r="D33" s="660">
        <v>0</v>
      </c>
      <c r="E33" s="20"/>
      <c r="F33" s="1195" t="str">
        <f t="shared" si="3"/>
        <v>Mortgage - Rental</v>
      </c>
      <c r="G33" s="1309">
        <f t="shared" si="4"/>
        <v>0</v>
      </c>
      <c r="H33" s="60"/>
      <c r="I33" s="60"/>
      <c r="J33" s="60"/>
      <c r="K33" s="60"/>
      <c r="L33" s="60"/>
      <c r="M33" s="60"/>
      <c r="N33" s="60"/>
      <c r="O33" s="60"/>
      <c r="P33" s="60"/>
      <c r="Q33" s="60"/>
    </row>
    <row r="34" spans="1:17" ht="16">
      <c r="A34" s="1319" t="s">
        <v>1184</v>
      </c>
      <c r="B34" s="1320"/>
      <c r="C34" s="15">
        <v>0</v>
      </c>
      <c r="D34" s="660">
        <v>0</v>
      </c>
      <c r="E34" s="20"/>
      <c r="F34" s="1195" t="str">
        <f t="shared" si="3"/>
        <v>Mortgage - Rental</v>
      </c>
      <c r="G34" s="1309">
        <f t="shared" si="4"/>
        <v>0</v>
      </c>
      <c r="H34" s="60"/>
      <c r="I34" s="60"/>
      <c r="J34" s="60"/>
      <c r="K34" s="60"/>
      <c r="L34" s="60"/>
      <c r="M34" s="60"/>
      <c r="N34" s="60"/>
      <c r="O34" s="60"/>
      <c r="P34" s="60"/>
      <c r="Q34" s="60"/>
    </row>
    <row r="35" spans="1:17" ht="16">
      <c r="A35" s="1319" t="s">
        <v>1185</v>
      </c>
      <c r="B35" s="1320"/>
      <c r="C35" s="15">
        <v>0</v>
      </c>
      <c r="D35" s="660">
        <v>0</v>
      </c>
      <c r="E35" s="20"/>
      <c r="F35" s="1195" t="s">
        <v>1185</v>
      </c>
      <c r="G35" s="1309">
        <f t="shared" si="4"/>
        <v>0</v>
      </c>
      <c r="H35" s="60"/>
      <c r="I35" s="60"/>
      <c r="J35" s="60"/>
      <c r="K35" s="60"/>
      <c r="L35" s="60"/>
      <c r="M35" s="60"/>
      <c r="N35" s="60"/>
      <c r="O35" s="60"/>
      <c r="P35" s="60"/>
      <c r="Q35" s="60"/>
    </row>
    <row r="36" spans="1:17" ht="16">
      <c r="A36" s="1319" t="s">
        <v>1186</v>
      </c>
      <c r="B36" s="1320"/>
      <c r="C36" s="15">
        <v>0</v>
      </c>
      <c r="D36" s="660">
        <v>0</v>
      </c>
      <c r="E36" s="20"/>
      <c r="F36" s="1195" t="s">
        <v>1186</v>
      </c>
      <c r="G36" s="1309">
        <f t="shared" si="4"/>
        <v>0</v>
      </c>
      <c r="H36" s="60"/>
      <c r="I36" s="60"/>
      <c r="J36" s="60"/>
      <c r="K36" s="60"/>
      <c r="L36" s="60"/>
      <c r="M36" s="60"/>
      <c r="N36" s="60"/>
      <c r="O36" s="60"/>
      <c r="P36" s="60"/>
      <c r="Q36" s="60"/>
    </row>
    <row r="37" spans="1:17" ht="16">
      <c r="A37" s="1319" t="s">
        <v>958</v>
      </c>
      <c r="B37" s="1320"/>
      <c r="C37" s="15">
        <v>0</v>
      </c>
      <c r="D37" s="661">
        <v>0</v>
      </c>
      <c r="E37" s="21"/>
      <c r="F37" s="1195" t="s">
        <v>958</v>
      </c>
      <c r="G37" s="1309">
        <f t="shared" si="4"/>
        <v>0</v>
      </c>
      <c r="H37" s="60"/>
      <c r="I37" s="60"/>
      <c r="J37" s="60"/>
      <c r="K37" s="60"/>
      <c r="L37" s="60"/>
      <c r="M37" s="60"/>
      <c r="N37" s="60"/>
      <c r="O37" s="60"/>
      <c r="P37" s="60"/>
      <c r="Q37" s="60"/>
    </row>
    <row r="38" spans="1:17" ht="17" thickBot="1">
      <c r="A38" s="1161" t="s">
        <v>960</v>
      </c>
      <c r="B38" s="1162"/>
      <c r="C38" s="1298">
        <f>SUM(C25:C37)</f>
        <v>0</v>
      </c>
      <c r="D38" s="1310" t="s">
        <v>923</v>
      </c>
      <c r="E38" s="1151"/>
      <c r="F38" s="1301" t="s">
        <v>1187</v>
      </c>
      <c r="G38" s="1302">
        <f>SUM(G25:G37)</f>
        <v>0</v>
      </c>
      <c r="H38" s="60"/>
      <c r="I38" s="60"/>
      <c r="J38" s="60"/>
      <c r="K38" s="60"/>
      <c r="L38" s="60"/>
      <c r="M38" s="60"/>
      <c r="N38" s="60"/>
      <c r="O38" s="60"/>
      <c r="P38" s="60"/>
      <c r="Q38" s="60"/>
    </row>
    <row r="39" spans="1:17" ht="17" thickTop="1">
      <c r="A39" s="1167"/>
      <c r="B39" s="1163"/>
      <c r="C39" s="1311"/>
      <c r="D39" s="1306"/>
      <c r="E39" s="1163"/>
      <c r="F39" s="1163"/>
      <c r="G39" s="1312"/>
      <c r="H39" s="60"/>
      <c r="I39" s="60"/>
      <c r="J39" s="60"/>
      <c r="K39" s="60"/>
      <c r="L39" s="60"/>
      <c r="M39" s="60"/>
      <c r="N39" s="60"/>
      <c r="O39" s="60"/>
      <c r="P39" s="60"/>
      <c r="Q39" s="60"/>
    </row>
    <row r="40" spans="1:17" ht="16">
      <c r="A40" s="1161" t="s">
        <v>964</v>
      </c>
      <c r="B40" s="1301"/>
      <c r="C40" s="510">
        <f>C22-C38</f>
        <v>0</v>
      </c>
      <c r="D40" s="1310" t="s">
        <v>923</v>
      </c>
      <c r="E40" s="1151"/>
      <c r="F40" s="1301" t="s">
        <v>1188</v>
      </c>
      <c r="G40" s="1313">
        <f>G22-G38</f>
        <v>0</v>
      </c>
      <c r="H40" s="60"/>
      <c r="I40" s="60"/>
      <c r="J40" s="60"/>
      <c r="K40" s="60"/>
      <c r="L40" s="60"/>
      <c r="M40" s="60"/>
      <c r="N40" s="60"/>
      <c r="O40" s="60"/>
      <c r="P40" s="60"/>
      <c r="Q40" s="60"/>
    </row>
    <row r="41" spans="1:17" ht="16">
      <c r="A41" s="1161" t="s">
        <v>276</v>
      </c>
      <c r="B41" s="1162"/>
      <c r="C41" s="1314">
        <f>C8+C9+C13</f>
        <v>0</v>
      </c>
      <c r="D41" s="1315"/>
      <c r="E41" s="1151"/>
      <c r="F41" s="1162" t="s">
        <v>1189</v>
      </c>
      <c r="G41" s="1314">
        <f>G8+G9+G13</f>
        <v>0</v>
      </c>
      <c r="H41" s="60"/>
      <c r="I41" s="60"/>
      <c r="J41" s="60"/>
      <c r="K41" s="60"/>
      <c r="L41" s="60"/>
      <c r="M41" s="60"/>
      <c r="N41" s="60"/>
      <c r="O41" s="60"/>
      <c r="P41" s="60"/>
      <c r="Q41" s="60"/>
    </row>
    <row r="42" spans="1:17" ht="17" thickBot="1">
      <c r="A42" s="1161" t="s">
        <v>1190</v>
      </c>
      <c r="B42" s="1162"/>
      <c r="C42" s="1316"/>
      <c r="D42" s="1315"/>
      <c r="E42" s="1151"/>
      <c r="F42" s="1162"/>
      <c r="G42" s="1317"/>
      <c r="H42" s="60"/>
      <c r="I42" s="60"/>
      <c r="J42" s="60"/>
      <c r="K42" s="60"/>
      <c r="L42" s="60"/>
      <c r="M42" s="60"/>
      <c r="N42" s="60"/>
      <c r="O42" s="60"/>
      <c r="P42" s="60"/>
      <c r="Q42" s="60"/>
    </row>
    <row r="43" spans="1:17" ht="16">
      <c r="A43" s="3116"/>
      <c r="B43" s="3117"/>
      <c r="C43" s="3117"/>
      <c r="D43" s="3117"/>
      <c r="E43" s="3117"/>
      <c r="F43" s="3117"/>
      <c r="G43" s="3118"/>
      <c r="H43" s="60"/>
      <c r="I43" s="60"/>
      <c r="J43" s="60"/>
      <c r="K43" s="60"/>
      <c r="L43" s="60"/>
      <c r="M43" s="60"/>
      <c r="N43" s="60"/>
      <c r="O43" s="60"/>
      <c r="P43" s="60"/>
      <c r="Q43" s="60"/>
    </row>
    <row r="44" spans="1:17" ht="16">
      <c r="A44" s="3113"/>
      <c r="B44" s="3114"/>
      <c r="C44" s="3114"/>
      <c r="D44" s="3114"/>
      <c r="E44" s="3114"/>
      <c r="F44" s="3114"/>
      <c r="G44" s="3115"/>
      <c r="H44" s="60"/>
      <c r="I44" s="60"/>
      <c r="J44" s="60"/>
      <c r="K44" s="60"/>
      <c r="L44" s="60"/>
      <c r="M44" s="60"/>
      <c r="N44" s="60"/>
      <c r="O44" s="60"/>
      <c r="P44" s="60"/>
      <c r="Q44" s="60"/>
    </row>
    <row r="45" spans="1:17" ht="16">
      <c r="A45" s="3113"/>
      <c r="B45" s="3114"/>
      <c r="C45" s="3114"/>
      <c r="D45" s="3114"/>
      <c r="E45" s="3114"/>
      <c r="F45" s="3114"/>
      <c r="G45" s="3115"/>
      <c r="H45" s="60"/>
      <c r="I45" s="60"/>
      <c r="J45" s="60"/>
      <c r="K45" s="60"/>
      <c r="L45" s="60"/>
      <c r="M45" s="60"/>
      <c r="N45" s="60"/>
      <c r="O45" s="60"/>
      <c r="P45" s="60"/>
      <c r="Q45" s="60"/>
    </row>
    <row r="46" spans="1:17" ht="16">
      <c r="A46" s="3113"/>
      <c r="B46" s="3114"/>
      <c r="C46" s="3114"/>
      <c r="D46" s="3114"/>
      <c r="E46" s="3114"/>
      <c r="F46" s="3114"/>
      <c r="G46" s="3115"/>
      <c r="H46" s="60"/>
      <c r="I46" s="60"/>
      <c r="J46" s="60"/>
      <c r="K46" s="60"/>
      <c r="L46" s="60"/>
      <c r="M46" s="60"/>
      <c r="N46" s="60"/>
      <c r="O46" s="60"/>
      <c r="P46" s="60"/>
      <c r="Q46" s="60"/>
    </row>
    <row r="47" spans="1:17" ht="16">
      <c r="A47" s="3113"/>
      <c r="B47" s="3114"/>
      <c r="C47" s="3114"/>
      <c r="D47" s="3114"/>
      <c r="E47" s="3114"/>
      <c r="F47" s="3114"/>
      <c r="G47" s="3115"/>
      <c r="H47" s="60"/>
      <c r="I47" s="60"/>
      <c r="J47" s="60"/>
      <c r="K47" s="60"/>
      <c r="L47" s="60"/>
      <c r="M47" s="60"/>
      <c r="N47" s="60"/>
      <c r="O47" s="60"/>
      <c r="P47" s="60"/>
      <c r="Q47" s="60"/>
    </row>
    <row r="48" spans="1:17" ht="16">
      <c r="A48" s="3113"/>
      <c r="B48" s="3114"/>
      <c r="C48" s="3114"/>
      <c r="D48" s="3114"/>
      <c r="E48" s="3114"/>
      <c r="F48" s="3114"/>
      <c r="G48" s="3115"/>
      <c r="H48" s="60"/>
      <c r="I48" s="60"/>
      <c r="J48" s="60"/>
      <c r="K48" s="60"/>
      <c r="L48" s="60"/>
      <c r="M48" s="60"/>
      <c r="N48" s="60"/>
      <c r="O48" s="60"/>
      <c r="P48" s="60"/>
      <c r="Q48" s="60"/>
    </row>
    <row r="49" spans="1:17" ht="16">
      <c r="A49" s="3113"/>
      <c r="B49" s="3114"/>
      <c r="C49" s="3114"/>
      <c r="D49" s="3114"/>
      <c r="E49" s="3114"/>
      <c r="F49" s="3114"/>
      <c r="G49" s="3115"/>
      <c r="H49" s="60"/>
      <c r="I49" s="60"/>
      <c r="J49" s="60"/>
      <c r="K49" s="60"/>
      <c r="L49" s="60"/>
      <c r="M49" s="60"/>
      <c r="N49" s="60"/>
      <c r="O49" s="60"/>
      <c r="P49" s="60"/>
      <c r="Q49" s="60"/>
    </row>
    <row r="50" spans="1:17" ht="16">
      <c r="A50" s="3113"/>
      <c r="B50" s="3114"/>
      <c r="C50" s="3114"/>
      <c r="D50" s="3114"/>
      <c r="E50" s="3114"/>
      <c r="F50" s="3114"/>
      <c r="G50" s="3115"/>
      <c r="H50" s="60"/>
      <c r="I50" s="60"/>
      <c r="J50" s="60"/>
      <c r="K50" s="60"/>
      <c r="L50" s="60"/>
      <c r="M50" s="60"/>
      <c r="N50" s="60"/>
      <c r="O50" s="60"/>
      <c r="P50" s="60"/>
      <c r="Q50" s="60"/>
    </row>
    <row r="51" spans="1:17" ht="16">
      <c r="A51" s="3113"/>
      <c r="B51" s="3114"/>
      <c r="C51" s="3114"/>
      <c r="D51" s="3114"/>
      <c r="E51" s="3114"/>
      <c r="F51" s="3114"/>
      <c r="G51" s="3115"/>
      <c r="H51" s="60"/>
      <c r="I51" s="60"/>
      <c r="J51" s="60"/>
      <c r="K51" s="60"/>
      <c r="L51" s="60"/>
      <c r="M51" s="60"/>
      <c r="N51" s="60"/>
      <c r="O51" s="60"/>
      <c r="P51" s="60"/>
      <c r="Q51" s="60"/>
    </row>
    <row r="52" spans="1:17" ht="16">
      <c r="A52" s="3113"/>
      <c r="B52" s="3114"/>
      <c r="C52" s="3114"/>
      <c r="D52" s="3114"/>
      <c r="E52" s="3114"/>
      <c r="F52" s="3114"/>
      <c r="G52" s="3115"/>
      <c r="H52" s="60"/>
      <c r="I52" s="60"/>
      <c r="J52" s="60"/>
      <c r="K52" s="60"/>
      <c r="L52" s="60"/>
      <c r="M52" s="60"/>
      <c r="N52" s="60"/>
      <c r="O52" s="60"/>
      <c r="P52" s="60"/>
      <c r="Q52" s="60"/>
    </row>
    <row r="53" spans="1:17" ht="16">
      <c r="A53" s="3113"/>
      <c r="B53" s="3114"/>
      <c r="C53" s="3114"/>
      <c r="D53" s="3114"/>
      <c r="E53" s="3114"/>
      <c r="F53" s="3114"/>
      <c r="G53" s="3115"/>
      <c r="H53" s="60"/>
      <c r="I53" s="60"/>
      <c r="J53" s="60"/>
      <c r="K53" s="60"/>
      <c r="L53" s="60"/>
      <c r="M53" s="60"/>
      <c r="N53" s="60"/>
      <c r="O53" s="60"/>
      <c r="P53" s="60"/>
      <c r="Q53" s="60"/>
    </row>
    <row r="54" spans="1:17" ht="17" thickBot="1">
      <c r="A54" s="3119"/>
      <c r="B54" s="3120"/>
      <c r="C54" s="3120"/>
      <c r="D54" s="3120"/>
      <c r="E54" s="3120"/>
      <c r="F54" s="3120"/>
      <c r="G54" s="3121"/>
      <c r="H54" s="60"/>
      <c r="I54" s="60"/>
      <c r="J54" s="60"/>
      <c r="K54" s="60"/>
      <c r="L54" s="60"/>
      <c r="M54" s="60"/>
      <c r="N54" s="60"/>
      <c r="O54" s="60"/>
      <c r="P54" s="60"/>
      <c r="Q54" s="60"/>
    </row>
  </sheetData>
  <sheetProtection algorithmName="SHA-512" hashValue="u1UY+NY77O5KLc3AjcmQg6hSQRNFVa7VjEuvL5cDZ6xeC23HMPUgRZdzeU3e3CvmG/ZKFuoRo7TjiivJ1/bbBA==" saltValue="LMxPQpyMLKh2x78SfNTLfg==" spinCount="100000" sheet="1" scenarios="1" formatCells="0" formatColumns="0" formatRows="0"/>
  <customSheetViews>
    <customSheetView guid="{EDC0EC15-0264-48C8-A990-093960AE8EF3}" scale="85" showPageBreaks="1" showGridLines="0" printArea="1">
      <selection activeCell="B4" sqref="B4"/>
      <pageMargins left="0" right="0" top="0" bottom="0" header="0" footer="0"/>
      <printOptions horizontalCentered="1"/>
      <pageSetup scale="82" orientation="portrait" r:id="rId1"/>
      <headerFooter differentFirst="1">
        <firstHeader>&amp;L&amp;G&amp;C&amp;8
&amp;18Credit Memo</firstHeader>
      </headerFooter>
    </customSheetView>
    <customSheetView guid="{6E1FDEE6-49D0-4876-8C7C-09893145D2CE}" scale="85" showPageBreaks="1" showGridLines="0" printArea="1">
      <selection activeCell="B4" sqref="B4"/>
      <pageMargins left="0" right="0" top="0" bottom="0" header="0" footer="0"/>
      <printOptions horizontalCentered="1"/>
      <pageSetup scale="82" orientation="portrait" r:id="rId2"/>
      <headerFooter differentFirst="1">
        <firstHeader>&amp;L&amp;G&amp;C&amp;8
&amp;18Credit Memo</firstHeader>
      </headerFooter>
    </customSheetView>
    <customSheetView guid="{DB1F6E98-7FCC-445F-9DA6-47D8BF8BE969}" scale="85" showPageBreaks="1" showGridLines="0" printArea="1">
      <selection activeCell="B4" sqref="B4"/>
      <pageMargins left="0" right="0" top="0" bottom="0" header="0" footer="0"/>
      <printOptions horizontalCentered="1"/>
      <pageSetup scale="82" orientation="portrait" r:id="rId3"/>
      <headerFooter differentFirst="1">
        <firstHeader>&amp;L&amp;G&amp;C&amp;8
&amp;18Credit Memo</firstHeader>
      </headerFooter>
    </customSheetView>
    <customSheetView guid="{C02CA8E5-5D4C-45E5-BC4A-4C9BE481059B}" scale="85" showPageBreaks="1" showGridLines="0" printArea="1">
      <selection activeCell="B4" sqref="B4"/>
      <pageMargins left="0" right="0" top="0" bottom="0" header="0" footer="0"/>
      <printOptions horizontalCentered="1"/>
      <pageSetup scale="82" orientation="portrait" r:id="rId4"/>
      <headerFooter differentFirst="1">
        <firstHeader>&amp;L&amp;G&amp;C&amp;8
&amp;18Credit Memo</firstHeader>
      </headerFooter>
    </customSheetView>
  </customSheetViews>
  <mergeCells count="23">
    <mergeCell ref="I6:L6"/>
    <mergeCell ref="A1:G1"/>
    <mergeCell ref="B3:F3"/>
    <mergeCell ref="A6:C6"/>
    <mergeCell ref="F6:G6"/>
    <mergeCell ref="A52:G52"/>
    <mergeCell ref="A53:G53"/>
    <mergeCell ref="A54:G54"/>
    <mergeCell ref="A47:G47"/>
    <mergeCell ref="A48:G48"/>
    <mergeCell ref="I7:L7"/>
    <mergeCell ref="I21:I22"/>
    <mergeCell ref="A49:G49"/>
    <mergeCell ref="A50:G50"/>
    <mergeCell ref="A51:G51"/>
    <mergeCell ref="A24:C24"/>
    <mergeCell ref="F24:G24"/>
    <mergeCell ref="A43:G43"/>
    <mergeCell ref="A44:G44"/>
    <mergeCell ref="A45:G45"/>
    <mergeCell ref="A46:G46"/>
    <mergeCell ref="A7:C7"/>
    <mergeCell ref="F7:G7"/>
  </mergeCells>
  <printOptions horizontalCentered="1"/>
  <pageMargins left="0.7" right="0.7" top="0.75" bottom="0.75" header="0.3" footer="0.3"/>
  <pageSetup scale="79" orientation="portrait" r:id="rId5"/>
  <headerFooter differentFirst="1">
    <firstHeader>&amp;L&amp;G&amp;C&amp;8
&amp;18Credit Memo</first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X66"/>
  <sheetViews>
    <sheetView showGridLines="0" topLeftCell="D1" zoomScale="82" zoomScaleNormal="82" workbookViewId="0">
      <selection activeCell="F18" sqref="F18"/>
    </sheetView>
  </sheetViews>
  <sheetFormatPr baseColWidth="10" defaultColWidth="8.83203125" defaultRowHeight="15"/>
  <cols>
    <col min="1" max="1" width="26.5" bestFit="1" customWidth="1"/>
    <col min="2" max="3" width="3.6640625" bestFit="1" customWidth="1"/>
    <col min="4" max="5" width="15.6640625" customWidth="1"/>
    <col min="6" max="6" width="2.6640625" customWidth="1"/>
    <col min="7" max="8" width="15.6640625" customWidth="1"/>
    <col min="9" max="9" width="2.6640625" customWidth="1"/>
    <col min="10" max="11" width="15.6640625" customWidth="1"/>
    <col min="12" max="12" width="2.6640625" customWidth="1"/>
    <col min="13" max="14" width="15.6640625" customWidth="1"/>
    <col min="15" max="15" width="2.6640625" customWidth="1"/>
    <col min="16" max="17" width="15.6640625" customWidth="1"/>
    <col min="18" max="18" width="2.6640625" customWidth="1"/>
    <col min="19" max="20" width="15.6640625" customWidth="1"/>
  </cols>
  <sheetData>
    <row r="1" spans="1:24" ht="16">
      <c r="A1" s="2922" t="s">
        <v>1191</v>
      </c>
      <c r="B1" s="2923"/>
      <c r="C1" s="2923"/>
      <c r="D1" s="2923"/>
      <c r="E1" s="2923"/>
      <c r="F1" s="2923"/>
      <c r="G1" s="2923"/>
      <c r="H1" s="2923"/>
      <c r="I1" s="2923"/>
      <c r="J1" s="2923"/>
      <c r="K1" s="2923"/>
      <c r="L1" s="2923"/>
      <c r="M1" s="2923"/>
      <c r="N1" s="2923"/>
      <c r="O1" s="2923"/>
      <c r="P1" s="2923"/>
      <c r="Q1" s="2923"/>
      <c r="R1" s="2923"/>
      <c r="S1" s="2923"/>
      <c r="T1" s="2924"/>
      <c r="V1" s="1741"/>
      <c r="W1" s="1741"/>
      <c r="X1" s="1741"/>
    </row>
    <row r="2" spans="1:24" ht="17" thickBot="1">
      <c r="A2" s="1161" t="s">
        <v>1192</v>
      </c>
      <c r="B2" s="1162"/>
      <c r="C2" s="1321"/>
      <c r="D2" s="3108" t="str">
        <f>'Per Need 2'!B3</f>
        <v>{Name of Guarantor/Principal}</v>
      </c>
      <c r="E2" s="3109"/>
      <c r="F2" s="3109"/>
      <c r="G2" s="3109"/>
      <c r="H2" s="3109"/>
      <c r="I2" s="3109"/>
      <c r="J2" s="3109"/>
      <c r="K2" s="3110"/>
      <c r="L2" s="122"/>
      <c r="M2" s="122"/>
      <c r="N2" s="122"/>
      <c r="O2" s="122"/>
      <c r="P2" s="122"/>
      <c r="Q2" s="122"/>
      <c r="R2" s="122"/>
      <c r="S2" s="122"/>
      <c r="T2" s="195"/>
    </row>
    <row r="3" spans="1:24" ht="17" thickBot="1">
      <c r="A3" s="1167"/>
      <c r="B3" s="1322" t="s">
        <v>795</v>
      </c>
      <c r="C3" s="1323"/>
      <c r="D3" s="1163"/>
      <c r="E3" s="1163"/>
      <c r="F3" s="1163"/>
      <c r="G3" s="1163"/>
      <c r="H3" s="1163"/>
      <c r="I3" s="1163"/>
      <c r="J3" s="1163"/>
      <c r="K3" s="1163"/>
      <c r="L3" s="1163"/>
      <c r="M3" s="1163"/>
      <c r="N3" s="1163"/>
      <c r="O3" s="1163"/>
      <c r="P3" s="1163"/>
      <c r="Q3" s="1163"/>
      <c r="R3" s="1163"/>
      <c r="S3" s="1163"/>
      <c r="T3" s="1154"/>
      <c r="U3" t="s">
        <v>1218</v>
      </c>
    </row>
    <row r="4" spans="1:24" ht="15" customHeight="1">
      <c r="A4" s="1324" t="s">
        <v>1194</v>
      </c>
      <c r="B4" s="1178"/>
      <c r="C4" s="1321"/>
      <c r="D4" s="3096"/>
      <c r="E4" s="3096"/>
      <c r="F4" s="1325"/>
      <c r="G4" s="3096"/>
      <c r="H4" s="3096"/>
      <c r="I4" s="1325"/>
      <c r="J4" s="3096"/>
      <c r="K4" s="3096"/>
      <c r="L4" s="1325"/>
      <c r="M4" s="3096"/>
      <c r="N4" s="3096"/>
      <c r="O4" s="1325"/>
      <c r="P4" s="3096"/>
      <c r="Q4" s="3096"/>
      <c r="R4" s="1325"/>
      <c r="S4" s="3096"/>
      <c r="T4" s="3097"/>
    </row>
    <row r="5" spans="1:24" ht="15" customHeight="1">
      <c r="A5" s="1161" t="s">
        <v>664</v>
      </c>
      <c r="B5" s="1178"/>
      <c r="C5" s="1321"/>
      <c r="D5" s="3098"/>
      <c r="E5" s="3098"/>
      <c r="F5" s="1162"/>
      <c r="G5" s="3098"/>
      <c r="H5" s="3098"/>
      <c r="I5" s="1162"/>
      <c r="J5" s="3098"/>
      <c r="K5" s="3098"/>
      <c r="L5" s="1162"/>
      <c r="M5" s="3098"/>
      <c r="N5" s="3098"/>
      <c r="O5" s="1162"/>
      <c r="P5" s="3098"/>
      <c r="Q5" s="3098"/>
      <c r="R5" s="1162"/>
      <c r="S5" s="3098"/>
      <c r="T5" s="3099"/>
    </row>
    <row r="6" spans="1:24" ht="16">
      <c r="A6" s="1326" t="s">
        <v>1195</v>
      </c>
      <c r="B6" s="257"/>
      <c r="C6" s="1327"/>
      <c r="D6" s="3100"/>
      <c r="E6" s="3100"/>
      <c r="F6" s="1328"/>
      <c r="G6" s="3100"/>
      <c r="H6" s="3100"/>
      <c r="I6" s="1328"/>
      <c r="J6" s="3100"/>
      <c r="K6" s="3100"/>
      <c r="L6" s="1328"/>
      <c r="M6" s="3100"/>
      <c r="N6" s="3100"/>
      <c r="O6" s="1328"/>
      <c r="P6" s="3100"/>
      <c r="Q6" s="3100"/>
      <c r="R6" s="1328"/>
      <c r="S6" s="3100"/>
      <c r="T6" s="3101"/>
    </row>
    <row r="7" spans="1:24" ht="16">
      <c r="A7" s="1326" t="s">
        <v>103</v>
      </c>
      <c r="B7" s="257"/>
      <c r="C7" s="1327"/>
      <c r="D7" s="3078"/>
      <c r="E7" s="3078"/>
      <c r="F7" s="1328"/>
      <c r="G7" s="3078"/>
      <c r="H7" s="3078"/>
      <c r="I7" s="1328"/>
      <c r="J7" s="3078"/>
      <c r="K7" s="3078"/>
      <c r="L7" s="1328"/>
      <c r="M7" s="3078"/>
      <c r="N7" s="3078"/>
      <c r="O7" s="1328"/>
      <c r="P7" s="3078"/>
      <c r="Q7" s="3078"/>
      <c r="R7" s="1328"/>
      <c r="S7" s="3078"/>
      <c r="T7" s="3079"/>
    </row>
    <row r="8" spans="1:24" ht="16">
      <c r="A8" s="1326" t="s">
        <v>1196</v>
      </c>
      <c r="B8" s="257"/>
      <c r="C8" s="1327"/>
      <c r="D8" s="3078"/>
      <c r="E8" s="3078"/>
      <c r="F8" s="1328"/>
      <c r="G8" s="3078"/>
      <c r="H8" s="3078"/>
      <c r="I8" s="1328"/>
      <c r="J8" s="3078"/>
      <c r="K8" s="3078"/>
      <c r="L8" s="1328"/>
      <c r="M8" s="3078"/>
      <c r="N8" s="3078"/>
      <c r="O8" s="1328"/>
      <c r="P8" s="3078"/>
      <c r="Q8" s="3078"/>
      <c r="R8" s="1328"/>
      <c r="S8" s="3078"/>
      <c r="T8" s="3079"/>
    </row>
    <row r="9" spans="1:24" ht="16">
      <c r="A9" s="1326" t="s">
        <v>1161</v>
      </c>
      <c r="B9" s="257"/>
      <c r="C9" s="1327"/>
      <c r="D9" s="3078"/>
      <c r="E9" s="3078"/>
      <c r="F9" s="1328"/>
      <c r="G9" s="3078"/>
      <c r="H9" s="3078"/>
      <c r="I9" s="1328"/>
      <c r="J9" s="3078"/>
      <c r="K9" s="3078"/>
      <c r="L9" s="1328"/>
      <c r="M9" s="3078"/>
      <c r="N9" s="3078"/>
      <c r="O9" s="1328"/>
      <c r="P9" s="3078"/>
      <c r="Q9" s="3078"/>
      <c r="R9" s="1328"/>
      <c r="S9" s="3078"/>
      <c r="T9" s="3079"/>
    </row>
    <row r="10" spans="1:24" ht="17" thickBot="1">
      <c r="A10" s="1329" t="s">
        <v>1197</v>
      </c>
      <c r="B10" s="257"/>
      <c r="C10" s="1327"/>
      <c r="D10" s="3080">
        <f>D8-D9</f>
        <v>0</v>
      </c>
      <c r="E10" s="3080"/>
      <c r="F10" s="1328"/>
      <c r="G10" s="3080">
        <f>G8-G9</f>
        <v>0</v>
      </c>
      <c r="H10" s="3080"/>
      <c r="I10" s="1328"/>
      <c r="J10" s="3080">
        <f>J8-J9</f>
        <v>0</v>
      </c>
      <c r="K10" s="3080"/>
      <c r="L10" s="1328"/>
      <c r="M10" s="3080">
        <f>M8-M9</f>
        <v>0</v>
      </c>
      <c r="N10" s="3080"/>
      <c r="O10" s="1328"/>
      <c r="P10" s="3080">
        <f>P8-P9</f>
        <v>0</v>
      </c>
      <c r="Q10" s="3080"/>
      <c r="R10" s="1328"/>
      <c r="S10" s="3080">
        <f>S8-S9</f>
        <v>0</v>
      </c>
      <c r="T10" s="3081"/>
    </row>
    <row r="11" spans="1:24" ht="17" thickBot="1">
      <c r="A11" s="1330"/>
      <c r="B11" s="258"/>
      <c r="C11" s="1331"/>
      <c r="D11" s="244"/>
      <c r="E11" s="1332"/>
      <c r="F11" s="1328"/>
      <c r="G11" s="244"/>
      <c r="H11" s="1332"/>
      <c r="I11" s="1328"/>
      <c r="J11" s="244"/>
      <c r="K11" s="1332"/>
      <c r="L11" s="1328"/>
      <c r="M11" s="244"/>
      <c r="N11" s="1332"/>
      <c r="O11" s="1328"/>
      <c r="P11" s="244"/>
      <c r="Q11" s="1332"/>
      <c r="R11" s="1328"/>
      <c r="S11" s="244"/>
      <c r="T11" s="1333"/>
    </row>
    <row r="12" spans="1:24" ht="16">
      <c r="A12" s="1334" t="s">
        <v>1198</v>
      </c>
      <c r="B12" s="258"/>
      <c r="C12" s="1331"/>
      <c r="D12" s="3096"/>
      <c r="E12" s="3096"/>
      <c r="F12" s="1328"/>
      <c r="G12" s="3096"/>
      <c r="H12" s="3096"/>
      <c r="I12" s="1328"/>
      <c r="J12" s="3096"/>
      <c r="K12" s="3096"/>
      <c r="L12" s="1328"/>
      <c r="M12" s="3096"/>
      <c r="N12" s="3096"/>
      <c r="O12" s="1328"/>
      <c r="P12" s="3096"/>
      <c r="Q12" s="3096"/>
      <c r="R12" s="1328"/>
      <c r="S12" s="3096"/>
      <c r="T12" s="3097"/>
    </row>
    <row r="13" spans="1:24" ht="17" thickBot="1">
      <c r="A13" s="1335" t="s">
        <v>1199</v>
      </c>
      <c r="B13" s="258"/>
      <c r="C13" s="1331"/>
      <c r="D13" s="3100"/>
      <c r="E13" s="3100"/>
      <c r="F13" s="1328"/>
      <c r="G13" s="3100"/>
      <c r="H13" s="3100"/>
      <c r="I13" s="1328"/>
      <c r="J13" s="3100"/>
      <c r="K13" s="3100"/>
      <c r="L13" s="1328"/>
      <c r="M13" s="3100"/>
      <c r="N13" s="3100"/>
      <c r="O13" s="1328"/>
      <c r="P13" s="3100"/>
      <c r="Q13" s="3100"/>
      <c r="R13" s="1328"/>
      <c r="S13" s="3100"/>
      <c r="T13" s="3101"/>
    </row>
    <row r="14" spans="1:24" ht="17" thickBot="1">
      <c r="A14" s="1330"/>
      <c r="B14" s="258"/>
      <c r="C14" s="1331"/>
      <c r="D14" s="244"/>
      <c r="E14" s="1332"/>
      <c r="F14" s="1328"/>
      <c r="G14" s="244"/>
      <c r="H14" s="1332"/>
      <c r="I14" s="1328"/>
      <c r="J14" s="244"/>
      <c r="K14" s="1332"/>
      <c r="L14" s="1328"/>
      <c r="M14" s="244"/>
      <c r="N14" s="1332"/>
      <c r="O14" s="1328"/>
      <c r="P14" s="244"/>
      <c r="Q14" s="1332"/>
      <c r="R14" s="1328"/>
      <c r="S14" s="244"/>
      <c r="T14" s="1333"/>
    </row>
    <row r="15" spans="1:24" ht="16">
      <c r="A15" s="1334" t="s">
        <v>1200</v>
      </c>
      <c r="B15" s="258"/>
      <c r="C15" s="1331"/>
      <c r="D15" s="3078"/>
      <c r="E15" s="3078"/>
      <c r="F15" s="1328"/>
      <c r="G15" s="3078"/>
      <c r="H15" s="3078"/>
      <c r="I15" s="1328"/>
      <c r="J15" s="3078"/>
      <c r="K15" s="3078"/>
      <c r="L15" s="1328"/>
      <c r="M15" s="3078"/>
      <c r="N15" s="3078"/>
      <c r="O15" s="1328"/>
      <c r="P15" s="3078"/>
      <c r="Q15" s="3078"/>
      <c r="R15" s="1328"/>
      <c r="S15" s="3078"/>
      <c r="T15" s="3079"/>
    </row>
    <row r="16" spans="1:24" ht="16">
      <c r="A16" s="1330" t="s">
        <v>1201</v>
      </c>
      <c r="B16" s="258"/>
      <c r="C16" s="1331" t="s">
        <v>1202</v>
      </c>
      <c r="D16" s="3078"/>
      <c r="E16" s="3078"/>
      <c r="F16" s="1328"/>
      <c r="G16" s="3078"/>
      <c r="H16" s="3078"/>
      <c r="I16" s="1328"/>
      <c r="J16" s="3078"/>
      <c r="K16" s="3078"/>
      <c r="L16" s="1328"/>
      <c r="M16" s="3078"/>
      <c r="N16" s="3078"/>
      <c r="O16" s="1328"/>
      <c r="P16" s="3078"/>
      <c r="Q16" s="3078"/>
      <c r="R16" s="1328"/>
      <c r="S16" s="3078"/>
      <c r="T16" s="3079"/>
    </row>
    <row r="17" spans="1:20" ht="17" thickBot="1">
      <c r="A17" s="1335" t="s">
        <v>810</v>
      </c>
      <c r="B17" s="258"/>
      <c r="C17" s="1331" t="s">
        <v>1203</v>
      </c>
      <c r="D17" s="3080">
        <f>D15-D16</f>
        <v>0</v>
      </c>
      <c r="E17" s="3080"/>
      <c r="F17" s="1328"/>
      <c r="G17" s="3080">
        <f>G15-G16</f>
        <v>0</v>
      </c>
      <c r="H17" s="3080"/>
      <c r="I17" s="1328"/>
      <c r="J17" s="3080">
        <f>J15-J16</f>
        <v>0</v>
      </c>
      <c r="K17" s="3080"/>
      <c r="L17" s="1328"/>
      <c r="M17" s="3080">
        <f>M15-M16</f>
        <v>0</v>
      </c>
      <c r="N17" s="3080"/>
      <c r="O17" s="1328"/>
      <c r="P17" s="3080">
        <f>P15-P16</f>
        <v>0</v>
      </c>
      <c r="Q17" s="3080"/>
      <c r="R17" s="1328"/>
      <c r="S17" s="3080">
        <f>S15-S16</f>
        <v>0</v>
      </c>
      <c r="T17" s="3081"/>
    </row>
    <row r="18" spans="1:20" ht="16">
      <c r="A18" s="1330"/>
      <c r="B18" s="258"/>
      <c r="C18" s="1331"/>
      <c r="D18" s="244"/>
      <c r="E18" s="1332"/>
      <c r="F18" s="1328"/>
      <c r="G18" s="244"/>
      <c r="H18" s="1332"/>
      <c r="I18" s="1328"/>
      <c r="J18" s="244"/>
      <c r="K18" s="1332"/>
      <c r="L18" s="1328"/>
      <c r="M18" s="244"/>
      <c r="N18" s="1332"/>
      <c r="O18" s="1328"/>
      <c r="P18" s="244"/>
      <c r="Q18" s="1332"/>
      <c r="R18" s="1328"/>
      <c r="S18" s="244"/>
      <c r="T18" s="1333"/>
    </row>
    <row r="19" spans="1:20" ht="16">
      <c r="A19" s="248" t="s">
        <v>1204</v>
      </c>
      <c r="B19" s="1342"/>
      <c r="C19" s="1336"/>
      <c r="D19" s="3104"/>
      <c r="E19" s="3106"/>
      <c r="F19" s="1328"/>
      <c r="G19" s="3104"/>
      <c r="H19" s="3106"/>
      <c r="I19" s="1328"/>
      <c r="J19" s="3104"/>
      <c r="K19" s="3106"/>
      <c r="L19" s="1328"/>
      <c r="M19" s="3104"/>
      <c r="N19" s="3106"/>
      <c r="O19" s="1328"/>
      <c r="P19" s="3104"/>
      <c r="Q19" s="3106"/>
      <c r="R19" s="1328"/>
      <c r="S19" s="3104"/>
      <c r="T19" s="3105"/>
    </row>
    <row r="20" spans="1:20" ht="16">
      <c r="A20" s="248" t="s">
        <v>1205</v>
      </c>
      <c r="B20" s="1342"/>
      <c r="C20" s="1336" t="s">
        <v>1206</v>
      </c>
      <c r="D20" s="3078"/>
      <c r="E20" s="3078"/>
      <c r="F20" s="1328"/>
      <c r="G20" s="3078"/>
      <c r="H20" s="3078"/>
      <c r="I20" s="1328"/>
      <c r="J20" s="3078"/>
      <c r="K20" s="3078"/>
      <c r="L20" s="1328"/>
      <c r="M20" s="3078"/>
      <c r="N20" s="3078"/>
      <c r="O20" s="1328"/>
      <c r="P20" s="3078"/>
      <c r="Q20" s="3078"/>
      <c r="R20" s="1328"/>
      <c r="S20" s="3078"/>
      <c r="T20" s="3079"/>
    </row>
    <row r="21" spans="1:20" ht="16">
      <c r="A21" s="248" t="s">
        <v>1207</v>
      </c>
      <c r="B21" s="1342"/>
      <c r="C21" s="1336" t="s">
        <v>1206</v>
      </c>
      <c r="D21" s="3078"/>
      <c r="E21" s="3078"/>
      <c r="F21" s="1328"/>
      <c r="G21" s="3078"/>
      <c r="H21" s="3078"/>
      <c r="I21" s="1328"/>
      <c r="J21" s="3078"/>
      <c r="K21" s="3078"/>
      <c r="L21" s="1328"/>
      <c r="M21" s="3078"/>
      <c r="N21" s="3078"/>
      <c r="O21" s="1328"/>
      <c r="P21" s="3078"/>
      <c r="Q21" s="3078"/>
      <c r="R21" s="1328"/>
      <c r="S21" s="3078"/>
      <c r="T21" s="3079"/>
    </row>
    <row r="22" spans="1:20" ht="16">
      <c r="A22" s="248" t="s">
        <v>1208</v>
      </c>
      <c r="B22" s="1342"/>
      <c r="C22" s="1336" t="s">
        <v>1206</v>
      </c>
      <c r="D22" s="3078"/>
      <c r="E22" s="3078"/>
      <c r="F22" s="1328"/>
      <c r="G22" s="3078"/>
      <c r="H22" s="3078"/>
      <c r="I22" s="1328"/>
      <c r="J22" s="3078"/>
      <c r="K22" s="3078"/>
      <c r="L22" s="1328"/>
      <c r="M22" s="3078"/>
      <c r="N22" s="3078"/>
      <c r="O22" s="1328"/>
      <c r="P22" s="3078"/>
      <c r="Q22" s="3078"/>
      <c r="R22" s="1328"/>
      <c r="S22" s="3078"/>
      <c r="T22" s="3079"/>
    </row>
    <row r="23" spans="1:20" ht="16">
      <c r="A23" s="248" t="s">
        <v>1209</v>
      </c>
      <c r="B23" s="1342"/>
      <c r="C23" s="1336" t="s">
        <v>1206</v>
      </c>
      <c r="D23" s="3078"/>
      <c r="E23" s="3078"/>
      <c r="F23" s="1328"/>
      <c r="G23" s="3078"/>
      <c r="H23" s="3078"/>
      <c r="I23" s="1328"/>
      <c r="J23" s="3078"/>
      <c r="K23" s="3078"/>
      <c r="L23" s="1328"/>
      <c r="M23" s="3078"/>
      <c r="N23" s="3078"/>
      <c r="O23" s="1328"/>
      <c r="P23" s="3078"/>
      <c r="Q23" s="3078"/>
      <c r="R23" s="1328"/>
      <c r="S23" s="3078"/>
      <c r="T23" s="3079"/>
    </row>
    <row r="24" spans="1:20" ht="16">
      <c r="A24" s="248" t="s">
        <v>1210</v>
      </c>
      <c r="B24" s="1342"/>
      <c r="C24" s="1336" t="s">
        <v>1203</v>
      </c>
      <c r="D24" s="3080">
        <f>D17+SUM(D20:E23)</f>
        <v>0</v>
      </c>
      <c r="E24" s="3080"/>
      <c r="F24" s="1328"/>
      <c r="G24" s="3080">
        <f>G17+SUM(G20:H23)</f>
        <v>0</v>
      </c>
      <c r="H24" s="3080"/>
      <c r="I24" s="1328"/>
      <c r="J24" s="3080">
        <f>J17+SUM(J20:K23)</f>
        <v>0</v>
      </c>
      <c r="K24" s="3080"/>
      <c r="L24" s="1328"/>
      <c r="M24" s="3080">
        <f>M17+SUM(M20:N23)</f>
        <v>0</v>
      </c>
      <c r="N24" s="3080"/>
      <c r="O24" s="1328"/>
      <c r="P24" s="3080">
        <f>P17+SUM(P20:Q23)</f>
        <v>0</v>
      </c>
      <c r="Q24" s="3080"/>
      <c r="R24" s="1328"/>
      <c r="S24" s="3080">
        <f>S17+SUM(S20:T23)</f>
        <v>0</v>
      </c>
      <c r="T24" s="3081"/>
    </row>
    <row r="25" spans="1:20" ht="16">
      <c r="A25" s="1330"/>
      <c r="B25" s="258"/>
      <c r="C25" s="1331"/>
      <c r="D25" s="244"/>
      <c r="E25" s="1332"/>
      <c r="F25" s="1328"/>
      <c r="G25" s="244"/>
      <c r="H25" s="1332"/>
      <c r="I25" s="1328"/>
      <c r="J25" s="244"/>
      <c r="K25" s="1332"/>
      <c r="L25" s="1328"/>
      <c r="M25" s="244"/>
      <c r="N25" s="1332"/>
      <c r="O25" s="1328"/>
      <c r="P25" s="244"/>
      <c r="Q25" s="1332"/>
      <c r="R25" s="1328"/>
      <c r="S25" s="244"/>
      <c r="T25" s="1333"/>
    </row>
    <row r="26" spans="1:20" ht="16">
      <c r="A26" s="1330" t="s">
        <v>1211</v>
      </c>
      <c r="B26" s="258"/>
      <c r="C26" s="1331"/>
      <c r="D26" s="3102"/>
      <c r="E26" s="3102"/>
      <c r="F26" s="1328"/>
      <c r="G26" s="3102"/>
      <c r="H26" s="3102"/>
      <c r="I26" s="1328"/>
      <c r="J26" s="3102"/>
      <c r="K26" s="3102"/>
      <c r="L26" s="1328"/>
      <c r="M26" s="3102"/>
      <c r="N26" s="3102"/>
      <c r="O26" s="1328"/>
      <c r="P26" s="3102"/>
      <c r="Q26" s="3102"/>
      <c r="R26" s="1328"/>
      <c r="S26" s="3102"/>
      <c r="T26" s="3103"/>
    </row>
    <row r="27" spans="1:20" ht="16">
      <c r="A27" s="1330"/>
      <c r="B27" s="258"/>
      <c r="C27" s="1331"/>
      <c r="D27" s="244"/>
      <c r="E27" s="1332"/>
      <c r="F27" s="1328"/>
      <c r="G27" s="244"/>
      <c r="H27" s="1332"/>
      <c r="I27" s="1328"/>
      <c r="J27" s="244"/>
      <c r="K27" s="1332"/>
      <c r="L27" s="1328"/>
      <c r="M27" s="244"/>
      <c r="N27" s="1332"/>
      <c r="O27" s="1328"/>
      <c r="P27" s="244"/>
      <c r="Q27" s="1332"/>
      <c r="R27" s="1328"/>
      <c r="S27" s="244"/>
      <c r="T27" s="1333"/>
    </row>
    <row r="28" spans="1:20" ht="16">
      <c r="A28" s="1330" t="s">
        <v>1212</v>
      </c>
      <c r="B28" s="258"/>
      <c r="C28" s="1331"/>
      <c r="D28" s="3080">
        <f>D24*D26</f>
        <v>0</v>
      </c>
      <c r="E28" s="3080"/>
      <c r="F28" s="1328"/>
      <c r="G28" s="3080">
        <f>G24*G26</f>
        <v>0</v>
      </c>
      <c r="H28" s="3080"/>
      <c r="I28" s="1328"/>
      <c r="J28" s="3080">
        <f>J24*J26</f>
        <v>0</v>
      </c>
      <c r="K28" s="3080"/>
      <c r="L28" s="1328"/>
      <c r="M28" s="3080">
        <f>M24*M26</f>
        <v>0</v>
      </c>
      <c r="N28" s="3080"/>
      <c r="O28" s="1328"/>
      <c r="P28" s="3080">
        <f>P24*P26</f>
        <v>0</v>
      </c>
      <c r="Q28" s="3080"/>
      <c r="R28" s="1328"/>
      <c r="S28" s="3080">
        <f>S24*S26</f>
        <v>0</v>
      </c>
      <c r="T28" s="3081"/>
    </row>
    <row r="29" spans="1:20" ht="16">
      <c r="A29" s="1330"/>
      <c r="B29" s="258"/>
      <c r="C29" s="1331"/>
      <c r="D29" s="244"/>
      <c r="E29" s="1332"/>
      <c r="F29" s="1328"/>
      <c r="G29" s="244"/>
      <c r="H29" s="1332"/>
      <c r="I29" s="1328"/>
      <c r="J29" s="244"/>
      <c r="K29" s="1332"/>
      <c r="L29" s="1328"/>
      <c r="M29" s="244"/>
      <c r="N29" s="1332"/>
      <c r="O29" s="1328"/>
      <c r="P29" s="244"/>
      <c r="Q29" s="1332"/>
      <c r="R29" s="1328"/>
      <c r="S29" s="244"/>
      <c r="T29" s="1333"/>
    </row>
    <row r="30" spans="1:20" ht="16">
      <c r="A30" s="1330" t="s">
        <v>1213</v>
      </c>
      <c r="B30" s="258"/>
      <c r="C30" s="1331"/>
      <c r="D30" s="3078"/>
      <c r="E30" s="3078"/>
      <c r="F30" s="1328"/>
      <c r="G30" s="3078"/>
      <c r="H30" s="3078"/>
      <c r="I30" s="1328"/>
      <c r="J30" s="3078"/>
      <c r="K30" s="3078"/>
      <c r="L30" s="1328"/>
      <c r="M30" s="3078"/>
      <c r="N30" s="3078"/>
      <c r="O30" s="1328"/>
      <c r="P30" s="3078"/>
      <c r="Q30" s="3078"/>
      <c r="R30" s="1328"/>
      <c r="S30" s="3078"/>
      <c r="T30" s="3079"/>
    </row>
    <row r="31" spans="1:20" ht="16">
      <c r="A31" s="1330" t="s">
        <v>1214</v>
      </c>
      <c r="B31" s="258"/>
      <c r="C31" s="1331"/>
      <c r="D31" s="3091">
        <f>D26</f>
        <v>0</v>
      </c>
      <c r="E31" s="3107"/>
      <c r="F31" s="1328"/>
      <c r="G31" s="3091">
        <f>G26</f>
        <v>0</v>
      </c>
      <c r="H31" s="3107"/>
      <c r="I31" s="1328"/>
      <c r="J31" s="3091">
        <f>J26</f>
        <v>0</v>
      </c>
      <c r="K31" s="3107"/>
      <c r="L31" s="1328"/>
      <c r="M31" s="3091">
        <f>M26</f>
        <v>0</v>
      </c>
      <c r="N31" s="3107"/>
      <c r="O31" s="1328"/>
      <c r="P31" s="3091">
        <f>P26</f>
        <v>0</v>
      </c>
      <c r="Q31" s="3107"/>
      <c r="R31" s="1328"/>
      <c r="S31" s="3091">
        <f>S26</f>
        <v>0</v>
      </c>
      <c r="T31" s="3092"/>
    </row>
    <row r="32" spans="1:20" ht="16">
      <c r="A32" s="1330" t="s">
        <v>1215</v>
      </c>
      <c r="B32" s="258"/>
      <c r="C32" s="1331"/>
      <c r="D32" s="3080">
        <f>D30*D31</f>
        <v>0</v>
      </c>
      <c r="E32" s="3080"/>
      <c r="F32" s="1328"/>
      <c r="G32" s="3080">
        <f>G30*G31</f>
        <v>0</v>
      </c>
      <c r="H32" s="3080"/>
      <c r="I32" s="1328"/>
      <c r="J32" s="3080">
        <f>J30*J31</f>
        <v>0</v>
      </c>
      <c r="K32" s="3080"/>
      <c r="L32" s="1328"/>
      <c r="M32" s="3080">
        <f>M30*M31</f>
        <v>0</v>
      </c>
      <c r="N32" s="3080"/>
      <c r="O32" s="1328"/>
      <c r="P32" s="3080">
        <f>P30*P31</f>
        <v>0</v>
      </c>
      <c r="Q32" s="3080"/>
      <c r="R32" s="1328"/>
      <c r="S32" s="3080">
        <f>S30*S31</f>
        <v>0</v>
      </c>
      <c r="T32" s="3081"/>
    </row>
    <row r="33" spans="1:20" ht="16">
      <c r="A33" s="1330"/>
      <c r="B33" s="258"/>
      <c r="C33" s="1331"/>
      <c r="D33" s="244"/>
      <c r="E33" s="1332"/>
      <c r="F33" s="1328"/>
      <c r="G33" s="244"/>
      <c r="H33" s="1332"/>
      <c r="I33" s="1328"/>
      <c r="J33" s="244"/>
      <c r="K33" s="1332"/>
      <c r="L33" s="1328"/>
      <c r="M33" s="244"/>
      <c r="N33" s="1332"/>
      <c r="O33" s="1328"/>
      <c r="P33" s="244"/>
      <c r="Q33" s="1332"/>
      <c r="R33" s="1328"/>
      <c r="S33" s="244"/>
      <c r="T33" s="1333"/>
    </row>
    <row r="34" spans="1:20" ht="17" thickBot="1">
      <c r="A34" s="1330" t="s">
        <v>1216</v>
      </c>
      <c r="B34" s="256"/>
      <c r="C34" s="1331"/>
      <c r="D34" s="3080">
        <f>D28-D32</f>
        <v>0</v>
      </c>
      <c r="E34" s="3080"/>
      <c r="F34" s="1328"/>
      <c r="G34" s="3080">
        <f>G28-G32</f>
        <v>0</v>
      </c>
      <c r="H34" s="3080"/>
      <c r="I34" s="1328"/>
      <c r="J34" s="3080">
        <f>J28-J32</f>
        <v>0</v>
      </c>
      <c r="K34" s="3080"/>
      <c r="L34" s="1328"/>
      <c r="M34" s="3080">
        <f>M28-M32</f>
        <v>0</v>
      </c>
      <c r="N34" s="3080"/>
      <c r="O34" s="1328"/>
      <c r="P34" s="3080">
        <f>P28-P32</f>
        <v>0</v>
      </c>
      <c r="Q34" s="3080"/>
      <c r="R34" s="1328"/>
      <c r="S34" s="3080">
        <f>S28-S32</f>
        <v>0</v>
      </c>
      <c r="T34" s="3081"/>
    </row>
    <row r="35" spans="1:20" ht="17" thickBot="1">
      <c r="A35" s="658">
        <f>D34+G34+J34+M34+P34+S34</f>
        <v>0</v>
      </c>
      <c r="B35" s="1331"/>
      <c r="C35" s="1331"/>
      <c r="D35" s="1151"/>
      <c r="E35" s="1151"/>
      <c r="F35" s="1328"/>
      <c r="G35" s="1151"/>
      <c r="H35" s="1151"/>
      <c r="I35" s="1328"/>
      <c r="J35" s="1151"/>
      <c r="K35" s="1151"/>
      <c r="L35" s="1328"/>
      <c r="M35" s="1151"/>
      <c r="N35" s="1151"/>
      <c r="O35" s="1328"/>
      <c r="P35" s="1151"/>
      <c r="Q35" s="1151"/>
      <c r="R35" s="1328"/>
      <c r="S35" s="1151"/>
      <c r="T35" s="1337"/>
    </row>
    <row r="36" spans="1:20" ht="16">
      <c r="A36" s="1330"/>
      <c r="B36" s="1332"/>
      <c r="C36" s="1331"/>
      <c r="D36" s="1151"/>
      <c r="E36" s="1151"/>
      <c r="F36" s="1328"/>
      <c r="G36" s="1151"/>
      <c r="H36" s="1151"/>
      <c r="I36" s="1328"/>
      <c r="J36" s="1151"/>
      <c r="K36" s="1151"/>
      <c r="L36" s="1328"/>
      <c r="M36" s="1151"/>
      <c r="N36" s="1151"/>
      <c r="O36" s="1328"/>
      <c r="P36" s="1151"/>
      <c r="Q36" s="1151"/>
      <c r="R36" s="1328"/>
      <c r="S36" s="1151"/>
      <c r="T36" s="1337"/>
    </row>
    <row r="37" spans="1:20" ht="16">
      <c r="A37" s="1090" t="s">
        <v>1150</v>
      </c>
      <c r="B37" s="255"/>
      <c r="C37" s="1331"/>
      <c r="D37" s="3078"/>
      <c r="E37" s="3078"/>
      <c r="F37" s="1328"/>
      <c r="G37" s="3078"/>
      <c r="H37" s="3078"/>
      <c r="I37" s="1328"/>
      <c r="J37" s="3078"/>
      <c r="K37" s="3078"/>
      <c r="L37" s="1328"/>
      <c r="M37" s="3078"/>
      <c r="N37" s="3078"/>
      <c r="O37" s="1328"/>
      <c r="P37" s="3078"/>
      <c r="Q37" s="3078"/>
      <c r="R37" s="1328"/>
      <c r="S37" s="3078"/>
      <c r="T37" s="3079"/>
    </row>
    <row r="38" spans="1:20" ht="16">
      <c r="A38" s="1090" t="s">
        <v>1152</v>
      </c>
      <c r="B38" s="258"/>
      <c r="C38" s="1331"/>
      <c r="D38" s="3078"/>
      <c r="E38" s="3078"/>
      <c r="F38" s="1328"/>
      <c r="G38" s="3078"/>
      <c r="H38" s="3078"/>
      <c r="I38" s="1328"/>
      <c r="J38" s="3078"/>
      <c r="K38" s="3078"/>
      <c r="L38" s="1328"/>
      <c r="M38" s="3078"/>
      <c r="N38" s="3078"/>
      <c r="O38" s="1328"/>
      <c r="P38" s="3078"/>
      <c r="Q38" s="3078"/>
      <c r="R38" s="1328"/>
      <c r="S38" s="3078"/>
      <c r="T38" s="3079"/>
    </row>
    <row r="39" spans="1:20" ht="16">
      <c r="A39" s="1090" t="s">
        <v>1154</v>
      </c>
      <c r="B39" s="258"/>
      <c r="C39" s="1331"/>
      <c r="D39" s="3078"/>
      <c r="E39" s="3078"/>
      <c r="F39" s="1328"/>
      <c r="G39" s="3078"/>
      <c r="H39" s="3078"/>
      <c r="I39" s="1328"/>
      <c r="J39" s="3078"/>
      <c r="K39" s="3078"/>
      <c r="L39" s="1328"/>
      <c r="M39" s="3078"/>
      <c r="N39" s="3078"/>
      <c r="O39" s="1328"/>
      <c r="P39" s="3078"/>
      <c r="Q39" s="3078"/>
      <c r="R39" s="1328"/>
      <c r="S39" s="3078"/>
      <c r="T39" s="3079"/>
    </row>
    <row r="40" spans="1:20" ht="16">
      <c r="A40" s="1090" t="s">
        <v>1156</v>
      </c>
      <c r="B40" s="258"/>
      <c r="C40" s="1331"/>
      <c r="D40" s="3078"/>
      <c r="E40" s="3078"/>
      <c r="F40" s="1328"/>
      <c r="G40" s="3078"/>
      <c r="H40" s="3078"/>
      <c r="I40" s="1328"/>
      <c r="J40" s="3078"/>
      <c r="K40" s="3078"/>
      <c r="L40" s="1328"/>
      <c r="M40" s="3078"/>
      <c r="N40" s="3078"/>
      <c r="O40" s="1328"/>
      <c r="P40" s="3078"/>
      <c r="Q40" s="3078"/>
      <c r="R40" s="1328"/>
      <c r="S40" s="3078"/>
      <c r="T40" s="3079"/>
    </row>
    <row r="41" spans="1:20" ht="16">
      <c r="A41" s="1090"/>
      <c r="B41" s="256"/>
      <c r="C41" s="1331"/>
      <c r="D41" s="3080">
        <f>IFERROR(AVERAGE(D37:E40),0)</f>
        <v>0</v>
      </c>
      <c r="E41" s="3080"/>
      <c r="F41" s="1328"/>
      <c r="G41" s="3080">
        <f>IFERROR(AVERAGE(G37:H40),0)</f>
        <v>0</v>
      </c>
      <c r="H41" s="3080"/>
      <c r="I41" s="1328"/>
      <c r="J41" s="3080">
        <f>IFERROR(AVERAGE(J37:K40),0)</f>
        <v>0</v>
      </c>
      <c r="K41" s="3080"/>
      <c r="L41" s="1328"/>
      <c r="M41" s="3080">
        <f>IFERROR(AVERAGE(M37:N40),0)</f>
        <v>0</v>
      </c>
      <c r="N41" s="3080"/>
      <c r="O41" s="1328"/>
      <c r="P41" s="3080">
        <f>IFERROR(AVERAGE(P37:Q40),0)</f>
        <v>0</v>
      </c>
      <c r="Q41" s="3080"/>
      <c r="R41" s="1328"/>
      <c r="S41" s="3080">
        <f>IFERROR(AVERAGE(S37:T40),0)</f>
        <v>0</v>
      </c>
      <c r="T41" s="3081"/>
    </row>
    <row r="42" spans="1:20" ht="16">
      <c r="A42" s="1090"/>
      <c r="B42" s="1332"/>
      <c r="C42" s="1331"/>
      <c r="D42" s="1151"/>
      <c r="E42" s="1151"/>
      <c r="F42" s="1328"/>
      <c r="G42" s="1151"/>
      <c r="H42" s="1151"/>
      <c r="I42" s="1328"/>
      <c r="J42" s="1151"/>
      <c r="K42" s="1151"/>
      <c r="L42" s="1328"/>
      <c r="M42" s="1151"/>
      <c r="N42" s="1151"/>
      <c r="O42" s="1328"/>
      <c r="P42" s="1151"/>
      <c r="Q42" s="1151"/>
      <c r="R42" s="1328"/>
      <c r="S42" s="1151"/>
      <c r="T42" s="1337"/>
    </row>
    <row r="43" spans="1:20" ht="16">
      <c r="A43" s="1090" t="s">
        <v>1160</v>
      </c>
      <c r="B43" s="255"/>
      <c r="C43" s="1331"/>
      <c r="D43" s="3072">
        <f>D26*D41</f>
        <v>0</v>
      </c>
      <c r="E43" s="3072"/>
      <c r="F43" s="1328"/>
      <c r="G43" s="3072">
        <f>G26*G41</f>
        <v>0</v>
      </c>
      <c r="H43" s="3072"/>
      <c r="I43" s="1328"/>
      <c r="J43" s="3072">
        <f>J26*J41</f>
        <v>0</v>
      </c>
      <c r="K43" s="3072"/>
      <c r="L43" s="1328"/>
      <c r="M43" s="3072">
        <f>M26*M41</f>
        <v>0</v>
      </c>
      <c r="N43" s="3072"/>
      <c r="O43" s="1328"/>
      <c r="P43" s="3072">
        <f>P26*P41</f>
        <v>0</v>
      </c>
      <c r="Q43" s="3072"/>
      <c r="R43" s="1328"/>
      <c r="S43" s="3072">
        <f>S26*S41</f>
        <v>0</v>
      </c>
      <c r="T43" s="3073"/>
    </row>
    <row r="44" spans="1:20" ht="16">
      <c r="A44" s="1090" t="s">
        <v>1161</v>
      </c>
      <c r="B44" s="258"/>
      <c r="C44" s="1331"/>
      <c r="D44" s="3072">
        <f>D9</f>
        <v>0</v>
      </c>
      <c r="E44" s="3072"/>
      <c r="F44" s="1328"/>
      <c r="G44" s="3072">
        <f>G9</f>
        <v>0</v>
      </c>
      <c r="H44" s="3072"/>
      <c r="I44" s="1328"/>
      <c r="J44" s="3072">
        <f>J9</f>
        <v>0</v>
      </c>
      <c r="K44" s="3072"/>
      <c r="L44" s="1328"/>
      <c r="M44" s="3072">
        <f>M9</f>
        <v>0</v>
      </c>
      <c r="N44" s="3072"/>
      <c r="O44" s="1328"/>
      <c r="P44" s="3072">
        <f>P9</f>
        <v>0</v>
      </c>
      <c r="Q44" s="3072"/>
      <c r="R44" s="1328"/>
      <c r="S44" s="3072">
        <f>S9</f>
        <v>0</v>
      </c>
      <c r="T44" s="3073"/>
    </row>
    <row r="45" spans="1:20" ht="16">
      <c r="A45" s="1090" t="s">
        <v>1163</v>
      </c>
      <c r="B45" s="258"/>
      <c r="C45" s="1331"/>
      <c r="D45" s="3072">
        <f>D41-D44</f>
        <v>0</v>
      </c>
      <c r="E45" s="3072"/>
      <c r="F45" s="1328"/>
      <c r="G45" s="3072">
        <f>G41-G44</f>
        <v>0</v>
      </c>
      <c r="H45" s="3072"/>
      <c r="I45" s="1328"/>
      <c r="J45" s="3072">
        <f>J41-J44</f>
        <v>0</v>
      </c>
      <c r="K45" s="3072"/>
      <c r="L45" s="1328"/>
      <c r="M45" s="3072">
        <f>M41-M44</f>
        <v>0</v>
      </c>
      <c r="N45" s="3072"/>
      <c r="O45" s="1328"/>
      <c r="P45" s="3072">
        <f>P41-P44</f>
        <v>0</v>
      </c>
      <c r="Q45" s="3072"/>
      <c r="R45" s="1328"/>
      <c r="S45" s="3072">
        <f>S41-S44</f>
        <v>0</v>
      </c>
      <c r="T45" s="3073"/>
    </row>
    <row r="46" spans="1:20" ht="16">
      <c r="A46" s="1090" t="s">
        <v>1217</v>
      </c>
      <c r="B46" s="258"/>
      <c r="C46" s="1331"/>
      <c r="D46" s="3074">
        <f>IFERROR(D45/D43,0)</f>
        <v>0</v>
      </c>
      <c r="E46" s="3075"/>
      <c r="F46" s="1328"/>
      <c r="G46" s="3074">
        <f>IFERROR(G45/G43,0)</f>
        <v>0</v>
      </c>
      <c r="H46" s="3075"/>
      <c r="I46" s="1328"/>
      <c r="J46" s="3074">
        <f>IFERROR(J45/J43,0)</f>
        <v>0</v>
      </c>
      <c r="K46" s="3075"/>
      <c r="L46" s="1328"/>
      <c r="M46" s="3074">
        <f>IFERROR(M45/M43,0)</f>
        <v>0</v>
      </c>
      <c r="N46" s="3075"/>
      <c r="O46" s="1328"/>
      <c r="P46" s="3074">
        <f>IFERROR(P45/P43,0)</f>
        <v>0</v>
      </c>
      <c r="Q46" s="3075"/>
      <c r="R46" s="1328"/>
      <c r="S46" s="3074">
        <f>IFERROR(S45/S43,0)</f>
        <v>0</v>
      </c>
      <c r="T46" s="3075"/>
    </row>
    <row r="47" spans="1:20" ht="16">
      <c r="A47" s="1090" t="s">
        <v>1165</v>
      </c>
      <c r="B47" s="258"/>
      <c r="C47" s="1331"/>
      <c r="D47" s="3076">
        <v>0.8</v>
      </c>
      <c r="E47" s="3076"/>
      <c r="F47" s="1328"/>
      <c r="G47" s="3076">
        <v>0.8</v>
      </c>
      <c r="H47" s="3076"/>
      <c r="I47" s="1328"/>
      <c r="J47" s="3076">
        <v>0.8</v>
      </c>
      <c r="K47" s="3076"/>
      <c r="L47" s="1328"/>
      <c r="M47" s="3076">
        <v>0.8</v>
      </c>
      <c r="N47" s="3076"/>
      <c r="O47" s="1328"/>
      <c r="P47" s="3076">
        <v>0.8</v>
      </c>
      <c r="Q47" s="3076"/>
      <c r="R47" s="1328"/>
      <c r="S47" s="3076">
        <v>0.8</v>
      </c>
      <c r="T47" s="3077"/>
    </row>
    <row r="48" spans="1:20" ht="16">
      <c r="A48" s="1090" t="s">
        <v>1167</v>
      </c>
      <c r="B48" s="256"/>
      <c r="C48" s="1331"/>
      <c r="D48" s="3072">
        <f>(D41*D47)-D44</f>
        <v>0</v>
      </c>
      <c r="E48" s="3072"/>
      <c r="F48" s="1328"/>
      <c r="G48" s="3072">
        <f>(G41*G47)-G44</f>
        <v>0</v>
      </c>
      <c r="H48" s="3072"/>
      <c r="I48" s="1328"/>
      <c r="J48" s="3072">
        <f>(J41*J47)-J44</f>
        <v>0</v>
      </c>
      <c r="K48" s="3072"/>
      <c r="L48" s="1328"/>
      <c r="M48" s="3072">
        <f>(M41*M47)-M44</f>
        <v>0</v>
      </c>
      <c r="N48" s="3072"/>
      <c r="O48" s="1328"/>
      <c r="P48" s="3072">
        <f>(P41*P47)-P44</f>
        <v>0</v>
      </c>
      <c r="Q48" s="3072"/>
      <c r="R48" s="1328"/>
      <c r="S48" s="3072">
        <f>(S41*S47)-S44</f>
        <v>0</v>
      </c>
      <c r="T48" s="3073"/>
    </row>
    <row r="49" spans="1:20" ht="16">
      <c r="A49" s="1338"/>
      <c r="B49" s="1339"/>
      <c r="C49" s="1331"/>
      <c r="D49" s="244"/>
      <c r="E49" s="1332"/>
      <c r="F49" s="1328"/>
      <c r="G49" s="1328"/>
      <c r="H49" s="1332"/>
      <c r="I49" s="1328"/>
      <c r="J49" s="1328"/>
      <c r="K49" s="1328"/>
      <c r="L49" s="1328"/>
      <c r="M49" s="244"/>
      <c r="N49" s="244"/>
      <c r="O49" s="1328"/>
      <c r="P49" s="244"/>
      <c r="Q49" s="244"/>
      <c r="R49" s="1328"/>
      <c r="S49" s="244"/>
      <c r="T49" s="251"/>
    </row>
    <row r="50" spans="1:20" ht="17" thickBot="1">
      <c r="A50" s="3093" t="s">
        <v>447</v>
      </c>
      <c r="B50" s="3094"/>
      <c r="C50" s="3094"/>
      <c r="D50" s="3094"/>
      <c r="E50" s="3094"/>
      <c r="F50" s="3094"/>
      <c r="G50" s="3094"/>
      <c r="H50" s="3094"/>
      <c r="I50" s="3094"/>
      <c r="J50" s="3094"/>
      <c r="K50" s="3094"/>
      <c r="L50" s="3094"/>
      <c r="M50" s="3094"/>
      <c r="N50" s="3094"/>
      <c r="O50" s="3094"/>
      <c r="P50" s="3094"/>
      <c r="Q50" s="3094"/>
      <c r="R50" s="3094"/>
      <c r="S50" s="3094"/>
      <c r="T50" s="3095"/>
    </row>
    <row r="51" spans="1:20" ht="16">
      <c r="A51" s="3088"/>
      <c r="B51" s="3089"/>
      <c r="C51" s="3089"/>
      <c r="D51" s="3089"/>
      <c r="E51" s="3089"/>
      <c r="F51" s="3089"/>
      <c r="G51" s="3089"/>
      <c r="H51" s="3089"/>
      <c r="I51" s="3089"/>
      <c r="J51" s="3089"/>
      <c r="K51" s="3089"/>
      <c r="L51" s="3089"/>
      <c r="M51" s="3089"/>
      <c r="N51" s="3089"/>
      <c r="O51" s="3089"/>
      <c r="P51" s="3089"/>
      <c r="Q51" s="3089"/>
      <c r="R51" s="3089"/>
      <c r="S51" s="3089"/>
      <c r="T51" s="3090"/>
    </row>
    <row r="52" spans="1:20" ht="16">
      <c r="A52" s="3085"/>
      <c r="B52" s="3086"/>
      <c r="C52" s="3086"/>
      <c r="D52" s="3086"/>
      <c r="E52" s="3086"/>
      <c r="F52" s="3086"/>
      <c r="G52" s="3086"/>
      <c r="H52" s="3086"/>
      <c r="I52" s="3086"/>
      <c r="J52" s="3086"/>
      <c r="K52" s="3086"/>
      <c r="L52" s="3086"/>
      <c r="M52" s="3086"/>
      <c r="N52" s="3086"/>
      <c r="O52" s="3086"/>
      <c r="P52" s="3086"/>
      <c r="Q52" s="3086"/>
      <c r="R52" s="3086"/>
      <c r="S52" s="3086"/>
      <c r="T52" s="3087"/>
    </row>
    <row r="53" spans="1:20" ht="16">
      <c r="A53" s="3085"/>
      <c r="B53" s="3086"/>
      <c r="C53" s="3086"/>
      <c r="D53" s="3086"/>
      <c r="E53" s="3086"/>
      <c r="F53" s="3086"/>
      <c r="G53" s="3086"/>
      <c r="H53" s="3086"/>
      <c r="I53" s="3086"/>
      <c r="J53" s="3086"/>
      <c r="K53" s="3086"/>
      <c r="L53" s="3086"/>
      <c r="M53" s="3086"/>
      <c r="N53" s="3086"/>
      <c r="O53" s="3086"/>
      <c r="P53" s="3086"/>
      <c r="Q53" s="3086"/>
      <c r="R53" s="3086"/>
      <c r="S53" s="3086"/>
      <c r="T53" s="3087"/>
    </row>
    <row r="54" spans="1:20" ht="16">
      <c r="A54" s="3085"/>
      <c r="B54" s="3086"/>
      <c r="C54" s="3086"/>
      <c r="D54" s="3086"/>
      <c r="E54" s="3086"/>
      <c r="F54" s="3086"/>
      <c r="G54" s="3086"/>
      <c r="H54" s="3086"/>
      <c r="I54" s="3086"/>
      <c r="J54" s="3086"/>
      <c r="K54" s="3086"/>
      <c r="L54" s="3086"/>
      <c r="M54" s="3086"/>
      <c r="N54" s="3086"/>
      <c r="O54" s="3086"/>
      <c r="P54" s="3086"/>
      <c r="Q54" s="3086"/>
      <c r="R54" s="3086"/>
      <c r="S54" s="3086"/>
      <c r="T54" s="3087"/>
    </row>
    <row r="55" spans="1:20" ht="16">
      <c r="A55" s="3085"/>
      <c r="B55" s="3086"/>
      <c r="C55" s="3086"/>
      <c r="D55" s="3086"/>
      <c r="E55" s="3086"/>
      <c r="F55" s="3086"/>
      <c r="G55" s="3086"/>
      <c r="H55" s="3086"/>
      <c r="I55" s="3086"/>
      <c r="J55" s="3086"/>
      <c r="K55" s="3086"/>
      <c r="L55" s="3086"/>
      <c r="M55" s="3086"/>
      <c r="N55" s="3086"/>
      <c r="O55" s="3086"/>
      <c r="P55" s="3086"/>
      <c r="Q55" s="3086"/>
      <c r="R55" s="3086"/>
      <c r="S55" s="3086"/>
      <c r="T55" s="3087"/>
    </row>
    <row r="56" spans="1:20" ht="16">
      <c r="A56" s="3085"/>
      <c r="B56" s="3086"/>
      <c r="C56" s="3086"/>
      <c r="D56" s="3086"/>
      <c r="E56" s="3086"/>
      <c r="F56" s="3086"/>
      <c r="G56" s="3086"/>
      <c r="H56" s="3086"/>
      <c r="I56" s="3086"/>
      <c r="J56" s="3086"/>
      <c r="K56" s="3086"/>
      <c r="L56" s="3086"/>
      <c r="M56" s="3086"/>
      <c r="N56" s="3086"/>
      <c r="O56" s="3086"/>
      <c r="P56" s="3086"/>
      <c r="Q56" s="3086"/>
      <c r="R56" s="3086"/>
      <c r="S56" s="3086"/>
      <c r="T56" s="3087"/>
    </row>
    <row r="57" spans="1:20" ht="16">
      <c r="A57" s="3085"/>
      <c r="B57" s="3086"/>
      <c r="C57" s="3086"/>
      <c r="D57" s="3086"/>
      <c r="E57" s="3086"/>
      <c r="F57" s="3086"/>
      <c r="G57" s="3086"/>
      <c r="H57" s="3086"/>
      <c r="I57" s="3086"/>
      <c r="J57" s="3086"/>
      <c r="K57" s="3086"/>
      <c r="L57" s="3086"/>
      <c r="M57" s="3086"/>
      <c r="N57" s="3086"/>
      <c r="O57" s="3086"/>
      <c r="P57" s="3086"/>
      <c r="Q57" s="3086"/>
      <c r="R57" s="3086"/>
      <c r="S57" s="3086"/>
      <c r="T57" s="3087"/>
    </row>
    <row r="58" spans="1:20" ht="16">
      <c r="A58" s="3085"/>
      <c r="B58" s="3086"/>
      <c r="C58" s="3086"/>
      <c r="D58" s="3086"/>
      <c r="E58" s="3086"/>
      <c r="F58" s="3086"/>
      <c r="G58" s="3086"/>
      <c r="H58" s="3086"/>
      <c r="I58" s="3086"/>
      <c r="J58" s="3086"/>
      <c r="K58" s="3086"/>
      <c r="L58" s="3086"/>
      <c r="M58" s="3086"/>
      <c r="N58" s="3086"/>
      <c r="O58" s="3086"/>
      <c r="P58" s="3086"/>
      <c r="Q58" s="3086"/>
      <c r="R58" s="3086"/>
      <c r="S58" s="3086"/>
      <c r="T58" s="3087"/>
    </row>
    <row r="59" spans="1:20" ht="16">
      <c r="A59" s="3085"/>
      <c r="B59" s="3086"/>
      <c r="C59" s="3086"/>
      <c r="D59" s="3086"/>
      <c r="E59" s="3086"/>
      <c r="F59" s="3086"/>
      <c r="G59" s="3086"/>
      <c r="H59" s="3086"/>
      <c r="I59" s="3086"/>
      <c r="J59" s="3086"/>
      <c r="K59" s="3086"/>
      <c r="L59" s="3086"/>
      <c r="M59" s="3086"/>
      <c r="N59" s="3086"/>
      <c r="O59" s="3086"/>
      <c r="P59" s="3086"/>
      <c r="Q59" s="3086"/>
      <c r="R59" s="3086"/>
      <c r="S59" s="3086"/>
      <c r="T59" s="3087"/>
    </row>
    <row r="60" spans="1:20" ht="16">
      <c r="A60" s="3085"/>
      <c r="B60" s="3086"/>
      <c r="C60" s="3086"/>
      <c r="D60" s="3086"/>
      <c r="E60" s="3086"/>
      <c r="F60" s="3086"/>
      <c r="G60" s="3086"/>
      <c r="H60" s="3086"/>
      <c r="I60" s="3086"/>
      <c r="J60" s="3086"/>
      <c r="K60" s="3086"/>
      <c r="L60" s="3086"/>
      <c r="M60" s="3086"/>
      <c r="N60" s="3086"/>
      <c r="O60" s="3086"/>
      <c r="P60" s="3086"/>
      <c r="Q60" s="3086"/>
      <c r="R60" s="3086"/>
      <c r="S60" s="3086"/>
      <c r="T60" s="3087"/>
    </row>
    <row r="61" spans="1:20" ht="16">
      <c r="A61" s="3085"/>
      <c r="B61" s="3086"/>
      <c r="C61" s="3086"/>
      <c r="D61" s="3086"/>
      <c r="E61" s="3086"/>
      <c r="F61" s="3086"/>
      <c r="G61" s="3086"/>
      <c r="H61" s="3086"/>
      <c r="I61" s="3086"/>
      <c r="J61" s="3086"/>
      <c r="K61" s="3086"/>
      <c r="L61" s="3086"/>
      <c r="M61" s="3086"/>
      <c r="N61" s="3086"/>
      <c r="O61" s="3086"/>
      <c r="P61" s="3086"/>
      <c r="Q61" s="3086"/>
      <c r="R61" s="3086"/>
      <c r="S61" s="3086"/>
      <c r="T61" s="3087"/>
    </row>
    <row r="62" spans="1:20" ht="16">
      <c r="A62" s="3085"/>
      <c r="B62" s="3086"/>
      <c r="C62" s="3086"/>
      <c r="D62" s="3086"/>
      <c r="E62" s="3086"/>
      <c r="F62" s="3086"/>
      <c r="G62" s="3086"/>
      <c r="H62" s="3086"/>
      <c r="I62" s="3086"/>
      <c r="J62" s="3086"/>
      <c r="K62" s="3086"/>
      <c r="L62" s="3086"/>
      <c r="M62" s="3086"/>
      <c r="N62" s="3086"/>
      <c r="O62" s="3086"/>
      <c r="P62" s="3086"/>
      <c r="Q62" s="3086"/>
      <c r="R62" s="3086"/>
      <c r="S62" s="3086"/>
      <c r="T62" s="3087"/>
    </row>
    <row r="63" spans="1:20" ht="16">
      <c r="A63" s="3085"/>
      <c r="B63" s="3086"/>
      <c r="C63" s="3086"/>
      <c r="D63" s="3086"/>
      <c r="E63" s="3086"/>
      <c r="F63" s="3086"/>
      <c r="G63" s="3086"/>
      <c r="H63" s="3086"/>
      <c r="I63" s="3086"/>
      <c r="J63" s="3086"/>
      <c r="K63" s="3086"/>
      <c r="L63" s="3086"/>
      <c r="M63" s="3086"/>
      <c r="N63" s="3086"/>
      <c r="O63" s="3086"/>
      <c r="P63" s="3086"/>
      <c r="Q63" s="3086"/>
      <c r="R63" s="3086"/>
      <c r="S63" s="3086"/>
      <c r="T63" s="3087"/>
    </row>
    <row r="64" spans="1:20" ht="16">
      <c r="A64" s="3085"/>
      <c r="B64" s="3086"/>
      <c r="C64" s="3086"/>
      <c r="D64" s="3086"/>
      <c r="E64" s="3086"/>
      <c r="F64" s="3086"/>
      <c r="G64" s="3086"/>
      <c r="H64" s="3086"/>
      <c r="I64" s="3086"/>
      <c r="J64" s="3086"/>
      <c r="K64" s="3086"/>
      <c r="L64" s="3086"/>
      <c r="M64" s="3086"/>
      <c r="N64" s="3086"/>
      <c r="O64" s="3086"/>
      <c r="P64" s="3086"/>
      <c r="Q64" s="3086"/>
      <c r="R64" s="3086"/>
      <c r="S64" s="3086"/>
      <c r="T64" s="3087"/>
    </row>
    <row r="65" spans="1:20" ht="16">
      <c r="A65" s="3085"/>
      <c r="B65" s="3086"/>
      <c r="C65" s="3086"/>
      <c r="D65" s="3086"/>
      <c r="E65" s="3086"/>
      <c r="F65" s="3086"/>
      <c r="G65" s="3086"/>
      <c r="H65" s="3086"/>
      <c r="I65" s="3086"/>
      <c r="J65" s="3086"/>
      <c r="K65" s="3086"/>
      <c r="L65" s="3086"/>
      <c r="M65" s="3086"/>
      <c r="N65" s="3086"/>
      <c r="O65" s="3086"/>
      <c r="P65" s="3086"/>
      <c r="Q65" s="3086"/>
      <c r="R65" s="3086"/>
      <c r="S65" s="3086"/>
      <c r="T65" s="3087"/>
    </row>
    <row r="66" spans="1:20" ht="17" thickBot="1">
      <c r="A66" s="3082"/>
      <c r="B66" s="3083"/>
      <c r="C66" s="3083"/>
      <c r="D66" s="3083"/>
      <c r="E66" s="3083"/>
      <c r="F66" s="3083"/>
      <c r="G66" s="3083"/>
      <c r="H66" s="3083"/>
      <c r="I66" s="3083"/>
      <c r="J66" s="3083"/>
      <c r="K66" s="3083"/>
      <c r="L66" s="3083"/>
      <c r="M66" s="3083"/>
      <c r="N66" s="3083"/>
      <c r="O66" s="3083"/>
      <c r="P66" s="3083"/>
      <c r="Q66" s="3083"/>
      <c r="R66" s="3083"/>
      <c r="S66" s="3083"/>
      <c r="T66" s="3084"/>
    </row>
  </sheetData>
  <sheetProtection algorithmName="SHA-512" hashValue="fnPfK6eniUTXsBpW3w67he15Mc9gClv/3Z+Xd/7ZJuFIslXqongBR4SHVVTCUXJTgVgPDbTaIix3mpv7uHYIFQ==" saltValue="/MIMZHAKBbYBOaFkdzDcZQ==" spinCount="100000" sheet="1" scenarios="1" formatCells="0" formatColumns="0" formatRows="0"/>
  <customSheetViews>
    <customSheetView guid="{EDC0EC15-0264-48C8-A990-093960AE8EF3}" scale="85" showPageBreaks="1" showGridLines="0" printArea="1">
      <selection activeCell="A6" sqref="A6:A7"/>
      <pageMargins left="0" right="0" top="0" bottom="0" header="0" footer="0"/>
      <printOptions horizontalCentered="1"/>
      <pageSetup scale="77" orientation="landscape" r:id="rId1"/>
      <headerFooter differentFirst="1">
        <firstHeader>&amp;L&amp;G&amp;C&amp;8
&amp;18Credit Memo</firstHeader>
      </headerFooter>
    </customSheetView>
    <customSheetView guid="{6E1FDEE6-49D0-4876-8C7C-09893145D2CE}" scale="85" showPageBreaks="1" showGridLines="0" printArea="1">
      <selection activeCell="A6" sqref="A6:A7"/>
      <pageMargins left="0" right="0" top="0" bottom="0" header="0" footer="0"/>
      <printOptions horizontalCentered="1"/>
      <pageSetup scale="77" orientation="landscape" r:id="rId2"/>
      <headerFooter differentFirst="1">
        <firstHeader>&amp;L&amp;G&amp;C&amp;8
&amp;18Credit Memo</firstHeader>
      </headerFooter>
    </customSheetView>
    <customSheetView guid="{DB1F6E98-7FCC-445F-9DA6-47D8BF8BE969}" scale="85" showPageBreaks="1" showGridLines="0" printArea="1">
      <selection activeCell="A6" sqref="A6:A7"/>
      <pageMargins left="0" right="0" top="0" bottom="0" header="0" footer="0"/>
      <printOptions horizontalCentered="1"/>
      <pageSetup scale="77" orientation="landscape" r:id="rId3"/>
      <headerFooter differentFirst="1">
        <firstHeader>&amp;L&amp;G&amp;C&amp;8
&amp;18Credit Memo</firstHeader>
      </headerFooter>
    </customSheetView>
    <customSheetView guid="{C02CA8E5-5D4C-45E5-BC4A-4C9BE481059B}" scale="85" showPageBreaks="1" showGridLines="0" printArea="1">
      <selection activeCell="A6" sqref="A6:A7"/>
      <pageMargins left="0" right="0" top="0" bottom="0" header="0" footer="0"/>
      <printOptions horizontalCentered="1"/>
      <pageSetup scale="77" orientation="landscape" r:id="rId4"/>
      <headerFooter differentFirst="1">
        <firstHeader>&amp;L&amp;G&amp;C&amp;8
&amp;18Credit Memo</firstHeader>
      </headerFooter>
    </customSheetView>
  </customSheetViews>
  <mergeCells count="229">
    <mergeCell ref="D4:E4"/>
    <mergeCell ref="G4:H4"/>
    <mergeCell ref="D6:E6"/>
    <mergeCell ref="D5:E5"/>
    <mergeCell ref="G5:H5"/>
    <mergeCell ref="J5:K5"/>
    <mergeCell ref="M5:N5"/>
    <mergeCell ref="P5:Q5"/>
    <mergeCell ref="S5:T5"/>
    <mergeCell ref="G6:H6"/>
    <mergeCell ref="J6:K6"/>
    <mergeCell ref="M6:N6"/>
    <mergeCell ref="P6:Q6"/>
    <mergeCell ref="S6:T6"/>
    <mergeCell ref="J4:K4"/>
    <mergeCell ref="M4:N4"/>
    <mergeCell ref="P4:Q4"/>
    <mergeCell ref="S4:T4"/>
    <mergeCell ref="S7:T7"/>
    <mergeCell ref="D8:E8"/>
    <mergeCell ref="G8:H8"/>
    <mergeCell ref="J8:K8"/>
    <mergeCell ref="M8:N8"/>
    <mergeCell ref="P8:Q8"/>
    <mergeCell ref="S8:T8"/>
    <mergeCell ref="D7:E7"/>
    <mergeCell ref="G7:H7"/>
    <mergeCell ref="J7:K7"/>
    <mergeCell ref="M7:N7"/>
    <mergeCell ref="P7:Q7"/>
    <mergeCell ref="D10:E10"/>
    <mergeCell ref="G10:H10"/>
    <mergeCell ref="J10:K10"/>
    <mergeCell ref="M10:N10"/>
    <mergeCell ref="P10:Q10"/>
    <mergeCell ref="S10:T10"/>
    <mergeCell ref="D9:E9"/>
    <mergeCell ref="G9:H9"/>
    <mergeCell ref="J9:K9"/>
    <mergeCell ref="M9:N9"/>
    <mergeCell ref="P9:Q9"/>
    <mergeCell ref="S9:T9"/>
    <mergeCell ref="J12:K12"/>
    <mergeCell ref="M12:N12"/>
    <mergeCell ref="P12:Q12"/>
    <mergeCell ref="S12:T12"/>
    <mergeCell ref="D13:E13"/>
    <mergeCell ref="G13:H13"/>
    <mergeCell ref="J13:K13"/>
    <mergeCell ref="M13:N13"/>
    <mergeCell ref="P13:Q13"/>
    <mergeCell ref="S13:T13"/>
    <mergeCell ref="D12:E12"/>
    <mergeCell ref="G12:H12"/>
    <mergeCell ref="J15:K15"/>
    <mergeCell ref="M15:N15"/>
    <mergeCell ref="P15:Q15"/>
    <mergeCell ref="S15:T15"/>
    <mergeCell ref="D16:E16"/>
    <mergeCell ref="G16:H16"/>
    <mergeCell ref="J16:K16"/>
    <mergeCell ref="M16:N16"/>
    <mergeCell ref="P16:Q16"/>
    <mergeCell ref="S16:T16"/>
    <mergeCell ref="D15:E15"/>
    <mergeCell ref="G15:H15"/>
    <mergeCell ref="J17:K17"/>
    <mergeCell ref="M17:N17"/>
    <mergeCell ref="P17:Q17"/>
    <mergeCell ref="S17:T17"/>
    <mergeCell ref="D19:E19"/>
    <mergeCell ref="G19:H19"/>
    <mergeCell ref="J19:K19"/>
    <mergeCell ref="M19:N19"/>
    <mergeCell ref="P19:Q19"/>
    <mergeCell ref="S19:T19"/>
    <mergeCell ref="D17:E17"/>
    <mergeCell ref="G17:H17"/>
    <mergeCell ref="J20:K20"/>
    <mergeCell ref="M20:N20"/>
    <mergeCell ref="P20:Q20"/>
    <mergeCell ref="S20:T20"/>
    <mergeCell ref="D21:E21"/>
    <mergeCell ref="G21:H21"/>
    <mergeCell ref="J21:K21"/>
    <mergeCell ref="M21:N21"/>
    <mergeCell ref="P21:Q21"/>
    <mergeCell ref="S21:T21"/>
    <mergeCell ref="D20:E20"/>
    <mergeCell ref="G20:H20"/>
    <mergeCell ref="J22:K22"/>
    <mergeCell ref="M22:N22"/>
    <mergeCell ref="P22:Q22"/>
    <mergeCell ref="S22:T22"/>
    <mergeCell ref="D23:E23"/>
    <mergeCell ref="G23:H23"/>
    <mergeCell ref="J23:K23"/>
    <mergeCell ref="M23:N23"/>
    <mergeCell ref="P23:Q23"/>
    <mergeCell ref="S23:T23"/>
    <mergeCell ref="D22:E22"/>
    <mergeCell ref="G22:H22"/>
    <mergeCell ref="J24:K24"/>
    <mergeCell ref="M24:N24"/>
    <mergeCell ref="P24:Q24"/>
    <mergeCell ref="S24:T24"/>
    <mergeCell ref="D26:E26"/>
    <mergeCell ref="G26:H26"/>
    <mergeCell ref="J26:K26"/>
    <mergeCell ref="M26:N26"/>
    <mergeCell ref="P26:Q26"/>
    <mergeCell ref="S26:T26"/>
    <mergeCell ref="D24:E24"/>
    <mergeCell ref="G24:H24"/>
    <mergeCell ref="S28:T28"/>
    <mergeCell ref="D30:E30"/>
    <mergeCell ref="G30:H30"/>
    <mergeCell ref="J30:K30"/>
    <mergeCell ref="M30:N30"/>
    <mergeCell ref="P30:Q30"/>
    <mergeCell ref="S30:T30"/>
    <mergeCell ref="D28:E28"/>
    <mergeCell ref="G28:H28"/>
    <mergeCell ref="J28:K28"/>
    <mergeCell ref="M28:N28"/>
    <mergeCell ref="P28:Q28"/>
    <mergeCell ref="S31:T31"/>
    <mergeCell ref="D32:E32"/>
    <mergeCell ref="G32:H32"/>
    <mergeCell ref="J32:K32"/>
    <mergeCell ref="M32:N32"/>
    <mergeCell ref="P32:Q32"/>
    <mergeCell ref="S32:T32"/>
    <mergeCell ref="D31:E31"/>
    <mergeCell ref="G31:H31"/>
    <mergeCell ref="J31:K31"/>
    <mergeCell ref="M31:N31"/>
    <mergeCell ref="P31:Q31"/>
    <mergeCell ref="S34:T34"/>
    <mergeCell ref="D37:E37"/>
    <mergeCell ref="G37:H37"/>
    <mergeCell ref="J37:K37"/>
    <mergeCell ref="M37:N37"/>
    <mergeCell ref="P37:Q37"/>
    <mergeCell ref="S37:T37"/>
    <mergeCell ref="D34:E34"/>
    <mergeCell ref="G34:H34"/>
    <mergeCell ref="J34:K34"/>
    <mergeCell ref="M34:N34"/>
    <mergeCell ref="P34:Q34"/>
    <mergeCell ref="S38:T38"/>
    <mergeCell ref="D39:E39"/>
    <mergeCell ref="G39:H39"/>
    <mergeCell ref="J39:K39"/>
    <mergeCell ref="M39:N39"/>
    <mergeCell ref="P39:Q39"/>
    <mergeCell ref="S39:T39"/>
    <mergeCell ref="D38:E38"/>
    <mergeCell ref="G38:H38"/>
    <mergeCell ref="J38:K38"/>
    <mergeCell ref="M38:N38"/>
    <mergeCell ref="P38:Q38"/>
    <mergeCell ref="S40:T40"/>
    <mergeCell ref="D41:E41"/>
    <mergeCell ref="G41:H41"/>
    <mergeCell ref="J41:K41"/>
    <mergeCell ref="M41:N41"/>
    <mergeCell ref="P41:Q41"/>
    <mergeCell ref="S41:T41"/>
    <mergeCell ref="D40:E40"/>
    <mergeCell ref="G40:H40"/>
    <mergeCell ref="J40:K40"/>
    <mergeCell ref="M40:N40"/>
    <mergeCell ref="P40:Q40"/>
    <mergeCell ref="S43:T43"/>
    <mergeCell ref="D44:E44"/>
    <mergeCell ref="G44:H44"/>
    <mergeCell ref="J44:K44"/>
    <mergeCell ref="M44:N44"/>
    <mergeCell ref="P44:Q44"/>
    <mergeCell ref="S44:T44"/>
    <mergeCell ref="D43:E43"/>
    <mergeCell ref="G43:H43"/>
    <mergeCell ref="J43:K43"/>
    <mergeCell ref="M43:N43"/>
    <mergeCell ref="P43:Q43"/>
    <mergeCell ref="P48:Q48"/>
    <mergeCell ref="S48:T48"/>
    <mergeCell ref="D47:E47"/>
    <mergeCell ref="G47:H47"/>
    <mergeCell ref="J47:K47"/>
    <mergeCell ref="M47:N47"/>
    <mergeCell ref="P47:Q47"/>
    <mergeCell ref="S45:T45"/>
    <mergeCell ref="D46:E46"/>
    <mergeCell ref="G46:H46"/>
    <mergeCell ref="J46:K46"/>
    <mergeCell ref="M46:N46"/>
    <mergeCell ref="P46:Q46"/>
    <mergeCell ref="S46:T46"/>
    <mergeCell ref="D45:E45"/>
    <mergeCell ref="G45:H45"/>
    <mergeCell ref="J45:K45"/>
    <mergeCell ref="M45:N45"/>
    <mergeCell ref="P45:Q45"/>
    <mergeCell ref="A65:T65"/>
    <mergeCell ref="A66:T66"/>
    <mergeCell ref="A1:T1"/>
    <mergeCell ref="D2:K2"/>
    <mergeCell ref="A60:T60"/>
    <mergeCell ref="A61:T61"/>
    <mergeCell ref="A62:T62"/>
    <mergeCell ref="A63:T63"/>
    <mergeCell ref="A64:T64"/>
    <mergeCell ref="A55:T55"/>
    <mergeCell ref="A56:T56"/>
    <mergeCell ref="A57:T57"/>
    <mergeCell ref="A58:T58"/>
    <mergeCell ref="A59:T59"/>
    <mergeCell ref="A50:T50"/>
    <mergeCell ref="A51:T51"/>
    <mergeCell ref="A52:T52"/>
    <mergeCell ref="A53:T53"/>
    <mergeCell ref="A54:T54"/>
    <mergeCell ref="S47:T47"/>
    <mergeCell ref="D48:E48"/>
    <mergeCell ref="G48:H48"/>
    <mergeCell ref="J48:K48"/>
    <mergeCell ref="M48:N48"/>
  </mergeCells>
  <hyperlinks>
    <hyperlink ref="V1" location="Index!A1" display="Index" xr:uid="{EFF32472-3437-4CD0-B95A-860297DF47E2}"/>
  </hyperlinks>
  <printOptions horizontalCentered="1"/>
  <pageMargins left="0.7" right="0.7" top="0.75" bottom="0.75" header="0.3" footer="0.3"/>
  <pageSetup scale="50" orientation="landscape" r:id="rId5"/>
  <headerFooter differentFirst="1">
    <firstHeader>&amp;L&amp;G&amp;C&amp;8
&amp;18Credit Memo</first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43DC62F7-D697-4A50-97ED-D236C43022BF}">
          <x14:formula1>
            <xm:f>Lists!$B$39:$B$42</xm:f>
          </x14:formula1>
          <xm:sqref>D5:E5 G5:H5 J5:K5 M5:N5 P5:Q5 S5:T5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dimension ref="A1:Q67"/>
  <sheetViews>
    <sheetView showGridLines="0" topLeftCell="A23" zoomScale="85" zoomScaleNormal="85" workbookViewId="0">
      <selection activeCell="A16" sqref="A16:M20"/>
    </sheetView>
  </sheetViews>
  <sheetFormatPr baseColWidth="10" defaultColWidth="8.83203125" defaultRowHeight="15"/>
  <cols>
    <col min="1" max="3" width="13.6640625" customWidth="1"/>
    <col min="4" max="6" width="12.6640625" customWidth="1"/>
    <col min="7" max="7" width="3.6640625" bestFit="1" customWidth="1"/>
    <col min="8" max="11" width="12.6640625" customWidth="1"/>
    <col min="14" max="14" width="21.1640625" bestFit="1" customWidth="1"/>
  </cols>
  <sheetData>
    <row r="1" spans="1:17" ht="17" thickBot="1">
      <c r="A1" s="2953" t="s">
        <v>1104</v>
      </c>
      <c r="B1" s="2954"/>
      <c r="C1" s="2954"/>
      <c r="D1" s="2954"/>
      <c r="E1" s="2954"/>
      <c r="F1" s="2954"/>
      <c r="G1" s="2954"/>
      <c r="H1" s="2954"/>
      <c r="I1" s="2954"/>
      <c r="J1" s="2954"/>
      <c r="K1" s="2955"/>
      <c r="N1" s="1179"/>
      <c r="O1" s="1179"/>
      <c r="P1" s="1179"/>
    </row>
    <row r="2" spans="1:17" ht="16.25" customHeight="1">
      <c r="A2" s="233"/>
      <c r="B2" s="232"/>
      <c r="C2" s="232"/>
      <c r="D2" s="234"/>
      <c r="E2" s="232"/>
      <c r="F2" s="232"/>
      <c r="G2" s="232"/>
      <c r="H2" s="232"/>
      <c r="I2" s="232"/>
      <c r="J2" s="232"/>
      <c r="K2" s="1222"/>
      <c r="N2" t="str" cm="1">
        <f t="array" aca="1" ref="N2" ca="1">MID(CELL("filename",A1),FIND("]",CELL("filename",A1))+1,256)</f>
        <v>Per Need 3</v>
      </c>
    </row>
    <row r="3" spans="1:17" ht="15.5" customHeight="1">
      <c r="A3" s="236" t="s">
        <v>1105</v>
      </c>
      <c r="B3" s="3028" t="s">
        <v>1106</v>
      </c>
      <c r="C3" s="3029"/>
      <c r="D3" s="3029"/>
      <c r="E3" s="3029"/>
      <c r="F3" s="3029"/>
      <c r="G3" s="3029"/>
      <c r="H3" s="3029"/>
      <c r="I3" s="3030"/>
      <c r="J3" s="3031"/>
      <c r="K3" s="1223"/>
    </row>
    <row r="4" spans="1:17" ht="17" thickBot="1">
      <c r="A4" s="233"/>
      <c r="B4" s="232"/>
      <c r="C4" s="232"/>
      <c r="D4" s="232"/>
      <c r="E4" s="3042"/>
      <c r="F4" s="3044"/>
      <c r="G4" s="3044"/>
      <c r="H4" s="1224"/>
      <c r="I4" s="1224"/>
      <c r="J4" s="1224"/>
      <c r="K4" s="1225"/>
      <c r="N4" s="2779" t="s">
        <v>1107</v>
      </c>
      <c r="O4" s="2779"/>
      <c r="P4" s="2779"/>
      <c r="Q4" s="2779"/>
    </row>
    <row r="5" spans="1:17" ht="17" thickBot="1">
      <c r="A5" s="247" t="s">
        <v>277</v>
      </c>
      <c r="B5" s="232"/>
      <c r="C5" s="232"/>
      <c r="D5" s="232"/>
      <c r="E5" s="3043"/>
      <c r="F5" s="3045"/>
      <c r="G5" s="3045"/>
      <c r="H5" s="1226"/>
      <c r="I5" s="2908" t="s">
        <v>1108</v>
      </c>
      <c r="J5" s="2909"/>
      <c r="K5" s="2910"/>
      <c r="N5" s="3032" t="s">
        <v>1109</v>
      </c>
      <c r="O5" s="3032"/>
      <c r="P5" s="3032"/>
      <c r="Q5" s="3032"/>
    </row>
    <row r="6" spans="1:17" ht="17" thickBot="1">
      <c r="A6" s="1227" t="s">
        <v>278</v>
      </c>
      <c r="B6" s="232"/>
      <c r="C6" s="232"/>
      <c r="D6" s="1614"/>
      <c r="E6" s="1228"/>
      <c r="F6" s="1228"/>
      <c r="G6" s="1229" t="s">
        <v>795</v>
      </c>
      <c r="H6" s="244"/>
      <c r="I6" s="1230" t="s">
        <v>488</v>
      </c>
      <c r="J6" s="1231" t="s">
        <v>1110</v>
      </c>
      <c r="K6" s="1232" t="s">
        <v>847</v>
      </c>
      <c r="N6" s="1279"/>
      <c r="O6" s="1280">
        <v>2020</v>
      </c>
      <c r="P6" s="1281">
        <f>O6+1</f>
        <v>2021</v>
      </c>
      <c r="Q6" s="1281">
        <f>P6+1</f>
        <v>2022</v>
      </c>
    </row>
    <row r="7" spans="1:17" ht="16">
      <c r="A7" s="1227" t="s">
        <v>279</v>
      </c>
      <c r="B7" s="232"/>
      <c r="C7" s="232"/>
      <c r="D7" s="1615"/>
      <c r="E7" s="1228"/>
      <c r="F7" s="1228"/>
      <c r="G7" s="12"/>
      <c r="H7" s="1235" t="s">
        <v>1111</v>
      </c>
      <c r="I7" s="1609"/>
      <c r="J7" s="1623"/>
      <c r="K7" s="1606"/>
      <c r="N7" s="1279" t="s">
        <v>1112</v>
      </c>
      <c r="O7" s="1622"/>
      <c r="P7" s="1622"/>
      <c r="Q7" s="1622"/>
    </row>
    <row r="8" spans="1:17" ht="16">
      <c r="A8" s="1227" t="s">
        <v>280</v>
      </c>
      <c r="B8" s="232"/>
      <c r="C8" s="232"/>
      <c r="D8" s="1615"/>
      <c r="E8" s="241"/>
      <c r="F8" s="232"/>
      <c r="G8" s="246"/>
      <c r="H8" s="244"/>
      <c r="I8" s="1610"/>
      <c r="J8" s="1624"/>
      <c r="K8" s="1606"/>
      <c r="N8" s="1279" t="s">
        <v>205</v>
      </c>
      <c r="O8" s="1622"/>
      <c r="P8" s="1622"/>
      <c r="Q8" s="1622"/>
    </row>
    <row r="9" spans="1:17" ht="16">
      <c r="A9" s="1227" t="s">
        <v>281</v>
      </c>
      <c r="B9" s="232"/>
      <c r="C9" s="232"/>
      <c r="D9" s="1615">
        <f>'Per RE 3'!A35</f>
        <v>0</v>
      </c>
      <c r="E9" s="1228"/>
      <c r="F9" s="232"/>
      <c r="G9" s="246"/>
      <c r="H9" s="232"/>
      <c r="I9" s="1610"/>
      <c r="J9" s="1624"/>
      <c r="K9" s="1606"/>
      <c r="N9" s="1279" t="s">
        <v>1113</v>
      </c>
      <c r="O9" s="1622"/>
      <c r="P9" s="1622"/>
      <c r="Q9" s="1622"/>
    </row>
    <row r="10" spans="1:17" ht="16">
      <c r="A10" s="1227" t="s">
        <v>282</v>
      </c>
      <c r="B10" s="232"/>
      <c r="C10" s="232"/>
      <c r="D10" s="1615"/>
      <c r="E10" s="241"/>
      <c r="F10" s="232"/>
      <c r="G10" s="246"/>
      <c r="H10" s="232"/>
      <c r="I10" s="1610"/>
      <c r="J10" s="1624"/>
      <c r="K10" s="1606"/>
      <c r="N10" s="1279" t="s">
        <v>1114</v>
      </c>
      <c r="O10" s="1622"/>
      <c r="P10" s="1622"/>
      <c r="Q10" s="1622"/>
    </row>
    <row r="11" spans="1:17" ht="16">
      <c r="A11" s="1227" t="s">
        <v>283</v>
      </c>
      <c r="B11" s="232"/>
      <c r="C11" s="232"/>
      <c r="D11" s="1615"/>
      <c r="E11" s="1228"/>
      <c r="F11" s="232"/>
      <c r="G11" s="246"/>
      <c r="H11" s="232"/>
      <c r="I11" s="1610"/>
      <c r="J11" s="1624"/>
      <c r="K11" s="1606"/>
      <c r="N11" s="1279" t="s">
        <v>1115</v>
      </c>
      <c r="O11" s="1622"/>
      <c r="P11" s="1622"/>
      <c r="Q11" s="1622"/>
    </row>
    <row r="12" spans="1:17" ht="17" thickBot="1">
      <c r="A12" s="1227" t="s">
        <v>284</v>
      </c>
      <c r="B12" s="232"/>
      <c r="C12" s="232"/>
      <c r="D12" s="1616"/>
      <c r="E12" s="241"/>
      <c r="F12" s="232"/>
      <c r="G12" s="1101"/>
      <c r="H12" s="232"/>
      <c r="I12" s="1611"/>
      <c r="J12" s="1625"/>
      <c r="K12" s="1612"/>
      <c r="N12" s="1279" t="s">
        <v>1116</v>
      </c>
      <c r="O12" s="1622"/>
      <c r="P12" s="1622"/>
      <c r="Q12" s="1622"/>
    </row>
    <row r="13" spans="1:17" ht="17" thickTop="1">
      <c r="A13" s="247" t="s">
        <v>285</v>
      </c>
      <c r="B13" s="232"/>
      <c r="C13" s="232"/>
      <c r="D13" s="513">
        <f>SUM(D6:D12)</f>
        <v>0</v>
      </c>
      <c r="E13" s="1228"/>
      <c r="F13" s="232"/>
      <c r="G13" s="122"/>
      <c r="H13" s="232"/>
      <c r="I13" s="1277">
        <f>SUM(I7:I12)</f>
        <v>0</v>
      </c>
      <c r="J13" s="1277">
        <f>SUM(J7:J12)</f>
        <v>0</v>
      </c>
      <c r="K13" s="1278"/>
      <c r="N13" s="1279" t="s">
        <v>1117</v>
      </c>
      <c r="O13" s="1622"/>
      <c r="P13" s="1622"/>
      <c r="Q13" s="1622"/>
    </row>
    <row r="14" spans="1:17" ht="17" thickBot="1">
      <c r="A14" s="233"/>
      <c r="B14" s="232"/>
      <c r="C14" s="232"/>
      <c r="D14" s="232"/>
      <c r="E14" s="1238"/>
      <c r="F14" s="232"/>
      <c r="G14" s="232"/>
      <c r="H14" s="232"/>
      <c r="I14" s="1228"/>
      <c r="J14" s="1228"/>
      <c r="K14" s="235"/>
      <c r="N14" s="1279" t="s">
        <v>1118</v>
      </c>
      <c r="O14" s="1622"/>
      <c r="P14" s="1622"/>
      <c r="Q14" s="1622"/>
    </row>
    <row r="15" spans="1:17" ht="17" thickBot="1">
      <c r="A15" s="247" t="s">
        <v>286</v>
      </c>
      <c r="B15" s="234"/>
      <c r="C15" s="234"/>
      <c r="D15" s="234"/>
      <c r="E15" s="1228"/>
      <c r="F15" s="232"/>
      <c r="G15" s="1240"/>
      <c r="H15" s="244"/>
      <c r="I15" s="2908" t="s">
        <v>1119</v>
      </c>
      <c r="J15" s="2909"/>
      <c r="K15" s="2910"/>
      <c r="N15" s="1279" t="s">
        <v>1120</v>
      </c>
      <c r="O15" s="1622"/>
      <c r="P15" s="1622"/>
      <c r="Q15" s="1622"/>
    </row>
    <row r="16" spans="1:17" ht="17" thickBot="1">
      <c r="A16" s="1227" t="s">
        <v>287</v>
      </c>
      <c r="B16" s="232"/>
      <c r="C16" s="232"/>
      <c r="D16" s="1617">
        <f>J7</f>
        <v>0</v>
      </c>
      <c r="E16" s="241"/>
      <c r="F16" s="232"/>
      <c r="G16" s="1229" t="s">
        <v>795</v>
      </c>
      <c r="H16" s="244"/>
      <c r="I16" s="1230" t="s">
        <v>488</v>
      </c>
      <c r="J16" s="1231" t="s">
        <v>1110</v>
      </c>
      <c r="K16" s="1232" t="s">
        <v>847</v>
      </c>
      <c r="N16" s="1279" t="s">
        <v>1121</v>
      </c>
      <c r="O16" s="1622"/>
      <c r="P16" s="1622"/>
      <c r="Q16" s="1622"/>
    </row>
    <row r="17" spans="1:17" ht="16">
      <c r="A17" s="1227" t="s">
        <v>288</v>
      </c>
      <c r="B17" s="232"/>
      <c r="C17" s="232"/>
      <c r="D17" s="1618">
        <f>SUM(J8:J12)</f>
        <v>0</v>
      </c>
      <c r="E17" s="1228"/>
      <c r="F17" s="232"/>
      <c r="G17" s="12"/>
      <c r="H17" s="244"/>
      <c r="I17" s="1605"/>
      <c r="J17" s="1605"/>
      <c r="K17" s="1613"/>
      <c r="N17" s="1279" t="s">
        <v>1122</v>
      </c>
      <c r="O17" s="1622"/>
      <c r="P17" s="1622"/>
      <c r="Q17" s="1622"/>
    </row>
    <row r="18" spans="1:17" ht="16">
      <c r="A18" s="1227" t="s">
        <v>289</v>
      </c>
      <c r="B18" s="232"/>
      <c r="C18" s="232"/>
      <c r="D18" s="1618">
        <f>J32</f>
        <v>0</v>
      </c>
      <c r="E18" s="241"/>
      <c r="F18" s="232"/>
      <c r="G18" s="12"/>
      <c r="H18" s="244"/>
      <c r="I18" s="1605"/>
      <c r="J18" s="1605"/>
      <c r="K18" s="1613"/>
      <c r="N18" s="1279" t="s">
        <v>1123</v>
      </c>
      <c r="O18" s="1622"/>
      <c r="P18" s="1622"/>
      <c r="Q18" s="1622"/>
    </row>
    <row r="19" spans="1:17" ht="16">
      <c r="A19" s="1227" t="s">
        <v>290</v>
      </c>
      <c r="B19" s="232"/>
      <c r="C19" s="232"/>
      <c r="D19" s="1618">
        <f>J23</f>
        <v>0</v>
      </c>
      <c r="E19" s="1242"/>
      <c r="F19" s="1240"/>
      <c r="G19" s="12"/>
      <c r="H19" s="244"/>
      <c r="I19" s="1605"/>
      <c r="J19" s="1605"/>
      <c r="K19" s="1613"/>
      <c r="N19" s="1279" t="s">
        <v>1124</v>
      </c>
      <c r="O19" s="1622"/>
      <c r="P19" s="1622"/>
      <c r="Q19" s="1622"/>
    </row>
    <row r="20" spans="1:17" ht="16">
      <c r="A20" s="1227" t="s">
        <v>291</v>
      </c>
      <c r="B20" s="232"/>
      <c r="C20" s="232"/>
      <c r="D20" s="1618">
        <f>J54</f>
        <v>0</v>
      </c>
      <c r="E20" s="241"/>
      <c r="F20" s="232"/>
      <c r="G20" s="12"/>
      <c r="H20" s="244"/>
      <c r="I20" s="1605"/>
      <c r="J20" s="1605"/>
      <c r="K20" s="1613"/>
      <c r="N20" s="1279" t="s">
        <v>1125</v>
      </c>
      <c r="O20" s="1622"/>
      <c r="P20" s="1622"/>
      <c r="Q20" s="1622"/>
    </row>
    <row r="21" spans="1:17" ht="17" thickBot="1">
      <c r="A21" s="1227" t="s">
        <v>292</v>
      </c>
      <c r="B21" s="234"/>
      <c r="C21" s="234"/>
      <c r="D21" s="1619"/>
      <c r="E21" s="241"/>
      <c r="F21" s="232"/>
      <c r="G21" s="12"/>
      <c r="H21" s="244"/>
      <c r="I21" s="1605"/>
      <c r="J21" s="1605"/>
      <c r="K21" s="1613"/>
      <c r="N21" s="1279" t="s">
        <v>1126</v>
      </c>
      <c r="O21" s="1622"/>
      <c r="P21" s="1622"/>
      <c r="Q21" s="1622"/>
    </row>
    <row r="22" spans="1:17" ht="17" thickTop="1">
      <c r="A22" s="247" t="s">
        <v>293</v>
      </c>
      <c r="B22" s="232"/>
      <c r="C22" s="232"/>
      <c r="D22" s="240">
        <f>SUM(D16:D21)</f>
        <v>0</v>
      </c>
      <c r="E22" s="232"/>
      <c r="F22" s="232"/>
      <c r="G22" s="13"/>
      <c r="H22" s="244"/>
      <c r="I22" s="1605"/>
      <c r="J22" s="1605"/>
      <c r="K22" s="1613"/>
      <c r="N22" s="1279" t="s">
        <v>1127</v>
      </c>
      <c r="O22" s="1282">
        <f>SUM(O7:O21)</f>
        <v>0</v>
      </c>
      <c r="P22" s="1282">
        <f>SUM(P7:P21)</f>
        <v>0</v>
      </c>
      <c r="Q22" s="1282">
        <f>SUM(Q7:Q21)</f>
        <v>0</v>
      </c>
    </row>
    <row r="23" spans="1:17" ht="16">
      <c r="A23" s="233"/>
      <c r="B23" s="232"/>
      <c r="C23" s="232"/>
      <c r="D23" s="232"/>
      <c r="E23" s="241"/>
      <c r="F23" s="232"/>
      <c r="G23" s="232"/>
      <c r="H23" s="232"/>
      <c r="I23" s="1245">
        <f>SUM(I17:I22)</f>
        <v>0</v>
      </c>
      <c r="J23" s="1245">
        <f>SUM(J17:J22)</f>
        <v>0</v>
      </c>
      <c r="K23" s="1246"/>
      <c r="N23" s="1279" t="s">
        <v>1128</v>
      </c>
      <c r="O23" s="1622"/>
      <c r="P23" s="1622"/>
      <c r="Q23" s="1622"/>
    </row>
    <row r="24" spans="1:17" ht="17" thickBot="1">
      <c r="A24" s="247" t="s">
        <v>294</v>
      </c>
      <c r="B24" s="232"/>
      <c r="C24" s="232"/>
      <c r="D24" s="242">
        <f>D22*12</f>
        <v>0</v>
      </c>
      <c r="E24" s="241"/>
      <c r="F24" s="232"/>
      <c r="G24" s="232"/>
      <c r="H24" s="232"/>
      <c r="I24" s="1247"/>
      <c r="J24" s="1247"/>
      <c r="K24" s="1248"/>
      <c r="N24" s="1279" t="s">
        <v>1129</v>
      </c>
      <c r="O24" s="1282">
        <f>O22-O23</f>
        <v>0</v>
      </c>
      <c r="P24" s="1282">
        <f>P22-P23</f>
        <v>0</v>
      </c>
      <c r="Q24" s="1282">
        <f>Q22-Q23</f>
        <v>0</v>
      </c>
    </row>
    <row r="25" spans="1:17" ht="17" thickBot="1">
      <c r="A25" s="247" t="s">
        <v>295</v>
      </c>
      <c r="B25" s="232"/>
      <c r="C25" s="232"/>
      <c r="D25" s="514">
        <f>IF(D13=0,0,D24/D13)</f>
        <v>0</v>
      </c>
      <c r="E25" s="1228"/>
      <c r="F25" s="232"/>
      <c r="G25" s="232"/>
      <c r="H25" s="244"/>
      <c r="I25" s="2908" t="s">
        <v>1130</v>
      </c>
      <c r="J25" s="2909"/>
      <c r="K25" s="2910"/>
      <c r="N25" s="498" t="s">
        <v>1131</v>
      </c>
      <c r="O25" s="1622"/>
      <c r="P25" s="1622"/>
      <c r="Q25" s="1622"/>
    </row>
    <row r="26" spans="1:17" ht="17" thickBot="1">
      <c r="A26" s="247" t="s">
        <v>296</v>
      </c>
      <c r="B26" s="232"/>
      <c r="C26" s="232"/>
      <c r="D26" s="242">
        <f>D22*12/50*100</f>
        <v>0</v>
      </c>
      <c r="E26" s="1228"/>
      <c r="F26" s="232"/>
      <c r="G26" s="1229" t="s">
        <v>795</v>
      </c>
      <c r="H26" s="244"/>
      <c r="I26" s="1230" t="s">
        <v>488</v>
      </c>
      <c r="J26" s="1231" t="s">
        <v>1110</v>
      </c>
      <c r="K26" s="1232" t="s">
        <v>847</v>
      </c>
    </row>
    <row r="27" spans="1:17" ht="16">
      <c r="A27" s="233"/>
      <c r="B27" s="232"/>
      <c r="C27" s="232"/>
      <c r="D27" s="232"/>
      <c r="E27" s="1228"/>
      <c r="F27" s="1240"/>
      <c r="G27" s="12"/>
      <c r="H27" s="244"/>
      <c r="I27" s="1605"/>
      <c r="J27" s="1605"/>
      <c r="K27" s="1606"/>
    </row>
    <row r="28" spans="1:17" ht="16">
      <c r="A28" s="247" t="s">
        <v>297</v>
      </c>
      <c r="B28" s="232"/>
      <c r="C28" s="232"/>
      <c r="D28" s="232"/>
      <c r="E28" s="1228"/>
      <c r="F28" s="232"/>
      <c r="G28" s="12"/>
      <c r="H28" s="244"/>
      <c r="I28" s="1605"/>
      <c r="J28" s="1605"/>
      <c r="K28" s="1606"/>
    </row>
    <row r="29" spans="1:17" ht="16">
      <c r="A29" s="248" t="s">
        <v>298</v>
      </c>
      <c r="B29" s="232"/>
      <c r="C29" s="232"/>
      <c r="D29" s="1617">
        <f>D37</f>
        <v>0</v>
      </c>
      <c r="E29" s="1228"/>
      <c r="F29" s="232"/>
      <c r="G29" s="12"/>
      <c r="H29" s="244"/>
      <c r="I29" s="1605"/>
      <c r="J29" s="1605"/>
      <c r="K29" s="1606"/>
    </row>
    <row r="30" spans="1:17" ht="16">
      <c r="A30" s="248" t="s">
        <v>299</v>
      </c>
      <c r="B30" s="232"/>
      <c r="C30" s="232"/>
      <c r="D30" s="1618"/>
      <c r="E30" s="1228"/>
      <c r="F30" s="232"/>
      <c r="G30" s="12"/>
      <c r="H30" s="244"/>
      <c r="I30" s="1605"/>
      <c r="J30" s="1605"/>
      <c r="K30" s="1606"/>
    </row>
    <row r="31" spans="1:17" ht="16">
      <c r="A31" s="248" t="s">
        <v>300</v>
      </c>
      <c r="B31" s="232"/>
      <c r="C31" s="232"/>
      <c r="D31" s="1618"/>
      <c r="E31" s="1228"/>
      <c r="F31" s="232"/>
      <c r="G31" s="13"/>
      <c r="H31" s="244"/>
      <c r="I31" s="1605"/>
      <c r="J31" s="1605"/>
      <c r="K31" s="1606"/>
    </row>
    <row r="32" spans="1:17" ht="17" thickBot="1">
      <c r="A32" s="248" t="s">
        <v>218</v>
      </c>
      <c r="B32" s="232"/>
      <c r="C32" s="232"/>
      <c r="D32" s="1618"/>
      <c r="E32" s="1228"/>
      <c r="F32" s="232"/>
      <c r="G32" s="245"/>
      <c r="H32" s="244"/>
      <c r="I32" s="510">
        <f>SUM(I27:I31)</f>
        <v>0</v>
      </c>
      <c r="J32" s="510">
        <f>SUM(J27:J31)</f>
        <v>0</v>
      </c>
      <c r="K32" s="1251"/>
    </row>
    <row r="33" spans="1:11" ht="18" thickTop="1" thickBot="1">
      <c r="A33" s="233"/>
      <c r="B33" s="232"/>
      <c r="C33" s="232"/>
      <c r="D33" s="240">
        <f>SUM(D29:D32)</f>
        <v>0</v>
      </c>
      <c r="E33" s="241"/>
      <c r="F33" s="232"/>
      <c r="G33" s="232"/>
      <c r="H33" s="232"/>
      <c r="I33" s="1228"/>
      <c r="J33" s="1228"/>
      <c r="K33" s="235"/>
    </row>
    <row r="34" spans="1:11" ht="17" thickBot="1">
      <c r="A34" s="233"/>
      <c r="B34" s="232"/>
      <c r="C34" s="232"/>
      <c r="D34" s="515"/>
      <c r="E34" s="1228"/>
      <c r="F34" s="232"/>
      <c r="G34" s="232"/>
      <c r="H34" s="232"/>
      <c r="I34" s="2908" t="s">
        <v>1132</v>
      </c>
      <c r="J34" s="2909"/>
      <c r="K34" s="2910"/>
    </row>
    <row r="35" spans="1:11" ht="17" thickBot="1">
      <c r="A35" s="247" t="s">
        <v>301</v>
      </c>
      <c r="B35" s="244"/>
      <c r="C35" s="244"/>
      <c r="D35" s="1620"/>
      <c r="E35" s="241"/>
      <c r="F35" s="232"/>
      <c r="G35" s="1252" t="s">
        <v>795</v>
      </c>
      <c r="H35" s="1253" t="s">
        <v>1133</v>
      </c>
      <c r="I35" s="1254" t="s">
        <v>488</v>
      </c>
      <c r="J35" s="1254" t="s">
        <v>1110</v>
      </c>
      <c r="K35" s="1255" t="s">
        <v>847</v>
      </c>
    </row>
    <row r="36" spans="1:11" ht="16">
      <c r="A36" s="247" t="s">
        <v>302</v>
      </c>
      <c r="B36" s="244"/>
      <c r="C36" s="244"/>
      <c r="D36" s="516">
        <f>D35-D26</f>
        <v>0</v>
      </c>
      <c r="E36" s="1256"/>
      <c r="F36" s="232"/>
      <c r="G36" s="12"/>
      <c r="H36" s="1600"/>
      <c r="I36" s="1605"/>
      <c r="J36" s="1605"/>
      <c r="K36" s="1606"/>
    </row>
    <row r="37" spans="1:11" ht="16">
      <c r="A37" s="247" t="s">
        <v>1134</v>
      </c>
      <c r="B37" s="1258"/>
      <c r="C37" s="244"/>
      <c r="D37" s="516">
        <f>IF(D26&gt;D35,0,D36/12)</f>
        <v>0</v>
      </c>
      <c r="E37" s="241"/>
      <c r="F37" s="232"/>
      <c r="G37" s="12"/>
      <c r="H37" s="1600"/>
      <c r="I37" s="1605"/>
      <c r="J37" s="1605"/>
      <c r="K37" s="1606"/>
    </row>
    <row r="38" spans="1:11" ht="15.5" customHeight="1">
      <c r="A38" s="1259"/>
      <c r="B38" s="1260"/>
      <c r="C38" s="244"/>
      <c r="D38" s="243"/>
      <c r="E38" s="244"/>
      <c r="F38" s="232"/>
      <c r="G38" s="12"/>
      <c r="H38" s="1600"/>
      <c r="I38" s="1605"/>
      <c r="J38" s="1605"/>
      <c r="K38" s="1606"/>
    </row>
    <row r="39" spans="1:11" ht="16">
      <c r="A39" s="1262"/>
      <c r="B39" s="1263"/>
      <c r="C39" s="244"/>
      <c r="D39" s="330"/>
      <c r="E39" s="244"/>
      <c r="F39" s="232"/>
      <c r="G39" s="12"/>
      <c r="H39" s="1601"/>
      <c r="I39" s="1605"/>
      <c r="J39" s="1605"/>
      <c r="K39" s="1606"/>
    </row>
    <row r="40" spans="1:11" ht="15.5" customHeight="1">
      <c r="A40" s="247" t="s">
        <v>303</v>
      </c>
      <c r="B40" s="1258"/>
      <c r="C40" s="1258"/>
      <c r="D40" s="517">
        <f>D26+(D33*12)</f>
        <v>0</v>
      </c>
      <c r="E40" s="1258"/>
      <c r="F40" s="245"/>
      <c r="G40" s="12"/>
      <c r="H40" s="1600"/>
      <c r="I40" s="1605"/>
      <c r="J40" s="1607"/>
      <c r="K40" s="1606"/>
    </row>
    <row r="41" spans="1:11" ht="16">
      <c r="A41" s="1268" t="s">
        <v>304</v>
      </c>
      <c r="B41" s="1260"/>
      <c r="C41" s="1258"/>
      <c r="D41" s="517">
        <f>D13</f>
        <v>0</v>
      </c>
      <c r="E41" s="1258"/>
      <c r="F41" s="245"/>
      <c r="G41" s="12"/>
      <c r="H41" s="1600"/>
      <c r="I41" s="1605"/>
      <c r="J41" s="1605"/>
      <c r="K41" s="1606"/>
    </row>
    <row r="42" spans="1:11" ht="17">
      <c r="A42" s="1269" t="s">
        <v>981</v>
      </c>
      <c r="B42" s="1258"/>
      <c r="C42" s="245"/>
      <c r="D42" s="1270">
        <f>D40-D41</f>
        <v>0</v>
      </c>
      <c r="E42" s="515"/>
      <c r="F42" s="1271"/>
      <c r="G42" s="12"/>
      <c r="H42" s="1600"/>
      <c r="I42" s="1605"/>
      <c r="J42" s="1605"/>
      <c r="K42" s="1606"/>
    </row>
    <row r="43" spans="1:11" ht="17" thickBot="1">
      <c r="A43" s="1274"/>
      <c r="B43" s="1258"/>
      <c r="C43" s="245"/>
      <c r="D43" s="330"/>
      <c r="E43" s="515"/>
      <c r="F43" s="1271"/>
      <c r="G43" s="12"/>
      <c r="H43" s="1600"/>
      <c r="I43" s="1605"/>
      <c r="J43" s="1605"/>
      <c r="K43" s="1606"/>
    </row>
    <row r="44" spans="1:11" ht="16">
      <c r="A44" s="247" t="s">
        <v>305</v>
      </c>
      <c r="B44" s="245"/>
      <c r="C44" s="245"/>
      <c r="D44" s="1621">
        <f>IF(D45="Yes",IF((D40-D41)&lt;24000,24000,(D40-D41)),0)</f>
        <v>0</v>
      </c>
      <c r="E44" s="1242"/>
      <c r="F44" s="245"/>
      <c r="G44" s="12"/>
      <c r="H44" s="1600"/>
      <c r="I44" s="1605"/>
      <c r="J44" s="1605"/>
      <c r="K44" s="1606"/>
    </row>
    <row r="45" spans="1:11" ht="17">
      <c r="A45" s="3111" t="s">
        <v>306</v>
      </c>
      <c r="B45" s="3112"/>
      <c r="C45" s="3112"/>
      <c r="D45" s="377" t="s">
        <v>123</v>
      </c>
      <c r="E45" s="241"/>
      <c r="F45" s="245"/>
      <c r="G45" s="12"/>
      <c r="H45" s="1600"/>
      <c r="I45" s="1605"/>
      <c r="J45" s="1605"/>
      <c r="K45" s="1606"/>
    </row>
    <row r="46" spans="1:11" ht="15.5" customHeight="1">
      <c r="A46" s="937"/>
      <c r="B46" s="122"/>
      <c r="C46" s="122"/>
      <c r="D46" s="244"/>
      <c r="E46" s="245"/>
      <c r="F46" s="245"/>
      <c r="G46" s="12"/>
      <c r="H46" s="1602"/>
      <c r="I46" s="1605"/>
      <c r="J46" s="1605"/>
      <c r="K46" s="1606"/>
    </row>
    <row r="47" spans="1:11" ht="15.75" customHeight="1">
      <c r="A47" s="937"/>
      <c r="B47" s="3046" t="s">
        <v>1135</v>
      </c>
      <c r="C47" s="3046"/>
      <c r="D47" s="244"/>
      <c r="E47" s="245"/>
      <c r="F47" s="245"/>
      <c r="G47" s="12"/>
      <c r="H47" s="1603"/>
      <c r="I47" s="1605"/>
      <c r="J47" s="1605"/>
      <c r="K47" s="1606"/>
    </row>
    <row r="48" spans="1:11" ht="15.75" customHeight="1">
      <c r="A48" s="937"/>
      <c r="B48" s="909" t="s">
        <v>1136</v>
      </c>
      <c r="C48" s="909" t="s">
        <v>1137</v>
      </c>
      <c r="D48" s="244"/>
      <c r="E48" s="330"/>
      <c r="F48" s="330"/>
      <c r="G48" s="12"/>
      <c r="H48" s="1604"/>
      <c r="I48" s="1605"/>
      <c r="J48" s="1605"/>
      <c r="K48" s="1606"/>
    </row>
    <row r="49" spans="1:11" ht="16">
      <c r="A49" s="937"/>
      <c r="B49" s="250"/>
      <c r="C49" s="250"/>
      <c r="D49" s="244"/>
      <c r="E49" s="330"/>
      <c r="F49" s="330"/>
      <c r="G49" s="12"/>
      <c r="H49" s="1604"/>
      <c r="I49" s="1605"/>
      <c r="J49" s="1605"/>
      <c r="K49" s="1606"/>
    </row>
    <row r="50" spans="1:11" ht="16">
      <c r="A50" s="937"/>
      <c r="B50" s="250"/>
      <c r="C50" s="250"/>
      <c r="D50" s="244"/>
      <c r="E50" s="330"/>
      <c r="F50" s="330"/>
      <c r="G50" s="12"/>
      <c r="H50" s="1604"/>
      <c r="I50" s="1605"/>
      <c r="J50" s="1605"/>
      <c r="K50" s="1606"/>
    </row>
    <row r="51" spans="1:11" ht="16">
      <c r="A51" s="248"/>
      <c r="B51" s="250"/>
      <c r="C51" s="250"/>
      <c r="D51" s="244"/>
      <c r="E51" s="330"/>
      <c r="F51" s="330"/>
      <c r="G51" s="12"/>
      <c r="H51" s="1604"/>
      <c r="I51" s="1605"/>
      <c r="J51" s="1605"/>
      <c r="K51" s="1606"/>
    </row>
    <row r="52" spans="1:11" ht="16">
      <c r="A52" s="248"/>
      <c r="B52" s="1275">
        <f>IFERROR(AVERAGE(B49:B51),0)</f>
        <v>0</v>
      </c>
      <c r="C52" s="1275">
        <f>IFERROR(AVERAGE(C49:C51),0)</f>
        <v>0</v>
      </c>
      <c r="D52" s="244"/>
      <c r="E52" s="330"/>
      <c r="F52" s="330"/>
      <c r="G52" s="12"/>
      <c r="H52" s="1604"/>
      <c r="I52" s="1605"/>
      <c r="J52" s="1605"/>
      <c r="K52" s="1606"/>
    </row>
    <row r="53" spans="1:11" ht="16">
      <c r="A53" s="248"/>
      <c r="B53" s="244"/>
      <c r="C53" s="244"/>
      <c r="D53" s="244"/>
      <c r="E53" s="330"/>
      <c r="F53" s="330"/>
      <c r="G53" s="13"/>
      <c r="H53" s="1604"/>
      <c r="I53" s="1608"/>
      <c r="J53" s="1608"/>
      <c r="K53" s="1606"/>
    </row>
    <row r="54" spans="1:11" ht="16">
      <c r="A54" s="248"/>
      <c r="B54" s="244"/>
      <c r="C54" s="244"/>
      <c r="D54" s="244"/>
      <c r="E54" s="244"/>
      <c r="F54" s="244"/>
      <c r="G54" s="244"/>
      <c r="H54" s="1245">
        <f>SUM(H36:H53)</f>
        <v>0</v>
      </c>
      <c r="I54" s="1245">
        <f>SUM(I36:I53)</f>
        <v>0</v>
      </c>
      <c r="J54" s="1245">
        <f>SUM(J36:J53)</f>
        <v>0</v>
      </c>
      <c r="K54" s="1246"/>
    </row>
    <row r="55" spans="1:11" ht="16">
      <c r="A55" s="248"/>
      <c r="B55" s="244"/>
      <c r="C55" s="244"/>
      <c r="D55" s="244"/>
      <c r="E55" s="244"/>
      <c r="F55" s="244"/>
      <c r="G55" s="244"/>
      <c r="H55" s="244"/>
      <c r="I55" s="244"/>
      <c r="J55" s="244"/>
      <c r="K55" s="251"/>
    </row>
    <row r="56" spans="1:11" ht="17" thickBot="1">
      <c r="A56" s="252"/>
      <c r="B56" s="249"/>
      <c r="C56" s="249"/>
      <c r="D56" s="249"/>
      <c r="E56" s="249"/>
      <c r="F56" s="249"/>
      <c r="G56" s="249"/>
      <c r="H56" s="3047" t="s">
        <v>1138</v>
      </c>
      <c r="I56" s="3047"/>
      <c r="J56" s="3047"/>
      <c r="K56" s="1276">
        <f>IFERROR(1-(I54/H54),0)</f>
        <v>0</v>
      </c>
    </row>
    <row r="57" spans="1:11" ht="15" customHeight="1">
      <c r="A57" s="3033" t="s">
        <v>1139</v>
      </c>
      <c r="B57" s="3034"/>
      <c r="C57" s="3034"/>
      <c r="D57" s="3034"/>
      <c r="E57" s="3034"/>
      <c r="F57" s="3034"/>
      <c r="G57" s="3034"/>
      <c r="H57" s="3034"/>
      <c r="I57" s="3034"/>
      <c r="J57" s="3034"/>
      <c r="K57" s="3035"/>
    </row>
    <row r="58" spans="1:11" ht="15" customHeight="1">
      <c r="A58" s="3036"/>
      <c r="B58" s="3037"/>
      <c r="C58" s="3037"/>
      <c r="D58" s="3037"/>
      <c r="E58" s="3037"/>
      <c r="F58" s="3037"/>
      <c r="G58" s="3037"/>
      <c r="H58" s="3037"/>
      <c r="I58" s="3037"/>
      <c r="J58" s="3037"/>
      <c r="K58" s="3038"/>
    </row>
    <row r="59" spans="1:11" ht="15" customHeight="1">
      <c r="A59" s="3036"/>
      <c r="B59" s="3037"/>
      <c r="C59" s="3037"/>
      <c r="D59" s="3037"/>
      <c r="E59" s="3037"/>
      <c r="F59" s="3037"/>
      <c r="G59" s="3037"/>
      <c r="H59" s="3037"/>
      <c r="I59" s="3037"/>
      <c r="J59" s="3037"/>
      <c r="K59" s="3038"/>
    </row>
    <row r="60" spans="1:11" ht="15" customHeight="1">
      <c r="A60" s="3036"/>
      <c r="B60" s="3037"/>
      <c r="C60" s="3037"/>
      <c r="D60" s="3037"/>
      <c r="E60" s="3037"/>
      <c r="F60" s="3037"/>
      <c r="G60" s="3037"/>
      <c r="H60" s="3037"/>
      <c r="I60" s="3037"/>
      <c r="J60" s="3037"/>
      <c r="K60" s="3038"/>
    </row>
    <row r="61" spans="1:11" ht="15" customHeight="1">
      <c r="A61" s="3036"/>
      <c r="B61" s="3037"/>
      <c r="C61" s="3037"/>
      <c r="D61" s="3037"/>
      <c r="E61" s="3037"/>
      <c r="F61" s="3037"/>
      <c r="G61" s="3037"/>
      <c r="H61" s="3037"/>
      <c r="I61" s="3037"/>
      <c r="J61" s="3037"/>
      <c r="K61" s="3038"/>
    </row>
    <row r="62" spans="1:11" ht="15" customHeight="1">
      <c r="A62" s="3036"/>
      <c r="B62" s="3037"/>
      <c r="C62" s="3037"/>
      <c r="D62" s="3037"/>
      <c r="E62" s="3037"/>
      <c r="F62" s="3037"/>
      <c r="G62" s="3037"/>
      <c r="H62" s="3037"/>
      <c r="I62" s="3037"/>
      <c r="J62" s="3037"/>
      <c r="K62" s="3038"/>
    </row>
    <row r="63" spans="1:11" ht="15" customHeight="1">
      <c r="A63" s="3036"/>
      <c r="B63" s="3037"/>
      <c r="C63" s="3037"/>
      <c r="D63" s="3037"/>
      <c r="E63" s="3037"/>
      <c r="F63" s="3037"/>
      <c r="G63" s="3037"/>
      <c r="H63" s="3037"/>
      <c r="I63" s="3037"/>
      <c r="J63" s="3037"/>
      <c r="K63" s="3038"/>
    </row>
    <row r="64" spans="1:11" ht="15" customHeight="1">
      <c r="A64" s="3036"/>
      <c r="B64" s="3037"/>
      <c r="C64" s="3037"/>
      <c r="D64" s="3037"/>
      <c r="E64" s="3037"/>
      <c r="F64" s="3037"/>
      <c r="G64" s="3037"/>
      <c r="H64" s="3037"/>
      <c r="I64" s="3037"/>
      <c r="J64" s="3037"/>
      <c r="K64" s="3038"/>
    </row>
    <row r="65" spans="1:11" ht="15" customHeight="1">
      <c r="A65" s="3036"/>
      <c r="B65" s="3037"/>
      <c r="C65" s="3037"/>
      <c r="D65" s="3037"/>
      <c r="E65" s="3037"/>
      <c r="F65" s="3037"/>
      <c r="G65" s="3037"/>
      <c r="H65" s="3037"/>
      <c r="I65" s="3037"/>
      <c r="J65" s="3037"/>
      <c r="K65" s="3038"/>
    </row>
    <row r="66" spans="1:11" ht="15" customHeight="1">
      <c r="A66" s="3036"/>
      <c r="B66" s="3037"/>
      <c r="C66" s="3037"/>
      <c r="D66" s="3037"/>
      <c r="E66" s="3037"/>
      <c r="F66" s="3037"/>
      <c r="G66" s="3037"/>
      <c r="H66" s="3037"/>
      <c r="I66" s="3037"/>
      <c r="J66" s="3037"/>
      <c r="K66" s="3038"/>
    </row>
    <row r="67" spans="1:11" ht="15.75" customHeight="1" thickBot="1">
      <c r="A67" s="3039"/>
      <c r="B67" s="3040"/>
      <c r="C67" s="3040"/>
      <c r="D67" s="3040"/>
      <c r="E67" s="3040"/>
      <c r="F67" s="3040"/>
      <c r="G67" s="3040"/>
      <c r="H67" s="3040"/>
      <c r="I67" s="3040"/>
      <c r="J67" s="3040"/>
      <c r="K67" s="3041"/>
    </row>
  </sheetData>
  <sheetProtection algorithmName="SHA-512" hashValue="28eadJTKy/ALn9JGo5mdcbbZR3Hwz1VKF9CKmxOCDp+U4tRgZ7DAC1CGNpO6uTTNfX5IJ/u1rPehpH8+jvDxsQ==" saltValue="1xgwfNkPGHMIEYF2xiveAg==" spinCount="100000" sheet="1" scenarios="1" formatCells="0" formatColumns="0" formatRows="0"/>
  <customSheetViews>
    <customSheetView guid="{EDC0EC15-0264-48C8-A990-093960AE8EF3}" scale="85" showPageBreaks="1" showGridLines="0" printArea="1">
      <selection activeCell="B3" sqref="B3:J3"/>
      <pageMargins left="0" right="0" top="0" bottom="0" header="0" footer="0"/>
      <printOptions horizontalCentered="1"/>
      <pageSetup scale="72" orientation="portrait" r:id="rId1"/>
      <headerFooter differentFirst="1">
        <firstHeader>&amp;L&amp;G&amp;C&amp;8
&amp;18Credit Memo</firstHeader>
      </headerFooter>
    </customSheetView>
    <customSheetView guid="{6E1FDEE6-49D0-4876-8C7C-09893145D2CE}" scale="85" showPageBreaks="1" showGridLines="0" printArea="1" state="hidden">
      <selection activeCell="U1" sqref="U1:W1"/>
      <pageMargins left="0" right="0" top="0" bottom="0" header="0" footer="0"/>
      <printOptions horizontalCentered="1"/>
      <pageSetup scale="72" orientation="portrait" r:id="rId2"/>
      <headerFooter differentFirst="1">
        <firstHeader>&amp;L&amp;G&amp;C&amp;8
&amp;18Credit Memo</firstHeader>
      </headerFooter>
    </customSheetView>
    <customSheetView guid="{DB1F6E98-7FCC-445F-9DA6-47D8BF8BE969}" scale="85" showPageBreaks="1" showGridLines="0" printArea="1" state="hidden">
      <selection activeCell="U1" sqref="U1:W1"/>
      <pageMargins left="0" right="0" top="0" bottom="0" header="0" footer="0"/>
      <printOptions horizontalCentered="1"/>
      <pageSetup scale="72" orientation="portrait" r:id="rId3"/>
      <headerFooter differentFirst="1">
        <firstHeader>&amp;L&amp;G&amp;C&amp;8
&amp;18Credit Memo</firstHeader>
      </headerFooter>
    </customSheetView>
    <customSheetView guid="{C02CA8E5-5D4C-45E5-BC4A-4C9BE481059B}" scale="85" showPageBreaks="1" showGridLines="0" printArea="1" state="hidden">
      <selection activeCell="U1" sqref="U1:W1"/>
      <pageMargins left="0" right="0" top="0" bottom="0" header="0" footer="0"/>
      <printOptions horizontalCentered="1"/>
      <pageSetup scale="72" orientation="portrait" r:id="rId4"/>
      <headerFooter differentFirst="1">
        <firstHeader>&amp;L&amp;G&amp;C&amp;8
&amp;18Credit Memo</firstHeader>
      </headerFooter>
    </customSheetView>
  </customSheetViews>
  <mergeCells count="15">
    <mergeCell ref="A1:K1"/>
    <mergeCell ref="B3:J3"/>
    <mergeCell ref="I5:K5"/>
    <mergeCell ref="E4:E5"/>
    <mergeCell ref="F4:G4"/>
    <mergeCell ref="A57:K67"/>
    <mergeCell ref="H56:J56"/>
    <mergeCell ref="N4:Q4"/>
    <mergeCell ref="N5:Q5"/>
    <mergeCell ref="F5:G5"/>
    <mergeCell ref="I15:K15"/>
    <mergeCell ref="I25:K25"/>
    <mergeCell ref="I34:K34"/>
    <mergeCell ref="B47:C47"/>
    <mergeCell ref="A45:C45"/>
  </mergeCells>
  <conditionalFormatting sqref="P18:Q18">
    <cfRule type="containsText" dxfId="22" priority="1" operator="containsText" text="BoA BPS Loan">
      <formula>NOT(ISERROR(SEARCH("BoA BPS Loan",P18)))</formula>
    </cfRule>
  </conditionalFormatting>
  <printOptions horizontalCentered="1"/>
  <pageMargins left="0.7" right="0.7" top="0.75" bottom="0.75" header="0.3" footer="0.3"/>
  <pageSetup scale="64" orientation="portrait" r:id="rId5"/>
  <headerFooter differentFirst="1">
    <firstHeader>&amp;L&amp;G&amp;C&amp;8
&amp;18Credit Memo</firstHeader>
  </headerFooter>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F215800-4B4A-4A7C-B9F2-1623C3D02B40}">
          <x14:formula1>
            <xm:f>Lists!$C$2:$C$4</xm:f>
          </x14:formula1>
          <xm:sqref>D45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6"/>
  <dimension ref="A1:Q54"/>
  <sheetViews>
    <sheetView showGridLines="0" topLeftCell="D1" zoomScale="85" zoomScaleNormal="85" workbookViewId="0">
      <selection activeCell="F18" sqref="F18"/>
    </sheetView>
  </sheetViews>
  <sheetFormatPr baseColWidth="10" defaultColWidth="8.83203125" defaultRowHeight="15"/>
  <cols>
    <col min="1" max="1" width="9.6640625" customWidth="1"/>
    <col min="2" max="2" width="23.1640625" customWidth="1"/>
    <col min="3" max="4" width="13.33203125" customWidth="1"/>
    <col min="5" max="5" width="5.33203125" customWidth="1"/>
    <col min="6" max="6" width="32" customWidth="1"/>
    <col min="7" max="7" width="13.33203125" customWidth="1"/>
    <col min="9" max="10" width="10.6640625" customWidth="1"/>
  </cols>
  <sheetData>
    <row r="1" spans="1:17" ht="17" thickBot="1">
      <c r="A1" s="3066" t="s">
        <v>1140</v>
      </c>
      <c r="B1" s="3067"/>
      <c r="C1" s="3067"/>
      <c r="D1" s="3067"/>
      <c r="E1" s="3067"/>
      <c r="F1" s="3067"/>
      <c r="G1" s="3068"/>
      <c r="J1" s="1179"/>
      <c r="K1" s="1179"/>
      <c r="L1" s="1179"/>
    </row>
    <row r="2" spans="1:17" ht="16">
      <c r="A2" s="1167"/>
      <c r="B2" s="1163"/>
      <c r="C2" s="1163"/>
      <c r="D2" s="1163"/>
      <c r="E2" s="1163"/>
      <c r="F2" s="1163"/>
      <c r="G2" s="1154"/>
    </row>
    <row r="3" spans="1:17" ht="15.75" customHeight="1">
      <c r="A3" s="1161" t="s">
        <v>1141</v>
      </c>
      <c r="B3" s="3069" t="str">
        <f>'Per Need 3'!B3:J3</f>
        <v>{Name of Guarantor/Principal}</v>
      </c>
      <c r="C3" s="3070"/>
      <c r="D3" s="3070"/>
      <c r="E3" s="3070"/>
      <c r="F3" s="3071"/>
      <c r="G3" s="1283"/>
    </row>
    <row r="4" spans="1:17" ht="16">
      <c r="A4" s="1161" t="s">
        <v>1142</v>
      </c>
      <c r="B4" s="254"/>
      <c r="C4" s="1148"/>
      <c r="D4" s="1284"/>
      <c r="E4" s="1163"/>
      <c r="F4" s="1163"/>
      <c r="G4" s="1154"/>
      <c r="H4" s="60"/>
      <c r="I4" s="60"/>
      <c r="J4" s="60"/>
      <c r="K4" s="60"/>
      <c r="L4" s="60"/>
      <c r="M4" s="60"/>
      <c r="N4" s="60"/>
      <c r="O4" s="60"/>
      <c r="P4" s="60"/>
      <c r="Q4" s="60"/>
    </row>
    <row r="5" spans="1:17" ht="17" thickBot="1">
      <c r="A5" s="1285"/>
      <c r="B5" s="1286"/>
      <c r="C5" s="1287"/>
      <c r="D5" s="1288"/>
      <c r="E5" s="1288"/>
      <c r="F5" s="1286"/>
      <c r="G5" s="1154"/>
      <c r="H5" s="60"/>
      <c r="I5" s="60"/>
      <c r="J5" s="60"/>
      <c r="K5" s="60"/>
      <c r="L5" s="60"/>
      <c r="M5" s="60"/>
      <c r="N5" s="60"/>
      <c r="O5" s="60"/>
      <c r="P5" s="60"/>
      <c r="Q5" s="60"/>
    </row>
    <row r="6" spans="1:17" ht="16">
      <c r="A6" s="3063" t="s">
        <v>1143</v>
      </c>
      <c r="B6" s="3064"/>
      <c r="C6" s="3064"/>
      <c r="D6" s="1163"/>
      <c r="E6" s="1163"/>
      <c r="F6" s="3064" t="s">
        <v>1144</v>
      </c>
      <c r="G6" s="3065"/>
      <c r="H6" s="60"/>
      <c r="I6" s="3061" t="s">
        <v>1145</v>
      </c>
      <c r="J6" s="3062"/>
      <c r="K6" s="3062"/>
      <c r="L6" s="3062"/>
      <c r="M6" s="1289"/>
      <c r="N6" s="1289"/>
      <c r="O6" s="1289"/>
      <c r="P6" s="1289"/>
      <c r="Q6" s="1290"/>
    </row>
    <row r="7" spans="1:17" ht="16">
      <c r="A7" s="3063" t="s">
        <v>1146</v>
      </c>
      <c r="B7" s="3064"/>
      <c r="C7" s="3064"/>
      <c r="D7" s="1148" t="s">
        <v>1128</v>
      </c>
      <c r="E7" s="1291" t="s">
        <v>795</v>
      </c>
      <c r="F7" s="3064" t="s">
        <v>1146</v>
      </c>
      <c r="G7" s="3065"/>
      <c r="H7" s="60"/>
      <c r="I7" s="3057" t="s">
        <v>1147</v>
      </c>
      <c r="J7" s="3058"/>
      <c r="K7" s="3058"/>
      <c r="L7" s="3058"/>
      <c r="M7" s="60"/>
      <c r="N7" s="60"/>
      <c r="O7" s="60"/>
      <c r="P7" s="60"/>
      <c r="Q7" s="1292"/>
    </row>
    <row r="8" spans="1:17" ht="16">
      <c r="A8" s="1167" t="s">
        <v>1148</v>
      </c>
      <c r="B8" s="1163"/>
      <c r="C8" s="14">
        <v>0</v>
      </c>
      <c r="D8" s="659">
        <v>0</v>
      </c>
      <c r="E8" s="16"/>
      <c r="F8" s="1195" t="str">
        <f>A8</f>
        <v>Cash on Hand &amp; In Banks</v>
      </c>
      <c r="G8" s="1293">
        <f t="shared" ref="G8:G13" si="0">C8+D8</f>
        <v>0</v>
      </c>
      <c r="H8" s="60"/>
      <c r="I8" s="1294"/>
      <c r="J8" s="1295" t="s">
        <v>100</v>
      </c>
      <c r="K8" s="1318"/>
      <c r="L8" s="60"/>
      <c r="M8" s="60"/>
      <c r="N8" s="60"/>
      <c r="O8" s="60"/>
      <c r="P8" s="60"/>
      <c r="Q8" s="1292"/>
    </row>
    <row r="9" spans="1:17" ht="16">
      <c r="A9" s="1167" t="s">
        <v>1149</v>
      </c>
      <c r="B9" s="1163"/>
      <c r="C9" s="15">
        <v>0</v>
      </c>
      <c r="D9" s="660">
        <v>0</v>
      </c>
      <c r="E9" s="17"/>
      <c r="F9" s="1195" t="str">
        <f t="shared" ref="F9:F21" si="1">A9</f>
        <v>Savings Accounts</v>
      </c>
      <c r="G9" s="1296">
        <f t="shared" si="0"/>
        <v>0</v>
      </c>
      <c r="H9" s="60"/>
      <c r="I9" s="1294"/>
      <c r="J9" s="1520" t="s">
        <v>1150</v>
      </c>
      <c r="K9" s="1279"/>
      <c r="L9" s="60"/>
      <c r="M9" s="60"/>
      <c r="N9" s="60"/>
      <c r="O9" s="60"/>
      <c r="P9" s="60"/>
      <c r="Q9" s="1292"/>
    </row>
    <row r="10" spans="1:17" ht="16">
      <c r="A10" s="1167" t="s">
        <v>1151</v>
      </c>
      <c r="B10" s="1163"/>
      <c r="C10" s="15">
        <v>0</v>
      </c>
      <c r="D10" s="660">
        <v>0</v>
      </c>
      <c r="E10" s="17"/>
      <c r="F10" s="1195" t="str">
        <f t="shared" si="1"/>
        <v>IRA/Retirement Accounts</v>
      </c>
      <c r="G10" s="1296">
        <f t="shared" si="0"/>
        <v>0</v>
      </c>
      <c r="H10" s="60"/>
      <c r="I10" s="1294"/>
      <c r="J10" s="1520" t="s">
        <v>1152</v>
      </c>
      <c r="K10" s="1279"/>
      <c r="L10" s="60"/>
      <c r="M10" s="60"/>
      <c r="N10" s="60"/>
      <c r="O10" s="60"/>
      <c r="P10" s="60"/>
      <c r="Q10" s="1292"/>
    </row>
    <row r="11" spans="1:17" ht="16">
      <c r="A11" s="1155" t="s">
        <v>1153</v>
      </c>
      <c r="B11" s="1150"/>
      <c r="C11" s="15">
        <v>0</v>
      </c>
      <c r="D11" s="660">
        <v>0</v>
      </c>
      <c r="E11" s="17"/>
      <c r="F11" s="1195" t="str">
        <f t="shared" si="1"/>
        <v>Accounts &amp; Notes Receivable</v>
      </c>
      <c r="G11" s="1296">
        <f t="shared" si="0"/>
        <v>0</v>
      </c>
      <c r="H11" s="60"/>
      <c r="I11" s="1294"/>
      <c r="J11" s="1520" t="s">
        <v>1154</v>
      </c>
      <c r="K11" s="1279"/>
      <c r="L11" s="60"/>
      <c r="M11" s="60"/>
      <c r="N11" s="60"/>
      <c r="O11" s="60"/>
      <c r="P11" s="60"/>
      <c r="Q11" s="1292"/>
    </row>
    <row r="12" spans="1:17" ht="16">
      <c r="A12" s="1167" t="s">
        <v>1155</v>
      </c>
      <c r="B12" s="1163"/>
      <c r="C12" s="15">
        <v>0</v>
      </c>
      <c r="D12" s="660">
        <v>0</v>
      </c>
      <c r="E12" s="17"/>
      <c r="F12" s="1195" t="str">
        <f t="shared" si="1"/>
        <v>CSVLI</v>
      </c>
      <c r="G12" s="1296">
        <f t="shared" si="0"/>
        <v>0</v>
      </c>
      <c r="H12" s="60"/>
      <c r="I12" s="1294"/>
      <c r="J12" s="1295" t="s">
        <v>1156</v>
      </c>
      <c r="K12" s="1279"/>
      <c r="L12" s="60"/>
      <c r="M12" s="60"/>
      <c r="N12" s="60"/>
      <c r="O12" s="60"/>
      <c r="P12" s="60"/>
      <c r="Q12" s="1292"/>
    </row>
    <row r="13" spans="1:17" ht="16">
      <c r="A13" s="1167" t="s">
        <v>1157</v>
      </c>
      <c r="B13" s="1163"/>
      <c r="C13" s="15">
        <v>0</v>
      </c>
      <c r="D13" s="660">
        <v>0</v>
      </c>
      <c r="E13" s="17"/>
      <c r="F13" s="1195" t="str">
        <f t="shared" si="1"/>
        <v>Stocks &amp; Bond (Liquid)</v>
      </c>
      <c r="G13" s="1296">
        <f t="shared" si="0"/>
        <v>0</v>
      </c>
      <c r="H13" s="60"/>
      <c r="I13" s="1294"/>
      <c r="J13" s="60"/>
      <c r="K13" s="1521">
        <f>IFERROR(AVERAGE(K9:K12),0)</f>
        <v>0</v>
      </c>
      <c r="L13" s="60"/>
      <c r="M13" s="60"/>
      <c r="N13" s="60"/>
      <c r="O13" s="60"/>
      <c r="P13" s="60"/>
      <c r="Q13" s="1292"/>
    </row>
    <row r="14" spans="1:17" ht="16">
      <c r="A14" s="1319" t="s">
        <v>1158</v>
      </c>
      <c r="B14" s="1320"/>
      <c r="C14" s="15">
        <v>0</v>
      </c>
      <c r="D14" s="662">
        <f>G14-C14</f>
        <v>0</v>
      </c>
      <c r="E14" s="17"/>
      <c r="F14" s="1195" t="str">
        <f t="shared" si="1"/>
        <v>Real Estate - SFR</v>
      </c>
      <c r="G14" s="1296">
        <f>K15</f>
        <v>0</v>
      </c>
      <c r="H14" s="60"/>
      <c r="I14" s="1294"/>
      <c r="J14" s="60"/>
      <c r="K14" s="60"/>
      <c r="L14" s="60"/>
      <c r="M14" s="60"/>
      <c r="N14" s="60"/>
      <c r="O14" s="60"/>
      <c r="P14" s="60"/>
      <c r="Q14" s="1292"/>
    </row>
    <row r="15" spans="1:17" ht="16">
      <c r="A15" s="1319" t="s">
        <v>1159</v>
      </c>
      <c r="B15" s="1320"/>
      <c r="C15" s="15">
        <v>0</v>
      </c>
      <c r="D15" s="660">
        <v>0</v>
      </c>
      <c r="E15" s="17"/>
      <c r="F15" s="1195" t="str">
        <f t="shared" si="1"/>
        <v>Real Estate - Commercial</v>
      </c>
      <c r="G15" s="1296">
        <f t="shared" ref="G15:G21" si="2">C15+D15</f>
        <v>0</v>
      </c>
      <c r="H15" s="60"/>
      <c r="I15" s="1294"/>
      <c r="J15" s="1295" t="s">
        <v>1160</v>
      </c>
      <c r="K15" s="1235">
        <f>K8*K13</f>
        <v>0</v>
      </c>
      <c r="L15" s="60"/>
      <c r="M15" s="60"/>
      <c r="N15" s="60"/>
      <c r="O15" s="60"/>
      <c r="P15" s="60"/>
      <c r="Q15" s="1292"/>
    </row>
    <row r="16" spans="1:17" ht="16">
      <c r="A16" s="1319" t="s">
        <v>1159</v>
      </c>
      <c r="B16" s="1320"/>
      <c r="C16" s="15">
        <v>0</v>
      </c>
      <c r="D16" s="660">
        <v>0</v>
      </c>
      <c r="E16" s="17"/>
      <c r="F16" s="1195" t="str">
        <f t="shared" si="1"/>
        <v>Real Estate - Commercial</v>
      </c>
      <c r="G16" s="1296">
        <f t="shared" si="2"/>
        <v>0</v>
      </c>
      <c r="H16" s="60"/>
      <c r="I16" s="1294"/>
      <c r="J16" s="1295" t="s">
        <v>1161</v>
      </c>
      <c r="K16" s="1521">
        <f>'Per Need 3'!I7</f>
        <v>0</v>
      </c>
      <c r="L16" s="60"/>
      <c r="M16" s="60"/>
      <c r="N16" s="60"/>
      <c r="O16" s="60"/>
      <c r="P16" s="60"/>
      <c r="Q16" s="1292"/>
    </row>
    <row r="17" spans="1:17" ht="16">
      <c r="A17" s="1319" t="s">
        <v>1162</v>
      </c>
      <c r="B17" s="1320"/>
      <c r="C17" s="15">
        <v>0</v>
      </c>
      <c r="D17" s="660">
        <v>0</v>
      </c>
      <c r="E17" s="17"/>
      <c r="F17" s="1195" t="str">
        <f t="shared" si="1"/>
        <v>Real Estate - Rental</v>
      </c>
      <c r="G17" s="1296">
        <f t="shared" si="2"/>
        <v>0</v>
      </c>
      <c r="H17" s="60"/>
      <c r="I17" s="1294"/>
      <c r="J17" s="1295" t="s">
        <v>1163</v>
      </c>
      <c r="K17" s="1235">
        <f>K13-K16</f>
        <v>0</v>
      </c>
      <c r="L17" s="60"/>
      <c r="M17" s="60"/>
      <c r="N17" s="60"/>
      <c r="O17" s="60"/>
      <c r="P17" s="60"/>
      <c r="Q17" s="1292"/>
    </row>
    <row r="18" spans="1:17" ht="16">
      <c r="A18" s="1319" t="s">
        <v>1162</v>
      </c>
      <c r="B18" s="1320"/>
      <c r="C18" s="15">
        <v>0</v>
      </c>
      <c r="D18" s="660">
        <v>0</v>
      </c>
      <c r="E18" s="17"/>
      <c r="F18" s="1195" t="str">
        <f t="shared" si="1"/>
        <v>Real Estate - Rental</v>
      </c>
      <c r="G18" s="1296">
        <f t="shared" si="2"/>
        <v>0</v>
      </c>
      <c r="H18" s="60"/>
      <c r="I18" s="1294"/>
      <c r="J18" s="1295" t="s">
        <v>130</v>
      </c>
      <c r="K18" s="1235">
        <f>IFERROR(K17/K13,0)</f>
        <v>0</v>
      </c>
      <c r="L18" s="60"/>
      <c r="M18" s="60"/>
      <c r="N18" s="60"/>
      <c r="O18" s="60"/>
      <c r="P18" s="60"/>
      <c r="Q18" s="1292"/>
    </row>
    <row r="19" spans="1:17" ht="16">
      <c r="A19" s="1319" t="s">
        <v>1164</v>
      </c>
      <c r="B19" s="1320"/>
      <c r="C19" s="15">
        <v>0</v>
      </c>
      <c r="D19" s="660">
        <v>0</v>
      </c>
      <c r="E19" s="17"/>
      <c r="F19" s="1195" t="str">
        <f t="shared" si="1"/>
        <v>Automobiles</v>
      </c>
      <c r="G19" s="1296">
        <f t="shared" si="2"/>
        <v>0</v>
      </c>
      <c r="H19" s="60"/>
      <c r="I19" s="1294"/>
      <c r="J19" s="1295" t="s">
        <v>1165</v>
      </c>
      <c r="K19" s="1297">
        <v>0.8</v>
      </c>
      <c r="L19" s="60"/>
      <c r="M19" s="60"/>
      <c r="N19" s="60"/>
      <c r="O19" s="60"/>
      <c r="P19" s="60"/>
      <c r="Q19" s="1292"/>
    </row>
    <row r="20" spans="1:17" ht="16">
      <c r="A20" s="1319" t="s">
        <v>1166</v>
      </c>
      <c r="B20" s="1320"/>
      <c r="C20" s="15">
        <v>0</v>
      </c>
      <c r="D20" s="660">
        <v>0</v>
      </c>
      <c r="E20" s="17"/>
      <c r="F20" s="1195" t="str">
        <f t="shared" si="1"/>
        <v>Other Personal Property</v>
      </c>
      <c r="G20" s="1296">
        <f t="shared" si="2"/>
        <v>0</v>
      </c>
      <c r="H20" s="60"/>
      <c r="I20" s="1294"/>
      <c r="J20" s="1295" t="s">
        <v>1167</v>
      </c>
      <c r="K20" s="1235">
        <f>(K13*K19)-K16</f>
        <v>0</v>
      </c>
      <c r="L20" s="60"/>
      <c r="M20" s="60"/>
      <c r="N20" s="60"/>
      <c r="O20" s="60"/>
      <c r="P20" s="60"/>
      <c r="Q20" s="1292"/>
    </row>
    <row r="21" spans="1:17" ht="16">
      <c r="A21" s="1319" t="s">
        <v>1168</v>
      </c>
      <c r="B21" s="1320"/>
      <c r="C21" s="15">
        <v>0</v>
      </c>
      <c r="D21" s="661">
        <v>0</v>
      </c>
      <c r="E21" s="18"/>
      <c r="F21" s="1195" t="str">
        <f t="shared" si="1"/>
        <v>Other Assets</v>
      </c>
      <c r="G21" s="1296">
        <f t="shared" si="2"/>
        <v>0</v>
      </c>
      <c r="H21" s="60"/>
      <c r="I21" s="3059" t="s">
        <v>1169</v>
      </c>
      <c r="J21" s="60" t="s">
        <v>1170</v>
      </c>
      <c r="K21" s="60"/>
      <c r="L21" s="60"/>
      <c r="M21" s="60"/>
      <c r="N21" s="60"/>
      <c r="O21" s="60"/>
      <c r="P21" s="60"/>
      <c r="Q21" s="1292"/>
    </row>
    <row r="22" spans="1:17" ht="17" thickBot="1">
      <c r="A22" s="1161" t="s">
        <v>943</v>
      </c>
      <c r="B22" s="1162"/>
      <c r="C22" s="1298">
        <f>SUM(C8:C21)</f>
        <v>0</v>
      </c>
      <c r="D22" s="1299" t="s">
        <v>923</v>
      </c>
      <c r="E22" s="1300"/>
      <c r="F22" s="1301" t="s">
        <v>1171</v>
      </c>
      <c r="G22" s="1302">
        <f>SUM(G8:G21)</f>
        <v>0</v>
      </c>
      <c r="H22" s="60"/>
      <c r="I22" s="3060"/>
      <c r="J22" s="1303" t="s">
        <v>1172</v>
      </c>
      <c r="K22" s="1303"/>
      <c r="L22" s="1303"/>
      <c r="M22" s="1303"/>
      <c r="N22" s="1303"/>
      <c r="O22" s="1303"/>
      <c r="P22" s="1303"/>
      <c r="Q22" s="1304"/>
    </row>
    <row r="23" spans="1:17" ht="17" thickTop="1">
      <c r="A23" s="1167"/>
      <c r="B23" s="1163"/>
      <c r="C23" s="1305"/>
      <c r="D23" s="1306"/>
      <c r="E23" s="1163"/>
      <c r="F23" s="1163"/>
      <c r="G23" s="1307"/>
      <c r="H23" s="60"/>
      <c r="I23" s="60"/>
      <c r="J23" s="60"/>
      <c r="K23" s="60"/>
      <c r="L23" s="60"/>
      <c r="M23" s="60"/>
      <c r="N23" s="60"/>
      <c r="O23" s="60"/>
      <c r="P23" s="60"/>
      <c r="Q23" s="60"/>
    </row>
    <row r="24" spans="1:17" ht="16">
      <c r="A24" s="3063" t="s">
        <v>1173</v>
      </c>
      <c r="B24" s="3064"/>
      <c r="C24" s="3064"/>
      <c r="D24" s="1306"/>
      <c r="E24" s="1163"/>
      <c r="F24" s="3064" t="s">
        <v>1173</v>
      </c>
      <c r="G24" s="3065"/>
      <c r="H24" s="60"/>
      <c r="I24" s="60"/>
      <c r="J24" s="60"/>
      <c r="K24" s="60"/>
      <c r="L24" s="60"/>
      <c r="M24" s="60"/>
      <c r="N24" s="60"/>
      <c r="O24" s="60"/>
      <c r="P24" s="60"/>
      <c r="Q24" s="60"/>
    </row>
    <row r="25" spans="1:17" ht="16">
      <c r="A25" s="1167" t="s">
        <v>945</v>
      </c>
      <c r="B25" s="1163"/>
      <c r="C25" s="14">
        <v>0</v>
      </c>
      <c r="D25" s="663">
        <f>G25-C25</f>
        <v>0</v>
      </c>
      <c r="E25" s="19"/>
      <c r="F25" s="1195" t="s">
        <v>1174</v>
      </c>
      <c r="G25" s="1308">
        <f>'Per Need 3'!I54</f>
        <v>0</v>
      </c>
      <c r="H25" s="60"/>
      <c r="I25" s="60"/>
      <c r="J25" s="60"/>
      <c r="K25" s="60"/>
      <c r="L25" s="60"/>
      <c r="M25" s="60"/>
      <c r="N25" s="60"/>
      <c r="O25" s="60"/>
      <c r="P25" s="60"/>
      <c r="Q25" s="60"/>
    </row>
    <row r="26" spans="1:17" ht="16">
      <c r="A26" s="1167" t="s">
        <v>1175</v>
      </c>
      <c r="B26" s="1163"/>
      <c r="C26" s="15">
        <v>0</v>
      </c>
      <c r="D26" s="660">
        <v>0</v>
      </c>
      <c r="E26" s="20"/>
      <c r="F26" s="1195" t="s">
        <v>1176</v>
      </c>
      <c r="G26" s="1309">
        <f>C26+D26</f>
        <v>0</v>
      </c>
      <c r="H26" s="60"/>
      <c r="I26" s="60"/>
      <c r="J26" s="60"/>
      <c r="K26" s="60"/>
      <c r="L26" s="60"/>
      <c r="M26" s="60"/>
      <c r="N26" s="60"/>
      <c r="O26" s="60"/>
      <c r="P26" s="60"/>
      <c r="Q26" s="60"/>
    </row>
    <row r="27" spans="1:17" ht="16">
      <c r="A27" s="1167" t="s">
        <v>1177</v>
      </c>
      <c r="B27" s="1163"/>
      <c r="C27" s="15">
        <v>0</v>
      </c>
      <c r="D27" s="662">
        <f>G27-C27</f>
        <v>0</v>
      </c>
      <c r="E27" s="20"/>
      <c r="F27" s="1195" t="s">
        <v>1178</v>
      </c>
      <c r="G27" s="1309">
        <f>'Per Need 3'!I23</f>
        <v>0</v>
      </c>
      <c r="H27" s="60"/>
      <c r="I27" s="60"/>
      <c r="J27" s="60"/>
      <c r="K27" s="60"/>
      <c r="L27" s="60"/>
      <c r="M27" s="60"/>
      <c r="N27" s="60"/>
      <c r="O27" s="60"/>
      <c r="P27" s="60"/>
      <c r="Q27" s="60"/>
    </row>
    <row r="28" spans="1:17" ht="16">
      <c r="A28" s="1167" t="s">
        <v>1179</v>
      </c>
      <c r="B28" s="1163"/>
      <c r="C28" s="15">
        <v>0</v>
      </c>
      <c r="D28" s="662">
        <f>G28-C28</f>
        <v>0</v>
      </c>
      <c r="E28" s="20"/>
      <c r="F28" s="1195" t="s">
        <v>1180</v>
      </c>
      <c r="G28" s="1309">
        <f>'Per Need 3'!I32</f>
        <v>0</v>
      </c>
      <c r="H28" s="60"/>
      <c r="I28" s="60"/>
      <c r="J28" s="60"/>
      <c r="K28" s="60"/>
      <c r="L28" s="60"/>
      <c r="M28" s="60"/>
      <c r="N28" s="60"/>
      <c r="O28" s="60"/>
      <c r="P28" s="60"/>
      <c r="Q28" s="60"/>
    </row>
    <row r="29" spans="1:17" ht="16">
      <c r="A29" s="1167" t="s">
        <v>1181</v>
      </c>
      <c r="B29" s="1163"/>
      <c r="C29" s="15">
        <v>0</v>
      </c>
      <c r="D29" s="660">
        <v>0</v>
      </c>
      <c r="E29" s="20"/>
      <c r="F29" s="1195" t="s">
        <v>1181</v>
      </c>
      <c r="G29" s="1309">
        <f>C29+D29</f>
        <v>0</v>
      </c>
      <c r="H29" s="60"/>
      <c r="I29" s="60"/>
      <c r="J29" s="60"/>
      <c r="K29" s="60"/>
      <c r="L29" s="60"/>
      <c r="M29" s="60"/>
      <c r="N29" s="60"/>
      <c r="O29" s="60"/>
      <c r="P29" s="60"/>
      <c r="Q29" s="60"/>
    </row>
    <row r="30" spans="1:17" ht="16">
      <c r="A30" s="1319" t="s">
        <v>1182</v>
      </c>
      <c r="B30" s="1320"/>
      <c r="C30" s="15">
        <v>0</v>
      </c>
      <c r="D30" s="660">
        <v>0</v>
      </c>
      <c r="E30" s="20"/>
      <c r="F30" s="1195" t="str">
        <f>A30</f>
        <v>Mortgage - SFR</v>
      </c>
      <c r="G30" s="1309">
        <f>'Per Need 3'!I7</f>
        <v>0</v>
      </c>
      <c r="H30" s="60"/>
      <c r="I30" s="60"/>
      <c r="J30" s="60"/>
      <c r="K30" s="60"/>
      <c r="L30" s="60"/>
      <c r="M30" s="60"/>
      <c r="N30" s="60"/>
      <c r="O30" s="60"/>
      <c r="P30" s="60"/>
      <c r="Q30" s="60"/>
    </row>
    <row r="31" spans="1:17" ht="16">
      <c r="A31" s="1319" t="s">
        <v>1183</v>
      </c>
      <c r="B31" s="1320"/>
      <c r="C31" s="15">
        <v>0</v>
      </c>
      <c r="D31" s="660">
        <v>0</v>
      </c>
      <c r="E31" s="20"/>
      <c r="F31" s="1195" t="str">
        <f t="shared" ref="F31:F34" si="3">A31</f>
        <v>Mortgage - Commercial</v>
      </c>
      <c r="G31" s="1309">
        <f t="shared" ref="G31:G37" si="4">C31+D31</f>
        <v>0</v>
      </c>
      <c r="H31" s="60"/>
      <c r="I31" s="60"/>
      <c r="J31" s="60"/>
      <c r="K31" s="60"/>
      <c r="L31" s="60"/>
      <c r="M31" s="60"/>
      <c r="N31" s="60"/>
      <c r="O31" s="60"/>
      <c r="P31" s="60"/>
      <c r="Q31" s="60"/>
    </row>
    <row r="32" spans="1:17" ht="16">
      <c r="A32" s="1319" t="s">
        <v>1183</v>
      </c>
      <c r="B32" s="1320"/>
      <c r="C32" s="15">
        <v>0</v>
      </c>
      <c r="D32" s="660">
        <v>0</v>
      </c>
      <c r="E32" s="20"/>
      <c r="F32" s="1195" t="str">
        <f t="shared" si="3"/>
        <v>Mortgage - Commercial</v>
      </c>
      <c r="G32" s="1309">
        <f t="shared" si="4"/>
        <v>0</v>
      </c>
      <c r="H32" s="60"/>
      <c r="I32" s="60"/>
      <c r="J32" s="60"/>
      <c r="K32" s="60"/>
      <c r="L32" s="60"/>
      <c r="M32" s="60"/>
      <c r="N32" s="60"/>
      <c r="O32" s="60"/>
      <c r="P32" s="60"/>
      <c r="Q32" s="60"/>
    </row>
    <row r="33" spans="1:17" ht="16">
      <c r="A33" s="1319" t="s">
        <v>1184</v>
      </c>
      <c r="B33" s="1320"/>
      <c r="C33" s="15">
        <v>0</v>
      </c>
      <c r="D33" s="660">
        <v>0</v>
      </c>
      <c r="E33" s="20"/>
      <c r="F33" s="1195" t="str">
        <f t="shared" si="3"/>
        <v>Mortgage - Rental</v>
      </c>
      <c r="G33" s="1309">
        <f t="shared" si="4"/>
        <v>0</v>
      </c>
      <c r="H33" s="60"/>
      <c r="I33" s="60"/>
      <c r="J33" s="60"/>
      <c r="K33" s="60"/>
      <c r="L33" s="60"/>
      <c r="M33" s="60"/>
      <c r="N33" s="60"/>
      <c r="O33" s="60"/>
      <c r="P33" s="60"/>
      <c r="Q33" s="60"/>
    </row>
    <row r="34" spans="1:17" ht="16">
      <c r="A34" s="1319" t="s">
        <v>1184</v>
      </c>
      <c r="B34" s="1320"/>
      <c r="C34" s="15">
        <v>0</v>
      </c>
      <c r="D34" s="660">
        <v>0</v>
      </c>
      <c r="E34" s="20"/>
      <c r="F34" s="1195" t="str">
        <f t="shared" si="3"/>
        <v>Mortgage - Rental</v>
      </c>
      <c r="G34" s="1309">
        <f t="shared" si="4"/>
        <v>0</v>
      </c>
      <c r="H34" s="60"/>
      <c r="I34" s="60"/>
      <c r="J34" s="60"/>
      <c r="K34" s="60"/>
      <c r="L34" s="60"/>
      <c r="M34" s="60"/>
      <c r="N34" s="60"/>
      <c r="O34" s="60"/>
      <c r="P34" s="60"/>
      <c r="Q34" s="60"/>
    </row>
    <row r="35" spans="1:17" ht="16">
      <c r="A35" s="1319" t="s">
        <v>1185</v>
      </c>
      <c r="B35" s="1320"/>
      <c r="C35" s="15">
        <v>0</v>
      </c>
      <c r="D35" s="660">
        <v>0</v>
      </c>
      <c r="E35" s="20"/>
      <c r="F35" s="1195" t="s">
        <v>1185</v>
      </c>
      <c r="G35" s="1309">
        <f t="shared" si="4"/>
        <v>0</v>
      </c>
      <c r="H35" s="60"/>
      <c r="I35" s="60"/>
      <c r="J35" s="60"/>
      <c r="K35" s="60"/>
      <c r="L35" s="60"/>
      <c r="M35" s="60"/>
      <c r="N35" s="60"/>
      <c r="O35" s="60"/>
      <c r="P35" s="60"/>
      <c r="Q35" s="60"/>
    </row>
    <row r="36" spans="1:17" ht="16">
      <c r="A36" s="1319" t="s">
        <v>1186</v>
      </c>
      <c r="B36" s="1320"/>
      <c r="C36" s="15">
        <v>0</v>
      </c>
      <c r="D36" s="660">
        <v>0</v>
      </c>
      <c r="E36" s="20"/>
      <c r="F36" s="1195" t="s">
        <v>1186</v>
      </c>
      <c r="G36" s="1309">
        <f t="shared" si="4"/>
        <v>0</v>
      </c>
      <c r="H36" s="60"/>
      <c r="I36" s="60"/>
      <c r="J36" s="60"/>
      <c r="K36" s="60"/>
      <c r="L36" s="60"/>
      <c r="M36" s="60"/>
      <c r="N36" s="60"/>
      <c r="O36" s="60"/>
      <c r="P36" s="60"/>
      <c r="Q36" s="60"/>
    </row>
    <row r="37" spans="1:17" ht="16">
      <c r="A37" s="1319" t="s">
        <v>958</v>
      </c>
      <c r="B37" s="1320"/>
      <c r="C37" s="15">
        <v>0</v>
      </c>
      <c r="D37" s="661">
        <v>0</v>
      </c>
      <c r="E37" s="21"/>
      <c r="F37" s="1195" t="s">
        <v>958</v>
      </c>
      <c r="G37" s="1309">
        <f t="shared" si="4"/>
        <v>0</v>
      </c>
      <c r="H37" s="60"/>
      <c r="I37" s="60"/>
      <c r="J37" s="60"/>
      <c r="K37" s="60"/>
      <c r="L37" s="60"/>
      <c r="M37" s="60"/>
      <c r="N37" s="60"/>
      <c r="O37" s="60"/>
      <c r="P37" s="60"/>
      <c r="Q37" s="60"/>
    </row>
    <row r="38" spans="1:17" ht="17" thickBot="1">
      <c r="A38" s="1161" t="s">
        <v>960</v>
      </c>
      <c r="B38" s="1162"/>
      <c r="C38" s="1298">
        <f>SUM(C25:C37)</f>
        <v>0</v>
      </c>
      <c r="D38" s="1310" t="s">
        <v>923</v>
      </c>
      <c r="E38" s="1151"/>
      <c r="F38" s="1301" t="s">
        <v>1187</v>
      </c>
      <c r="G38" s="1302">
        <f>SUM(G25:G37)</f>
        <v>0</v>
      </c>
      <c r="H38" s="60"/>
      <c r="I38" s="60"/>
      <c r="J38" s="60"/>
      <c r="K38" s="60"/>
      <c r="L38" s="60"/>
      <c r="M38" s="60"/>
      <c r="N38" s="60"/>
      <c r="O38" s="60"/>
      <c r="P38" s="60"/>
      <c r="Q38" s="60"/>
    </row>
    <row r="39" spans="1:17" ht="17" thickTop="1">
      <c r="A39" s="1167"/>
      <c r="B39" s="1163"/>
      <c r="C39" s="1311"/>
      <c r="D39" s="1306"/>
      <c r="E39" s="1163"/>
      <c r="F39" s="1163"/>
      <c r="G39" s="1312"/>
      <c r="H39" s="60"/>
      <c r="I39" s="60"/>
      <c r="J39" s="60"/>
      <c r="K39" s="60"/>
      <c r="L39" s="60"/>
      <c r="M39" s="60"/>
      <c r="N39" s="60"/>
      <c r="O39" s="60"/>
      <c r="P39" s="60"/>
      <c r="Q39" s="60"/>
    </row>
    <row r="40" spans="1:17" ht="16">
      <c r="A40" s="1161" t="s">
        <v>964</v>
      </c>
      <c r="B40" s="1301"/>
      <c r="C40" s="510">
        <f>C22-C38</f>
        <v>0</v>
      </c>
      <c r="D40" s="1310" t="s">
        <v>923</v>
      </c>
      <c r="E40" s="1151"/>
      <c r="F40" s="1301" t="s">
        <v>1188</v>
      </c>
      <c r="G40" s="1313">
        <f>G22-G38</f>
        <v>0</v>
      </c>
      <c r="H40" s="60"/>
      <c r="I40" s="60"/>
      <c r="J40" s="60"/>
      <c r="K40" s="60"/>
      <c r="L40" s="60"/>
      <c r="M40" s="60"/>
      <c r="N40" s="60"/>
      <c r="O40" s="60"/>
      <c r="P40" s="60"/>
      <c r="Q40" s="60"/>
    </row>
    <row r="41" spans="1:17" ht="16">
      <c r="A41" s="1161" t="s">
        <v>276</v>
      </c>
      <c r="B41" s="1162"/>
      <c r="C41" s="1314">
        <f>C8+C9+C13</f>
        <v>0</v>
      </c>
      <c r="D41" s="1315"/>
      <c r="E41" s="1151"/>
      <c r="F41" s="1162" t="s">
        <v>1189</v>
      </c>
      <c r="G41" s="1314">
        <f>G8+G9+G13</f>
        <v>0</v>
      </c>
      <c r="H41" s="60"/>
      <c r="I41" s="60"/>
      <c r="J41" s="60"/>
      <c r="K41" s="60"/>
      <c r="L41" s="60"/>
      <c r="M41" s="60"/>
      <c r="N41" s="60"/>
      <c r="O41" s="60"/>
      <c r="P41" s="60"/>
      <c r="Q41" s="60"/>
    </row>
    <row r="42" spans="1:17" ht="17" thickBot="1">
      <c r="A42" s="1161" t="s">
        <v>1190</v>
      </c>
      <c r="B42" s="1162"/>
      <c r="C42" s="1316"/>
      <c r="D42" s="1315"/>
      <c r="E42" s="1151"/>
      <c r="F42" s="1162"/>
      <c r="G42" s="1317"/>
      <c r="H42" s="60"/>
      <c r="I42" s="60"/>
      <c r="J42" s="60"/>
      <c r="K42" s="60"/>
      <c r="L42" s="60"/>
      <c r="M42" s="60"/>
      <c r="N42" s="60"/>
      <c r="O42" s="60"/>
      <c r="P42" s="60"/>
      <c r="Q42" s="60"/>
    </row>
    <row r="43" spans="1:17" ht="16">
      <c r="A43" s="3116"/>
      <c r="B43" s="3117"/>
      <c r="C43" s="3117"/>
      <c r="D43" s="3117"/>
      <c r="E43" s="3117"/>
      <c r="F43" s="3117"/>
      <c r="G43" s="3118"/>
      <c r="H43" s="60"/>
      <c r="I43" s="60"/>
      <c r="J43" s="60"/>
      <c r="K43" s="60"/>
      <c r="L43" s="60"/>
      <c r="M43" s="60"/>
      <c r="N43" s="60"/>
      <c r="O43" s="60"/>
      <c r="P43" s="60"/>
      <c r="Q43" s="60"/>
    </row>
    <row r="44" spans="1:17" ht="16">
      <c r="A44" s="3113"/>
      <c r="B44" s="3114"/>
      <c r="C44" s="3114"/>
      <c r="D44" s="3114"/>
      <c r="E44" s="3114"/>
      <c r="F44" s="3114"/>
      <c r="G44" s="3115"/>
      <c r="H44" s="60"/>
      <c r="I44" s="60"/>
      <c r="J44" s="60"/>
      <c r="K44" s="60"/>
      <c r="L44" s="60"/>
      <c r="M44" s="60"/>
      <c r="N44" s="60"/>
      <c r="O44" s="60"/>
      <c r="P44" s="60"/>
      <c r="Q44" s="60"/>
    </row>
    <row r="45" spans="1:17" ht="16">
      <c r="A45" s="3113"/>
      <c r="B45" s="3114"/>
      <c r="C45" s="3114"/>
      <c r="D45" s="3114"/>
      <c r="E45" s="3114"/>
      <c r="F45" s="3114"/>
      <c r="G45" s="3115"/>
      <c r="H45" s="60"/>
      <c r="I45" s="60"/>
      <c r="J45" s="60"/>
      <c r="K45" s="60"/>
      <c r="L45" s="60"/>
      <c r="M45" s="60"/>
      <c r="N45" s="60"/>
      <c r="O45" s="60"/>
      <c r="P45" s="60"/>
      <c r="Q45" s="60"/>
    </row>
    <row r="46" spans="1:17" ht="16">
      <c r="A46" s="3113"/>
      <c r="B46" s="3114"/>
      <c r="C46" s="3114"/>
      <c r="D46" s="3114"/>
      <c r="E46" s="3114"/>
      <c r="F46" s="3114"/>
      <c r="G46" s="3115"/>
      <c r="H46" s="60"/>
      <c r="I46" s="60"/>
      <c r="J46" s="60"/>
      <c r="K46" s="60"/>
      <c r="L46" s="60"/>
      <c r="M46" s="60"/>
      <c r="N46" s="60"/>
      <c r="O46" s="60"/>
      <c r="P46" s="60"/>
      <c r="Q46" s="60"/>
    </row>
    <row r="47" spans="1:17" ht="16">
      <c r="A47" s="3113"/>
      <c r="B47" s="3114"/>
      <c r="C47" s="3114"/>
      <c r="D47" s="3114"/>
      <c r="E47" s="3114"/>
      <c r="F47" s="3114"/>
      <c r="G47" s="3115"/>
      <c r="H47" s="60"/>
      <c r="I47" s="60"/>
      <c r="J47" s="60"/>
      <c r="K47" s="60"/>
      <c r="L47" s="60"/>
      <c r="M47" s="60"/>
      <c r="N47" s="60"/>
      <c r="O47" s="60"/>
      <c r="P47" s="60"/>
      <c r="Q47" s="60"/>
    </row>
    <row r="48" spans="1:17" ht="16">
      <c r="A48" s="3113"/>
      <c r="B48" s="3114"/>
      <c r="C48" s="3114"/>
      <c r="D48" s="3114"/>
      <c r="E48" s="3114"/>
      <c r="F48" s="3114"/>
      <c r="G48" s="3115"/>
      <c r="H48" s="60"/>
      <c r="I48" s="60"/>
      <c r="J48" s="60"/>
      <c r="K48" s="60"/>
      <c r="L48" s="60"/>
      <c r="M48" s="60"/>
      <c r="N48" s="60"/>
      <c r="O48" s="60"/>
      <c r="P48" s="60"/>
      <c r="Q48" s="60"/>
    </row>
    <row r="49" spans="1:17" ht="16">
      <c r="A49" s="3113"/>
      <c r="B49" s="3114"/>
      <c r="C49" s="3114"/>
      <c r="D49" s="3114"/>
      <c r="E49" s="3114"/>
      <c r="F49" s="3114"/>
      <c r="G49" s="3115"/>
      <c r="H49" s="60"/>
      <c r="I49" s="60"/>
      <c r="J49" s="60"/>
      <c r="K49" s="60"/>
      <c r="L49" s="60"/>
      <c r="M49" s="60"/>
      <c r="N49" s="60"/>
      <c r="O49" s="60"/>
      <c r="P49" s="60"/>
      <c r="Q49" s="60"/>
    </row>
    <row r="50" spans="1:17" ht="16">
      <c r="A50" s="3113"/>
      <c r="B50" s="3114"/>
      <c r="C50" s="3114"/>
      <c r="D50" s="3114"/>
      <c r="E50" s="3114"/>
      <c r="F50" s="3114"/>
      <c r="G50" s="3115"/>
      <c r="H50" s="60"/>
      <c r="I50" s="60"/>
      <c r="J50" s="60"/>
      <c r="K50" s="60"/>
      <c r="L50" s="60"/>
      <c r="M50" s="60"/>
      <c r="N50" s="60"/>
      <c r="O50" s="60"/>
      <c r="P50" s="60"/>
      <c r="Q50" s="60"/>
    </row>
    <row r="51" spans="1:17" ht="16">
      <c r="A51" s="3113"/>
      <c r="B51" s="3114"/>
      <c r="C51" s="3114"/>
      <c r="D51" s="3114"/>
      <c r="E51" s="3114"/>
      <c r="F51" s="3114"/>
      <c r="G51" s="3115"/>
      <c r="H51" s="60"/>
      <c r="I51" s="60"/>
      <c r="J51" s="60"/>
      <c r="K51" s="60"/>
      <c r="L51" s="60"/>
      <c r="M51" s="60"/>
      <c r="N51" s="60"/>
      <c r="O51" s="60"/>
      <c r="P51" s="60"/>
      <c r="Q51" s="60"/>
    </row>
    <row r="52" spans="1:17" ht="16">
      <c r="A52" s="3113"/>
      <c r="B52" s="3114"/>
      <c r="C52" s="3114"/>
      <c r="D52" s="3114"/>
      <c r="E52" s="3114"/>
      <c r="F52" s="3114"/>
      <c r="G52" s="3115"/>
      <c r="H52" s="60"/>
      <c r="I52" s="60"/>
      <c r="J52" s="60"/>
      <c r="K52" s="60"/>
      <c r="L52" s="60"/>
      <c r="M52" s="60"/>
      <c r="N52" s="60"/>
      <c r="O52" s="60"/>
      <c r="P52" s="60"/>
      <c r="Q52" s="60"/>
    </row>
    <row r="53" spans="1:17" ht="16">
      <c r="A53" s="3113"/>
      <c r="B53" s="3114"/>
      <c r="C53" s="3114"/>
      <c r="D53" s="3114"/>
      <c r="E53" s="3114"/>
      <c r="F53" s="3114"/>
      <c r="G53" s="3115"/>
      <c r="H53" s="60"/>
      <c r="I53" s="60"/>
      <c r="J53" s="60"/>
      <c r="K53" s="60"/>
      <c r="L53" s="60"/>
      <c r="M53" s="60"/>
      <c r="N53" s="60"/>
      <c r="O53" s="60"/>
      <c r="P53" s="60"/>
      <c r="Q53" s="60"/>
    </row>
    <row r="54" spans="1:17" ht="17" thickBot="1">
      <c r="A54" s="3119"/>
      <c r="B54" s="3120"/>
      <c r="C54" s="3120"/>
      <c r="D54" s="3120"/>
      <c r="E54" s="3120"/>
      <c r="F54" s="3120"/>
      <c r="G54" s="3121"/>
      <c r="H54" s="60"/>
      <c r="I54" s="60"/>
      <c r="J54" s="60"/>
      <c r="K54" s="60"/>
      <c r="L54" s="60"/>
      <c r="M54" s="60"/>
      <c r="N54" s="60"/>
      <c r="O54" s="60"/>
      <c r="P54" s="60"/>
      <c r="Q54" s="60"/>
    </row>
  </sheetData>
  <sheetProtection algorithmName="SHA-512" hashValue="US9yoBvYt75w/Vr9Fh4afaabzjg22O8kz4y4cwtuqkqV4qCGkAch5uqyt9Bd5NrfTq/rq7stE+BN92L7yb/iiw==" saltValue="pQ1kRW+/jsOZ3SodaCEV5w==" spinCount="100000" sheet="1" scenarios="1" formatCells="0" formatColumns="0" formatRows="0"/>
  <customSheetViews>
    <customSheetView guid="{EDC0EC15-0264-48C8-A990-093960AE8EF3}" scale="85" showPageBreaks="1" showGridLines="0" printArea="1">
      <selection activeCell="B4" sqref="B4"/>
      <pageMargins left="0" right="0" top="0" bottom="0" header="0" footer="0"/>
      <printOptions horizontalCentered="1"/>
      <pageSetup scale="82" orientation="portrait" r:id="rId1"/>
      <headerFooter differentFirst="1">
        <firstHeader>&amp;L&amp;G&amp;C&amp;8
&amp;18Credit Memo</firstHeader>
      </headerFooter>
    </customSheetView>
    <customSheetView guid="{6E1FDEE6-49D0-4876-8C7C-09893145D2CE}" scale="85" showPageBreaks="1" showGridLines="0" printArea="1" state="hidden">
      <selection activeCell="U1" sqref="U1:W1"/>
      <pageMargins left="0" right="0" top="0" bottom="0" header="0" footer="0"/>
      <printOptions horizontalCentered="1"/>
      <pageSetup scale="82" orientation="portrait" r:id="rId2"/>
      <headerFooter differentFirst="1">
        <firstHeader>&amp;L&amp;G&amp;C&amp;8
&amp;18Credit Memo</firstHeader>
      </headerFooter>
    </customSheetView>
    <customSheetView guid="{DB1F6E98-7FCC-445F-9DA6-47D8BF8BE969}" scale="85" showPageBreaks="1" showGridLines="0" printArea="1" state="hidden">
      <selection activeCell="U1" sqref="U1:W1"/>
      <pageMargins left="0" right="0" top="0" bottom="0" header="0" footer="0"/>
      <printOptions horizontalCentered="1"/>
      <pageSetup scale="82" orientation="portrait" r:id="rId3"/>
      <headerFooter differentFirst="1">
        <firstHeader>&amp;L&amp;G&amp;C&amp;8
&amp;18Credit Memo</firstHeader>
      </headerFooter>
    </customSheetView>
    <customSheetView guid="{C02CA8E5-5D4C-45E5-BC4A-4C9BE481059B}" scale="85" showPageBreaks="1" showGridLines="0" printArea="1" state="hidden">
      <selection activeCell="U1" sqref="U1:W1"/>
      <pageMargins left="0" right="0" top="0" bottom="0" header="0" footer="0"/>
      <printOptions horizontalCentered="1"/>
      <pageSetup scale="82" orientation="portrait" r:id="rId4"/>
      <headerFooter differentFirst="1">
        <firstHeader>&amp;L&amp;G&amp;C&amp;8
&amp;18Credit Memo</firstHeader>
      </headerFooter>
    </customSheetView>
  </customSheetViews>
  <mergeCells count="23">
    <mergeCell ref="I6:L6"/>
    <mergeCell ref="A1:G1"/>
    <mergeCell ref="B3:F3"/>
    <mergeCell ref="A6:C6"/>
    <mergeCell ref="F6:G6"/>
    <mergeCell ref="A52:G52"/>
    <mergeCell ref="A53:G53"/>
    <mergeCell ref="A54:G54"/>
    <mergeCell ref="A47:G47"/>
    <mergeCell ref="A48:G48"/>
    <mergeCell ref="I7:L7"/>
    <mergeCell ref="I21:I22"/>
    <mergeCell ref="A49:G49"/>
    <mergeCell ref="A50:G50"/>
    <mergeCell ref="A51:G51"/>
    <mergeCell ref="A24:C24"/>
    <mergeCell ref="F24:G24"/>
    <mergeCell ref="A43:G43"/>
    <mergeCell ref="A44:G44"/>
    <mergeCell ref="A45:G45"/>
    <mergeCell ref="A46:G46"/>
    <mergeCell ref="A7:C7"/>
    <mergeCell ref="F7:G7"/>
  </mergeCells>
  <printOptions horizontalCentered="1"/>
  <pageMargins left="0.7" right="0.7" top="0.75" bottom="0.75" header="0.3" footer="0.3"/>
  <pageSetup scale="79" orientation="portrait" r:id="rId5"/>
  <headerFooter differentFirst="1">
    <firstHeader>&amp;L&amp;G&amp;C&amp;8
&amp;18Credit Memo</firstHead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7"/>
  <dimension ref="A1:X66"/>
  <sheetViews>
    <sheetView showGridLines="0" topLeftCell="D1" zoomScale="82" zoomScaleNormal="82" workbookViewId="0">
      <selection activeCell="F18" sqref="F18"/>
    </sheetView>
  </sheetViews>
  <sheetFormatPr baseColWidth="10" defaultColWidth="8.83203125" defaultRowHeight="15"/>
  <cols>
    <col min="1" max="1" width="26.5" bestFit="1" customWidth="1"/>
    <col min="2" max="3" width="3.6640625" bestFit="1" customWidth="1"/>
    <col min="4" max="5" width="15.6640625" customWidth="1"/>
    <col min="6" max="6" width="2.6640625" customWidth="1"/>
    <col min="7" max="8" width="15.6640625" customWidth="1"/>
    <col min="9" max="9" width="2.6640625" customWidth="1"/>
    <col min="10" max="11" width="15.6640625" customWidth="1"/>
    <col min="12" max="12" width="2.6640625" customWidth="1"/>
    <col min="13" max="14" width="15.6640625" customWidth="1"/>
    <col min="15" max="15" width="2.6640625" customWidth="1"/>
    <col min="16" max="17" width="15.6640625" customWidth="1"/>
    <col min="18" max="18" width="2.6640625" customWidth="1"/>
    <col min="19" max="20" width="15.6640625" customWidth="1"/>
  </cols>
  <sheetData>
    <row r="1" spans="1:24" ht="16">
      <c r="A1" s="2922" t="s">
        <v>1191</v>
      </c>
      <c r="B1" s="2923"/>
      <c r="C1" s="2923"/>
      <c r="D1" s="2923"/>
      <c r="E1" s="2923"/>
      <c r="F1" s="2923"/>
      <c r="G1" s="2923"/>
      <c r="H1" s="2923"/>
      <c r="I1" s="2923"/>
      <c r="J1" s="2923"/>
      <c r="K1" s="2923"/>
      <c r="L1" s="2923"/>
      <c r="M1" s="2923"/>
      <c r="N1" s="2923"/>
      <c r="O1" s="2923"/>
      <c r="P1" s="2923"/>
      <c r="Q1" s="2923"/>
      <c r="R1" s="2923"/>
      <c r="S1" s="2923"/>
      <c r="T1" s="2924"/>
      <c r="V1" s="1741"/>
      <c r="W1" s="1741"/>
      <c r="X1" s="1741"/>
    </row>
    <row r="2" spans="1:24" ht="17" thickBot="1">
      <c r="A2" s="1161" t="s">
        <v>1192</v>
      </c>
      <c r="B2" s="1162"/>
      <c r="C2" s="1321"/>
      <c r="D2" s="3108" t="str">
        <f>_xlfn.SINGLE('Per Need 3'!B3)</f>
        <v>{Name of Guarantor/Principal}</v>
      </c>
      <c r="E2" s="3109"/>
      <c r="F2" s="3109"/>
      <c r="G2" s="3109"/>
      <c r="H2" s="3109"/>
      <c r="I2" s="3109"/>
      <c r="J2" s="3109"/>
      <c r="K2" s="3110"/>
      <c r="L2" s="122"/>
      <c r="M2" s="122"/>
      <c r="N2" s="122"/>
      <c r="O2" s="122"/>
      <c r="P2" s="122"/>
      <c r="Q2" s="122"/>
      <c r="R2" s="122"/>
      <c r="S2" s="122"/>
      <c r="T2" s="195"/>
    </row>
    <row r="3" spans="1:24" ht="17" thickBot="1">
      <c r="A3" s="1167"/>
      <c r="B3" s="1322" t="s">
        <v>795</v>
      </c>
      <c r="C3" s="1323"/>
      <c r="D3" s="1163"/>
      <c r="E3" s="1163"/>
      <c r="F3" s="1163"/>
      <c r="G3" s="1163"/>
      <c r="H3" s="1163"/>
      <c r="I3" s="1163"/>
      <c r="J3" s="1163"/>
      <c r="K3" s="1163"/>
      <c r="L3" s="1163"/>
      <c r="M3" s="1163"/>
      <c r="N3" s="1163"/>
      <c r="O3" s="1163"/>
      <c r="P3" s="1163"/>
      <c r="Q3" s="1163"/>
      <c r="R3" s="1163"/>
      <c r="S3" s="1163"/>
      <c r="T3" s="1154"/>
    </row>
    <row r="4" spans="1:24" ht="15" customHeight="1">
      <c r="A4" s="1324" t="s">
        <v>1194</v>
      </c>
      <c r="B4" s="1178"/>
      <c r="C4" s="1321"/>
      <c r="D4" s="3096"/>
      <c r="E4" s="3096"/>
      <c r="F4" s="1325"/>
      <c r="G4" s="3096"/>
      <c r="H4" s="3096"/>
      <c r="I4" s="1325"/>
      <c r="J4" s="3096"/>
      <c r="K4" s="3096"/>
      <c r="L4" s="1325"/>
      <c r="M4" s="3096"/>
      <c r="N4" s="3096"/>
      <c r="O4" s="1325"/>
      <c r="P4" s="3096"/>
      <c r="Q4" s="3096"/>
      <c r="R4" s="1325"/>
      <c r="S4" s="3096"/>
      <c r="T4" s="3097"/>
      <c r="V4" t="s">
        <v>1193</v>
      </c>
    </row>
    <row r="5" spans="1:24" ht="15" customHeight="1">
      <c r="A5" s="1161" t="s">
        <v>664</v>
      </c>
      <c r="B5" s="1178"/>
      <c r="C5" s="1321"/>
      <c r="D5" s="3098"/>
      <c r="E5" s="3098"/>
      <c r="F5" s="1162"/>
      <c r="G5" s="3098"/>
      <c r="H5" s="3098"/>
      <c r="I5" s="1162"/>
      <c r="J5" s="3098"/>
      <c r="K5" s="3098"/>
      <c r="L5" s="1162"/>
      <c r="M5" s="3098"/>
      <c r="N5" s="3098"/>
      <c r="O5" s="1162"/>
      <c r="P5" s="3098"/>
      <c r="Q5" s="3098"/>
      <c r="R5" s="1162"/>
      <c r="S5" s="3098"/>
      <c r="T5" s="3099"/>
    </row>
    <row r="6" spans="1:24" ht="16">
      <c r="A6" s="1326" t="s">
        <v>1195</v>
      </c>
      <c r="B6" s="257"/>
      <c r="C6" s="1327"/>
      <c r="D6" s="3100"/>
      <c r="E6" s="3100"/>
      <c r="F6" s="1328"/>
      <c r="G6" s="3100"/>
      <c r="H6" s="3100"/>
      <c r="I6" s="1328"/>
      <c r="J6" s="3100"/>
      <c r="K6" s="3100"/>
      <c r="L6" s="1328"/>
      <c r="M6" s="3100"/>
      <c r="N6" s="3100"/>
      <c r="O6" s="1328"/>
      <c r="P6" s="3100"/>
      <c r="Q6" s="3100"/>
      <c r="R6" s="1328"/>
      <c r="S6" s="3100"/>
      <c r="T6" s="3101"/>
    </row>
    <row r="7" spans="1:24" ht="16">
      <c r="A7" s="1326" t="s">
        <v>103</v>
      </c>
      <c r="B7" s="257"/>
      <c r="C7" s="1327"/>
      <c r="D7" s="3078"/>
      <c r="E7" s="3078"/>
      <c r="F7" s="1328"/>
      <c r="G7" s="3078"/>
      <c r="H7" s="3078"/>
      <c r="I7" s="1328"/>
      <c r="J7" s="3078"/>
      <c r="K7" s="3078"/>
      <c r="L7" s="1328"/>
      <c r="M7" s="3078"/>
      <c r="N7" s="3078"/>
      <c r="O7" s="1328"/>
      <c r="P7" s="3078"/>
      <c r="Q7" s="3078"/>
      <c r="R7" s="1328"/>
      <c r="S7" s="3078"/>
      <c r="T7" s="3079"/>
    </row>
    <row r="8" spans="1:24" ht="16">
      <c r="A8" s="1326" t="s">
        <v>1196</v>
      </c>
      <c r="B8" s="257"/>
      <c r="C8" s="1327"/>
      <c r="D8" s="3078"/>
      <c r="E8" s="3078"/>
      <c r="F8" s="1328"/>
      <c r="G8" s="3078"/>
      <c r="H8" s="3078"/>
      <c r="I8" s="1328"/>
      <c r="J8" s="3078"/>
      <c r="K8" s="3078"/>
      <c r="L8" s="1328"/>
      <c r="M8" s="3078"/>
      <c r="N8" s="3078"/>
      <c r="O8" s="1328"/>
      <c r="P8" s="3078"/>
      <c r="Q8" s="3078"/>
      <c r="R8" s="1328"/>
      <c r="S8" s="3078"/>
      <c r="T8" s="3079"/>
    </row>
    <row r="9" spans="1:24" ht="16">
      <c r="A9" s="1326" t="s">
        <v>1161</v>
      </c>
      <c r="B9" s="257"/>
      <c r="C9" s="1327"/>
      <c r="D9" s="3078"/>
      <c r="E9" s="3078"/>
      <c r="F9" s="1328"/>
      <c r="G9" s="3078"/>
      <c r="H9" s="3078"/>
      <c r="I9" s="1328"/>
      <c r="J9" s="3078"/>
      <c r="K9" s="3078"/>
      <c r="L9" s="1328"/>
      <c r="M9" s="3078"/>
      <c r="N9" s="3078"/>
      <c r="O9" s="1328"/>
      <c r="P9" s="3078"/>
      <c r="Q9" s="3078"/>
      <c r="R9" s="1328"/>
      <c r="S9" s="3078"/>
      <c r="T9" s="3079"/>
    </row>
    <row r="10" spans="1:24" ht="17" thickBot="1">
      <c r="A10" s="1329" t="s">
        <v>1197</v>
      </c>
      <c r="B10" s="257"/>
      <c r="C10" s="1327"/>
      <c r="D10" s="3080">
        <f>D8-D9</f>
        <v>0</v>
      </c>
      <c r="E10" s="3080"/>
      <c r="F10" s="1328"/>
      <c r="G10" s="3080">
        <f>G8-G9</f>
        <v>0</v>
      </c>
      <c r="H10" s="3080"/>
      <c r="I10" s="1328"/>
      <c r="J10" s="3080">
        <f>J8-J9</f>
        <v>0</v>
      </c>
      <c r="K10" s="3080"/>
      <c r="L10" s="1328"/>
      <c r="M10" s="3080">
        <f>M8-M9</f>
        <v>0</v>
      </c>
      <c r="N10" s="3080"/>
      <c r="O10" s="1328"/>
      <c r="P10" s="3080">
        <f>P8-P9</f>
        <v>0</v>
      </c>
      <c r="Q10" s="3080"/>
      <c r="R10" s="1328"/>
      <c r="S10" s="3080">
        <f>S8-S9</f>
        <v>0</v>
      </c>
      <c r="T10" s="3081"/>
    </row>
    <row r="11" spans="1:24" ht="17" thickBot="1">
      <c r="A11" s="1330"/>
      <c r="B11" s="258"/>
      <c r="C11" s="1331"/>
      <c r="D11" s="244"/>
      <c r="E11" s="1332"/>
      <c r="F11" s="1328"/>
      <c r="G11" s="244"/>
      <c r="H11" s="1332"/>
      <c r="I11" s="1328"/>
      <c r="J11" s="244"/>
      <c r="K11" s="1332"/>
      <c r="L11" s="1328"/>
      <c r="M11" s="244"/>
      <c r="N11" s="1332"/>
      <c r="O11" s="1328"/>
      <c r="P11" s="244"/>
      <c r="Q11" s="1332"/>
      <c r="R11" s="1328"/>
      <c r="S11" s="244"/>
      <c r="T11" s="1333"/>
    </row>
    <row r="12" spans="1:24" ht="16">
      <c r="A12" s="1334" t="s">
        <v>1198</v>
      </c>
      <c r="B12" s="258"/>
      <c r="C12" s="1331"/>
      <c r="D12" s="3096"/>
      <c r="E12" s="3096"/>
      <c r="F12" s="1328"/>
      <c r="G12" s="3096"/>
      <c r="H12" s="3096"/>
      <c r="I12" s="1328"/>
      <c r="J12" s="3096"/>
      <c r="K12" s="3096"/>
      <c r="L12" s="1328"/>
      <c r="M12" s="3096"/>
      <c r="N12" s="3096"/>
      <c r="O12" s="1328"/>
      <c r="P12" s="3096"/>
      <c r="Q12" s="3096"/>
      <c r="R12" s="1328"/>
      <c r="S12" s="3096"/>
      <c r="T12" s="3097"/>
    </row>
    <row r="13" spans="1:24" ht="17" thickBot="1">
      <c r="A13" s="1335" t="s">
        <v>1199</v>
      </c>
      <c r="B13" s="258"/>
      <c r="C13" s="1331"/>
      <c r="D13" s="3100"/>
      <c r="E13" s="3100"/>
      <c r="F13" s="1328"/>
      <c r="G13" s="3100"/>
      <c r="H13" s="3100"/>
      <c r="I13" s="1328"/>
      <c r="J13" s="3100"/>
      <c r="K13" s="3100"/>
      <c r="L13" s="1328"/>
      <c r="M13" s="3100"/>
      <c r="N13" s="3100"/>
      <c r="O13" s="1328"/>
      <c r="P13" s="3100"/>
      <c r="Q13" s="3100"/>
      <c r="R13" s="1328"/>
      <c r="S13" s="3100"/>
      <c r="T13" s="3101"/>
    </row>
    <row r="14" spans="1:24" ht="17" thickBot="1">
      <c r="A14" s="1330"/>
      <c r="B14" s="258"/>
      <c r="C14" s="1331"/>
      <c r="D14" s="244"/>
      <c r="E14" s="1332"/>
      <c r="F14" s="1328"/>
      <c r="G14" s="244"/>
      <c r="H14" s="1332"/>
      <c r="I14" s="1328"/>
      <c r="J14" s="244"/>
      <c r="K14" s="1332"/>
      <c r="L14" s="1328"/>
      <c r="M14" s="244"/>
      <c r="N14" s="1332"/>
      <c r="O14" s="1328"/>
      <c r="P14" s="244"/>
      <c r="Q14" s="1332"/>
      <c r="R14" s="1328"/>
      <c r="S14" s="244"/>
      <c r="T14" s="1333"/>
    </row>
    <row r="15" spans="1:24" ht="16">
      <c r="A15" s="1334" t="s">
        <v>1200</v>
      </c>
      <c r="B15" s="258"/>
      <c r="C15" s="1331"/>
      <c r="D15" s="3078"/>
      <c r="E15" s="3078"/>
      <c r="F15" s="1328"/>
      <c r="G15" s="3078"/>
      <c r="H15" s="3078"/>
      <c r="I15" s="1328"/>
      <c r="J15" s="3078"/>
      <c r="K15" s="3078"/>
      <c r="L15" s="1328"/>
      <c r="M15" s="3078"/>
      <c r="N15" s="3078"/>
      <c r="O15" s="1328"/>
      <c r="P15" s="3078"/>
      <c r="Q15" s="3078"/>
      <c r="R15" s="1328"/>
      <c r="S15" s="3078"/>
      <c r="T15" s="3079"/>
    </row>
    <row r="16" spans="1:24" ht="16">
      <c r="A16" s="1330" t="s">
        <v>1201</v>
      </c>
      <c r="B16" s="258"/>
      <c r="C16" s="1331" t="s">
        <v>1202</v>
      </c>
      <c r="D16" s="3078"/>
      <c r="E16" s="3078"/>
      <c r="F16" s="1328"/>
      <c r="G16" s="3078"/>
      <c r="H16" s="3078"/>
      <c r="I16" s="1328"/>
      <c r="J16" s="3078"/>
      <c r="K16" s="3078"/>
      <c r="L16" s="1328"/>
      <c r="M16" s="3078"/>
      <c r="N16" s="3078"/>
      <c r="O16" s="1328"/>
      <c r="P16" s="3078"/>
      <c r="Q16" s="3078"/>
      <c r="R16" s="1328"/>
      <c r="S16" s="3078"/>
      <c r="T16" s="3079"/>
    </row>
    <row r="17" spans="1:20" ht="17" thickBot="1">
      <c r="A17" s="1335" t="s">
        <v>810</v>
      </c>
      <c r="B17" s="258"/>
      <c r="C17" s="1331" t="s">
        <v>1203</v>
      </c>
      <c r="D17" s="3080">
        <f>D15-D16</f>
        <v>0</v>
      </c>
      <c r="E17" s="3080"/>
      <c r="F17" s="1328"/>
      <c r="G17" s="3080">
        <f>G15-G16</f>
        <v>0</v>
      </c>
      <c r="H17" s="3080"/>
      <c r="I17" s="1328"/>
      <c r="J17" s="3080">
        <f>J15-J16</f>
        <v>0</v>
      </c>
      <c r="K17" s="3080"/>
      <c r="L17" s="1328"/>
      <c r="M17" s="3080">
        <f>M15-M16</f>
        <v>0</v>
      </c>
      <c r="N17" s="3080"/>
      <c r="O17" s="1328"/>
      <c r="P17" s="3080">
        <f>P15-P16</f>
        <v>0</v>
      </c>
      <c r="Q17" s="3080"/>
      <c r="R17" s="1328"/>
      <c r="S17" s="3080">
        <f>S15-S16</f>
        <v>0</v>
      </c>
      <c r="T17" s="3081"/>
    </row>
    <row r="18" spans="1:20" ht="16">
      <c r="A18" s="1330"/>
      <c r="B18" s="258"/>
      <c r="C18" s="1331"/>
      <c r="D18" s="244"/>
      <c r="E18" s="1332"/>
      <c r="F18" s="1328"/>
      <c r="G18" s="244"/>
      <c r="H18" s="1332"/>
      <c r="I18" s="1328"/>
      <c r="J18" s="244"/>
      <c r="K18" s="1332"/>
      <c r="L18" s="1328"/>
      <c r="M18" s="244"/>
      <c r="N18" s="1332"/>
      <c r="O18" s="1328"/>
      <c r="P18" s="244"/>
      <c r="Q18" s="1332"/>
      <c r="R18" s="1328"/>
      <c r="S18" s="244"/>
      <c r="T18" s="1333"/>
    </row>
    <row r="19" spans="1:20" ht="16">
      <c r="A19" s="248" t="s">
        <v>1204</v>
      </c>
      <c r="B19" s="1342"/>
      <c r="C19" s="1336"/>
      <c r="D19" s="3104"/>
      <c r="E19" s="3106"/>
      <c r="F19" s="1328"/>
      <c r="G19" s="3104"/>
      <c r="H19" s="3106"/>
      <c r="I19" s="1328"/>
      <c r="J19" s="3104"/>
      <c r="K19" s="3106"/>
      <c r="L19" s="1328"/>
      <c r="M19" s="3104"/>
      <c r="N19" s="3106"/>
      <c r="O19" s="1328"/>
      <c r="P19" s="3104"/>
      <c r="Q19" s="3106"/>
      <c r="R19" s="1328"/>
      <c r="S19" s="3104"/>
      <c r="T19" s="3105"/>
    </row>
    <row r="20" spans="1:20" ht="16">
      <c r="A20" s="248" t="s">
        <v>1205</v>
      </c>
      <c r="B20" s="1342"/>
      <c r="C20" s="1336" t="s">
        <v>1206</v>
      </c>
      <c r="D20" s="3078"/>
      <c r="E20" s="3078"/>
      <c r="F20" s="1328"/>
      <c r="G20" s="3078"/>
      <c r="H20" s="3078"/>
      <c r="I20" s="1328"/>
      <c r="J20" s="3078"/>
      <c r="K20" s="3078"/>
      <c r="L20" s="1328"/>
      <c r="M20" s="3078"/>
      <c r="N20" s="3078"/>
      <c r="O20" s="1328"/>
      <c r="P20" s="3078"/>
      <c r="Q20" s="3078"/>
      <c r="R20" s="1328"/>
      <c r="S20" s="3078"/>
      <c r="T20" s="3079"/>
    </row>
    <row r="21" spans="1:20" ht="16">
      <c r="A21" s="248" t="s">
        <v>1207</v>
      </c>
      <c r="B21" s="1342"/>
      <c r="C21" s="1336" t="s">
        <v>1206</v>
      </c>
      <c r="D21" s="3078"/>
      <c r="E21" s="3078"/>
      <c r="F21" s="1328"/>
      <c r="G21" s="3078"/>
      <c r="H21" s="3078"/>
      <c r="I21" s="1328"/>
      <c r="J21" s="3078"/>
      <c r="K21" s="3078"/>
      <c r="L21" s="1328"/>
      <c r="M21" s="3078"/>
      <c r="N21" s="3078"/>
      <c r="O21" s="1328"/>
      <c r="P21" s="3078"/>
      <c r="Q21" s="3078"/>
      <c r="R21" s="1328"/>
      <c r="S21" s="3078"/>
      <c r="T21" s="3079"/>
    </row>
    <row r="22" spans="1:20" ht="16">
      <c r="A22" s="248" t="s">
        <v>1208</v>
      </c>
      <c r="B22" s="1342"/>
      <c r="C22" s="1336" t="s">
        <v>1206</v>
      </c>
      <c r="D22" s="3078"/>
      <c r="E22" s="3078"/>
      <c r="F22" s="1328"/>
      <c r="G22" s="3078"/>
      <c r="H22" s="3078"/>
      <c r="I22" s="1328"/>
      <c r="J22" s="3078"/>
      <c r="K22" s="3078"/>
      <c r="L22" s="1328"/>
      <c r="M22" s="3078"/>
      <c r="N22" s="3078"/>
      <c r="O22" s="1328"/>
      <c r="P22" s="3078"/>
      <c r="Q22" s="3078"/>
      <c r="R22" s="1328"/>
      <c r="S22" s="3078"/>
      <c r="T22" s="3079"/>
    </row>
    <row r="23" spans="1:20" ht="16">
      <c r="A23" s="248" t="s">
        <v>1209</v>
      </c>
      <c r="B23" s="1342"/>
      <c r="C23" s="1336" t="s">
        <v>1206</v>
      </c>
      <c r="D23" s="3078"/>
      <c r="E23" s="3078"/>
      <c r="F23" s="1328"/>
      <c r="G23" s="3078"/>
      <c r="H23" s="3078"/>
      <c r="I23" s="1328"/>
      <c r="J23" s="3078"/>
      <c r="K23" s="3078"/>
      <c r="L23" s="1328"/>
      <c r="M23" s="3078"/>
      <c r="N23" s="3078"/>
      <c r="O23" s="1328"/>
      <c r="P23" s="3078"/>
      <c r="Q23" s="3078"/>
      <c r="R23" s="1328"/>
      <c r="S23" s="3078"/>
      <c r="T23" s="3079"/>
    </row>
    <row r="24" spans="1:20" ht="16">
      <c r="A24" s="248" t="s">
        <v>1210</v>
      </c>
      <c r="B24" s="1342"/>
      <c r="C24" s="1336" t="s">
        <v>1203</v>
      </c>
      <c r="D24" s="3080">
        <f>D17+SUM(D20:E23)</f>
        <v>0</v>
      </c>
      <c r="E24" s="3080"/>
      <c r="F24" s="1328"/>
      <c r="G24" s="3080">
        <f>G17+SUM(G20:H23)</f>
        <v>0</v>
      </c>
      <c r="H24" s="3080"/>
      <c r="I24" s="1328"/>
      <c r="J24" s="3080">
        <f>J17+SUM(J20:K23)</f>
        <v>0</v>
      </c>
      <c r="K24" s="3080"/>
      <c r="L24" s="1328"/>
      <c r="M24" s="3080">
        <f>M17+SUM(M20:N23)</f>
        <v>0</v>
      </c>
      <c r="N24" s="3080"/>
      <c r="O24" s="1328"/>
      <c r="P24" s="3080">
        <f>P17+SUM(P20:Q23)</f>
        <v>0</v>
      </c>
      <c r="Q24" s="3080"/>
      <c r="R24" s="1328"/>
      <c r="S24" s="3080">
        <f>S17+SUM(S20:T23)</f>
        <v>0</v>
      </c>
      <c r="T24" s="3081"/>
    </row>
    <row r="25" spans="1:20" ht="16">
      <c r="A25" s="1330"/>
      <c r="B25" s="258"/>
      <c r="C25" s="1331"/>
      <c r="D25" s="244"/>
      <c r="E25" s="1332"/>
      <c r="F25" s="1328"/>
      <c r="G25" s="244"/>
      <c r="H25" s="1332"/>
      <c r="I25" s="1328"/>
      <c r="J25" s="244"/>
      <c r="K25" s="1332"/>
      <c r="L25" s="1328"/>
      <c r="M25" s="244"/>
      <c r="N25" s="1332"/>
      <c r="O25" s="1328"/>
      <c r="P25" s="244"/>
      <c r="Q25" s="1332"/>
      <c r="R25" s="1328"/>
      <c r="S25" s="244"/>
      <c r="T25" s="1333"/>
    </row>
    <row r="26" spans="1:20" ht="16">
      <c r="A26" s="1330" t="s">
        <v>1211</v>
      </c>
      <c r="B26" s="258"/>
      <c r="C26" s="1331"/>
      <c r="D26" s="3102"/>
      <c r="E26" s="3102"/>
      <c r="F26" s="1328"/>
      <c r="G26" s="3102"/>
      <c r="H26" s="3102"/>
      <c r="I26" s="1328"/>
      <c r="J26" s="3102"/>
      <c r="K26" s="3102"/>
      <c r="L26" s="1328"/>
      <c r="M26" s="3102"/>
      <c r="N26" s="3102"/>
      <c r="O26" s="1328"/>
      <c r="P26" s="3102"/>
      <c r="Q26" s="3102"/>
      <c r="R26" s="1328"/>
      <c r="S26" s="3102"/>
      <c r="T26" s="3103"/>
    </row>
    <row r="27" spans="1:20" ht="16">
      <c r="A27" s="1330"/>
      <c r="B27" s="258"/>
      <c r="C27" s="1331"/>
      <c r="D27" s="244"/>
      <c r="E27" s="1332"/>
      <c r="F27" s="1328"/>
      <c r="G27" s="244"/>
      <c r="H27" s="1332"/>
      <c r="I27" s="1328"/>
      <c r="J27" s="244"/>
      <c r="K27" s="1332"/>
      <c r="L27" s="1328"/>
      <c r="M27" s="244"/>
      <c r="N27" s="1332"/>
      <c r="O27" s="1328"/>
      <c r="P27" s="244"/>
      <c r="Q27" s="1332"/>
      <c r="R27" s="1328"/>
      <c r="S27" s="244"/>
      <c r="T27" s="1333"/>
    </row>
    <row r="28" spans="1:20" ht="16">
      <c r="A28" s="1330" t="s">
        <v>1212</v>
      </c>
      <c r="B28" s="258"/>
      <c r="C28" s="1331"/>
      <c r="D28" s="3080">
        <f>D24*D26</f>
        <v>0</v>
      </c>
      <c r="E28" s="3080"/>
      <c r="F28" s="1328"/>
      <c r="G28" s="3080">
        <f>G24*G26</f>
        <v>0</v>
      </c>
      <c r="H28" s="3080"/>
      <c r="I28" s="1328"/>
      <c r="J28" s="3080">
        <f>J24*J26</f>
        <v>0</v>
      </c>
      <c r="K28" s="3080"/>
      <c r="L28" s="1328"/>
      <c r="M28" s="3080">
        <f>M24*M26</f>
        <v>0</v>
      </c>
      <c r="N28" s="3080"/>
      <c r="O28" s="1328"/>
      <c r="P28" s="3080">
        <f>P24*P26</f>
        <v>0</v>
      </c>
      <c r="Q28" s="3080"/>
      <c r="R28" s="1328"/>
      <c r="S28" s="3080">
        <f>S24*S26</f>
        <v>0</v>
      </c>
      <c r="T28" s="3081"/>
    </row>
    <row r="29" spans="1:20" ht="16">
      <c r="A29" s="1330"/>
      <c r="B29" s="258"/>
      <c r="C29" s="1331"/>
      <c r="D29" s="244"/>
      <c r="E29" s="1332"/>
      <c r="F29" s="1328"/>
      <c r="G29" s="244"/>
      <c r="H29" s="1332"/>
      <c r="I29" s="1328"/>
      <c r="J29" s="244"/>
      <c r="K29" s="1332"/>
      <c r="L29" s="1328"/>
      <c r="M29" s="244"/>
      <c r="N29" s="1332"/>
      <c r="O29" s="1328"/>
      <c r="P29" s="244"/>
      <c r="Q29" s="1332"/>
      <c r="R29" s="1328"/>
      <c r="S29" s="244"/>
      <c r="T29" s="1333"/>
    </row>
    <row r="30" spans="1:20" ht="16">
      <c r="A30" s="1330" t="s">
        <v>1213</v>
      </c>
      <c r="B30" s="258"/>
      <c r="C30" s="1331"/>
      <c r="D30" s="3078"/>
      <c r="E30" s="3078"/>
      <c r="F30" s="1328"/>
      <c r="G30" s="3078"/>
      <c r="H30" s="3078"/>
      <c r="I30" s="1328"/>
      <c r="J30" s="3078"/>
      <c r="K30" s="3078"/>
      <c r="L30" s="1328"/>
      <c r="M30" s="3078"/>
      <c r="N30" s="3078"/>
      <c r="O30" s="1328"/>
      <c r="P30" s="3078"/>
      <c r="Q30" s="3078"/>
      <c r="R30" s="1328"/>
      <c r="S30" s="3078"/>
      <c r="T30" s="3079"/>
    </row>
    <row r="31" spans="1:20" ht="16">
      <c r="A31" s="1330" t="s">
        <v>1214</v>
      </c>
      <c r="B31" s="258"/>
      <c r="C31" s="1331"/>
      <c r="D31" s="3091">
        <f>D26</f>
        <v>0</v>
      </c>
      <c r="E31" s="3107"/>
      <c r="F31" s="1328"/>
      <c r="G31" s="3091">
        <f>G26</f>
        <v>0</v>
      </c>
      <c r="H31" s="3107"/>
      <c r="I31" s="1328"/>
      <c r="J31" s="3091">
        <f>J26</f>
        <v>0</v>
      </c>
      <c r="K31" s="3107"/>
      <c r="L31" s="1328"/>
      <c r="M31" s="3091">
        <f>M26</f>
        <v>0</v>
      </c>
      <c r="N31" s="3107"/>
      <c r="O31" s="1328"/>
      <c r="P31" s="3091">
        <f>P26</f>
        <v>0</v>
      </c>
      <c r="Q31" s="3107"/>
      <c r="R31" s="1328"/>
      <c r="S31" s="3091">
        <f>S26</f>
        <v>0</v>
      </c>
      <c r="T31" s="3092"/>
    </row>
    <row r="32" spans="1:20" ht="16">
      <c r="A32" s="1330" t="s">
        <v>1215</v>
      </c>
      <c r="B32" s="258"/>
      <c r="C32" s="1331"/>
      <c r="D32" s="3080">
        <f>D30*D31</f>
        <v>0</v>
      </c>
      <c r="E32" s="3080"/>
      <c r="F32" s="1328"/>
      <c r="G32" s="3080">
        <f>G30*G31</f>
        <v>0</v>
      </c>
      <c r="H32" s="3080"/>
      <c r="I32" s="1328"/>
      <c r="J32" s="3080">
        <f>J30*J31</f>
        <v>0</v>
      </c>
      <c r="K32" s="3080"/>
      <c r="L32" s="1328"/>
      <c r="M32" s="3080">
        <f>M30*M31</f>
        <v>0</v>
      </c>
      <c r="N32" s="3080"/>
      <c r="O32" s="1328"/>
      <c r="P32" s="3080">
        <f>P30*P31</f>
        <v>0</v>
      </c>
      <c r="Q32" s="3080"/>
      <c r="R32" s="1328"/>
      <c r="S32" s="3080">
        <f>S30*S31</f>
        <v>0</v>
      </c>
      <c r="T32" s="3081"/>
    </row>
    <row r="33" spans="1:20" ht="16">
      <c r="A33" s="1330"/>
      <c r="B33" s="258"/>
      <c r="C33" s="1331"/>
      <c r="D33" s="244"/>
      <c r="E33" s="1332"/>
      <c r="F33" s="1328"/>
      <c r="G33" s="244"/>
      <c r="H33" s="1332"/>
      <c r="I33" s="1328"/>
      <c r="J33" s="244"/>
      <c r="K33" s="1332"/>
      <c r="L33" s="1328"/>
      <c r="M33" s="244"/>
      <c r="N33" s="1332"/>
      <c r="O33" s="1328"/>
      <c r="P33" s="244"/>
      <c r="Q33" s="1332"/>
      <c r="R33" s="1328"/>
      <c r="S33" s="244"/>
      <c r="T33" s="1333"/>
    </row>
    <row r="34" spans="1:20" ht="17" thickBot="1">
      <c r="A34" s="1330" t="s">
        <v>1216</v>
      </c>
      <c r="B34" s="256"/>
      <c r="C34" s="1331"/>
      <c r="D34" s="3080">
        <f>D28-D32</f>
        <v>0</v>
      </c>
      <c r="E34" s="3080"/>
      <c r="F34" s="1328"/>
      <c r="G34" s="3080">
        <f>G28-G32</f>
        <v>0</v>
      </c>
      <c r="H34" s="3080"/>
      <c r="I34" s="1328"/>
      <c r="J34" s="3080">
        <f>J28-J32</f>
        <v>0</v>
      </c>
      <c r="K34" s="3080"/>
      <c r="L34" s="1328"/>
      <c r="M34" s="3080">
        <f>M28-M32</f>
        <v>0</v>
      </c>
      <c r="N34" s="3080"/>
      <c r="O34" s="1328"/>
      <c r="P34" s="3080">
        <f>P28-P32</f>
        <v>0</v>
      </c>
      <c r="Q34" s="3080"/>
      <c r="R34" s="1328"/>
      <c r="S34" s="3080">
        <f>S28-S32</f>
        <v>0</v>
      </c>
      <c r="T34" s="3081"/>
    </row>
    <row r="35" spans="1:20" ht="17" thickBot="1">
      <c r="A35" s="658">
        <f>D34+G34+J34+M34+P34+S34</f>
        <v>0</v>
      </c>
      <c r="B35" s="1331"/>
      <c r="C35" s="1331"/>
      <c r="D35" s="1151"/>
      <c r="E35" s="1151"/>
      <c r="F35" s="1328"/>
      <c r="G35" s="1151"/>
      <c r="H35" s="1151"/>
      <c r="I35" s="1328"/>
      <c r="J35" s="1151"/>
      <c r="K35" s="1151"/>
      <c r="L35" s="1328"/>
      <c r="M35" s="1151"/>
      <c r="N35" s="1151"/>
      <c r="O35" s="1328"/>
      <c r="P35" s="1151"/>
      <c r="Q35" s="1151"/>
      <c r="R35" s="1328"/>
      <c r="S35" s="1151"/>
      <c r="T35" s="1337"/>
    </row>
    <row r="36" spans="1:20" ht="16">
      <c r="A36" s="1330"/>
      <c r="B36" s="1332"/>
      <c r="C36" s="1331"/>
      <c r="D36" s="1151"/>
      <c r="E36" s="1151"/>
      <c r="F36" s="1328"/>
      <c r="G36" s="1151"/>
      <c r="H36" s="1151"/>
      <c r="I36" s="1328"/>
      <c r="J36" s="1151"/>
      <c r="K36" s="1151"/>
      <c r="L36" s="1328"/>
      <c r="M36" s="1151"/>
      <c r="N36" s="1151"/>
      <c r="O36" s="1328"/>
      <c r="P36" s="1151"/>
      <c r="Q36" s="1151"/>
      <c r="R36" s="1328"/>
      <c r="S36" s="1151"/>
      <c r="T36" s="1337"/>
    </row>
    <row r="37" spans="1:20" ht="16">
      <c r="A37" s="1090" t="s">
        <v>1150</v>
      </c>
      <c r="B37" s="255"/>
      <c r="C37" s="1331"/>
      <c r="D37" s="3078"/>
      <c r="E37" s="3078"/>
      <c r="F37" s="1328"/>
      <c r="G37" s="3078"/>
      <c r="H37" s="3078"/>
      <c r="I37" s="1328"/>
      <c r="J37" s="3078"/>
      <c r="K37" s="3078"/>
      <c r="L37" s="1328"/>
      <c r="M37" s="3078"/>
      <c r="N37" s="3078"/>
      <c r="O37" s="1328"/>
      <c r="P37" s="3078"/>
      <c r="Q37" s="3078"/>
      <c r="R37" s="1328"/>
      <c r="S37" s="3078"/>
      <c r="T37" s="3079"/>
    </row>
    <row r="38" spans="1:20" ht="16">
      <c r="A38" s="1090" t="s">
        <v>1152</v>
      </c>
      <c r="B38" s="258"/>
      <c r="C38" s="1331"/>
      <c r="D38" s="3078"/>
      <c r="E38" s="3078"/>
      <c r="F38" s="1328"/>
      <c r="G38" s="3078"/>
      <c r="H38" s="3078"/>
      <c r="I38" s="1328"/>
      <c r="J38" s="3078"/>
      <c r="K38" s="3078"/>
      <c r="L38" s="1328"/>
      <c r="M38" s="3078"/>
      <c r="N38" s="3078"/>
      <c r="O38" s="1328"/>
      <c r="P38" s="3078"/>
      <c r="Q38" s="3078"/>
      <c r="R38" s="1328"/>
      <c r="S38" s="3078"/>
      <c r="T38" s="3079"/>
    </row>
    <row r="39" spans="1:20" ht="16">
      <c r="A39" s="1090" t="s">
        <v>1154</v>
      </c>
      <c r="B39" s="258"/>
      <c r="C39" s="1331"/>
      <c r="D39" s="3078"/>
      <c r="E39" s="3078"/>
      <c r="F39" s="1328"/>
      <c r="G39" s="3078"/>
      <c r="H39" s="3078"/>
      <c r="I39" s="1328"/>
      <c r="J39" s="3078"/>
      <c r="K39" s="3078"/>
      <c r="L39" s="1328"/>
      <c r="M39" s="3078"/>
      <c r="N39" s="3078"/>
      <c r="O39" s="1328"/>
      <c r="P39" s="3078"/>
      <c r="Q39" s="3078"/>
      <c r="R39" s="1328"/>
      <c r="S39" s="3078"/>
      <c r="T39" s="3079"/>
    </row>
    <row r="40" spans="1:20" ht="16">
      <c r="A40" s="1090" t="s">
        <v>1156</v>
      </c>
      <c r="B40" s="258"/>
      <c r="C40" s="1331"/>
      <c r="D40" s="3078"/>
      <c r="E40" s="3078"/>
      <c r="F40" s="1328"/>
      <c r="G40" s="3078"/>
      <c r="H40" s="3078"/>
      <c r="I40" s="1328"/>
      <c r="J40" s="3078"/>
      <c r="K40" s="3078"/>
      <c r="L40" s="1328"/>
      <c r="M40" s="3078"/>
      <c r="N40" s="3078"/>
      <c r="O40" s="1328"/>
      <c r="P40" s="3078"/>
      <c r="Q40" s="3078"/>
      <c r="R40" s="1328"/>
      <c r="S40" s="3078"/>
      <c r="T40" s="3079"/>
    </row>
    <row r="41" spans="1:20" ht="16">
      <c r="A41" s="1090"/>
      <c r="B41" s="256"/>
      <c r="C41" s="1331"/>
      <c r="D41" s="3080">
        <f>IFERROR(AVERAGE(D37:E40),0)</f>
        <v>0</v>
      </c>
      <c r="E41" s="3080"/>
      <c r="F41" s="1328"/>
      <c r="G41" s="3080">
        <f>IFERROR(AVERAGE(G37:H40),0)</f>
        <v>0</v>
      </c>
      <c r="H41" s="3080"/>
      <c r="I41" s="1328"/>
      <c r="J41" s="3080">
        <f>IFERROR(AVERAGE(J37:K40),0)</f>
        <v>0</v>
      </c>
      <c r="K41" s="3080"/>
      <c r="L41" s="1328"/>
      <c r="M41" s="3080">
        <f>IFERROR(AVERAGE(M37:N40),0)</f>
        <v>0</v>
      </c>
      <c r="N41" s="3080"/>
      <c r="O41" s="1328"/>
      <c r="P41" s="3080">
        <f>IFERROR(AVERAGE(P37:Q40),0)</f>
        <v>0</v>
      </c>
      <c r="Q41" s="3080"/>
      <c r="R41" s="1328"/>
      <c r="S41" s="3080">
        <f>IFERROR(AVERAGE(S37:T40),0)</f>
        <v>0</v>
      </c>
      <c r="T41" s="3081"/>
    </row>
    <row r="42" spans="1:20" ht="16">
      <c r="A42" s="1090"/>
      <c r="B42" s="1332"/>
      <c r="C42" s="1331"/>
      <c r="D42" s="1151"/>
      <c r="E42" s="1151"/>
      <c r="F42" s="1328"/>
      <c r="G42" s="1151"/>
      <c r="H42" s="1151"/>
      <c r="I42" s="1328"/>
      <c r="J42" s="1151"/>
      <c r="K42" s="1151"/>
      <c r="L42" s="1328"/>
      <c r="M42" s="1151"/>
      <c r="N42" s="1151"/>
      <c r="O42" s="1328"/>
      <c r="P42" s="1151"/>
      <c r="Q42" s="1151"/>
      <c r="R42" s="1328"/>
      <c r="S42" s="1151"/>
      <c r="T42" s="1337"/>
    </row>
    <row r="43" spans="1:20" ht="16">
      <c r="A43" s="1090" t="s">
        <v>1160</v>
      </c>
      <c r="B43" s="255"/>
      <c r="C43" s="1331"/>
      <c r="D43" s="3072">
        <f>D26*D41</f>
        <v>0</v>
      </c>
      <c r="E43" s="3072"/>
      <c r="F43" s="1328"/>
      <c r="G43" s="3072">
        <f>G26*G41</f>
        <v>0</v>
      </c>
      <c r="H43" s="3072"/>
      <c r="I43" s="1328"/>
      <c r="J43" s="3072">
        <f>J26*J41</f>
        <v>0</v>
      </c>
      <c r="K43" s="3072"/>
      <c r="L43" s="1328"/>
      <c r="M43" s="3072">
        <f>M26*M41</f>
        <v>0</v>
      </c>
      <c r="N43" s="3072"/>
      <c r="O43" s="1328"/>
      <c r="P43" s="3072">
        <f>P26*P41</f>
        <v>0</v>
      </c>
      <c r="Q43" s="3072"/>
      <c r="R43" s="1328"/>
      <c r="S43" s="3072">
        <f>S26*S41</f>
        <v>0</v>
      </c>
      <c r="T43" s="3073"/>
    </row>
    <row r="44" spans="1:20" ht="16">
      <c r="A44" s="1090" t="s">
        <v>1161</v>
      </c>
      <c r="B44" s="258"/>
      <c r="C44" s="1331"/>
      <c r="D44" s="3072">
        <f>D9</f>
        <v>0</v>
      </c>
      <c r="E44" s="3072"/>
      <c r="F44" s="1328"/>
      <c r="G44" s="3072">
        <f>G9</f>
        <v>0</v>
      </c>
      <c r="H44" s="3072"/>
      <c r="I44" s="1328"/>
      <c r="J44" s="3072">
        <f>J9</f>
        <v>0</v>
      </c>
      <c r="K44" s="3072"/>
      <c r="L44" s="1328"/>
      <c r="M44" s="3072">
        <f>M9</f>
        <v>0</v>
      </c>
      <c r="N44" s="3072"/>
      <c r="O44" s="1328"/>
      <c r="P44" s="3072">
        <f>P9</f>
        <v>0</v>
      </c>
      <c r="Q44" s="3072"/>
      <c r="R44" s="1328"/>
      <c r="S44" s="3072">
        <f>S9</f>
        <v>0</v>
      </c>
      <c r="T44" s="3073"/>
    </row>
    <row r="45" spans="1:20" ht="16">
      <c r="A45" s="1090" t="s">
        <v>1163</v>
      </c>
      <c r="B45" s="258"/>
      <c r="C45" s="1331"/>
      <c r="D45" s="3072">
        <f>D41-D44</f>
        <v>0</v>
      </c>
      <c r="E45" s="3072"/>
      <c r="F45" s="1328"/>
      <c r="G45" s="3072">
        <f>G41-G44</f>
        <v>0</v>
      </c>
      <c r="H45" s="3072"/>
      <c r="I45" s="1328"/>
      <c r="J45" s="3072">
        <f>J41-J44</f>
        <v>0</v>
      </c>
      <c r="K45" s="3072"/>
      <c r="L45" s="1328"/>
      <c r="M45" s="3072">
        <f>M41-M44</f>
        <v>0</v>
      </c>
      <c r="N45" s="3072"/>
      <c r="O45" s="1328"/>
      <c r="P45" s="3072">
        <f>P41-P44</f>
        <v>0</v>
      </c>
      <c r="Q45" s="3072"/>
      <c r="R45" s="1328"/>
      <c r="S45" s="3072">
        <f>S41-S44</f>
        <v>0</v>
      </c>
      <c r="T45" s="3073"/>
    </row>
    <row r="46" spans="1:20" ht="16">
      <c r="A46" s="1090" t="s">
        <v>1217</v>
      </c>
      <c r="B46" s="258"/>
      <c r="C46" s="1331"/>
      <c r="D46" s="3074">
        <f>IFERROR(D45/D43,0)</f>
        <v>0</v>
      </c>
      <c r="E46" s="3075"/>
      <c r="F46" s="1328"/>
      <c r="G46" s="3074">
        <f>IFERROR(G45/G43,0)</f>
        <v>0</v>
      </c>
      <c r="H46" s="3075"/>
      <c r="I46" s="1328"/>
      <c r="J46" s="3074">
        <f>IFERROR(J45/J43,0)</f>
        <v>0</v>
      </c>
      <c r="K46" s="3075"/>
      <c r="L46" s="1328"/>
      <c r="M46" s="3074">
        <f>IFERROR(M45/M43,0)</f>
        <v>0</v>
      </c>
      <c r="N46" s="3075"/>
      <c r="O46" s="1328"/>
      <c r="P46" s="3074">
        <f>IFERROR(P45/P43,0)</f>
        <v>0</v>
      </c>
      <c r="Q46" s="3075"/>
      <c r="R46" s="1328"/>
      <c r="S46" s="3074">
        <f>IFERROR(S45/S43,0)</f>
        <v>0</v>
      </c>
      <c r="T46" s="3075"/>
    </row>
    <row r="47" spans="1:20" ht="16">
      <c r="A47" s="1090" t="s">
        <v>1165</v>
      </c>
      <c r="B47" s="258"/>
      <c r="C47" s="1331"/>
      <c r="D47" s="3076">
        <v>0.8</v>
      </c>
      <c r="E47" s="3076"/>
      <c r="F47" s="1328"/>
      <c r="G47" s="3076">
        <v>0.8</v>
      </c>
      <c r="H47" s="3076"/>
      <c r="I47" s="1328"/>
      <c r="J47" s="3076">
        <v>0.8</v>
      </c>
      <c r="K47" s="3076"/>
      <c r="L47" s="1328"/>
      <c r="M47" s="3076">
        <v>0.8</v>
      </c>
      <c r="N47" s="3076"/>
      <c r="O47" s="1328"/>
      <c r="P47" s="3076">
        <v>0.8</v>
      </c>
      <c r="Q47" s="3076"/>
      <c r="R47" s="1328"/>
      <c r="S47" s="3076">
        <v>0.8</v>
      </c>
      <c r="T47" s="3077"/>
    </row>
    <row r="48" spans="1:20" ht="16">
      <c r="A48" s="1090" t="s">
        <v>1167</v>
      </c>
      <c r="B48" s="256"/>
      <c r="C48" s="1331"/>
      <c r="D48" s="3072">
        <f>(D41*D47)-D44</f>
        <v>0</v>
      </c>
      <c r="E48" s="3072"/>
      <c r="F48" s="1328"/>
      <c r="G48" s="3072">
        <f>(G41*G47)-G44</f>
        <v>0</v>
      </c>
      <c r="H48" s="3072"/>
      <c r="I48" s="1328"/>
      <c r="J48" s="3072">
        <f>(J41*J47)-J44</f>
        <v>0</v>
      </c>
      <c r="K48" s="3072"/>
      <c r="L48" s="1328"/>
      <c r="M48" s="3072">
        <f>(M41*M47)-M44</f>
        <v>0</v>
      </c>
      <c r="N48" s="3072"/>
      <c r="O48" s="1328"/>
      <c r="P48" s="3072">
        <f>(P41*P47)-P44</f>
        <v>0</v>
      </c>
      <c r="Q48" s="3072"/>
      <c r="R48" s="1328"/>
      <c r="S48" s="3072">
        <f>(S41*S47)-S44</f>
        <v>0</v>
      </c>
      <c r="T48" s="3073"/>
    </row>
    <row r="49" spans="1:20" ht="16">
      <c r="A49" s="1338"/>
      <c r="B49" s="1339"/>
      <c r="C49" s="1331"/>
      <c r="D49" s="244"/>
      <c r="E49" s="1332"/>
      <c r="F49" s="1328"/>
      <c r="G49" s="1328"/>
      <c r="H49" s="1332"/>
      <c r="I49" s="1328"/>
      <c r="J49" s="1328"/>
      <c r="K49" s="1328"/>
      <c r="L49" s="1328"/>
      <c r="M49" s="244"/>
      <c r="N49" s="244"/>
      <c r="O49" s="1328"/>
      <c r="P49" s="244"/>
      <c r="Q49" s="244"/>
      <c r="R49" s="1328"/>
      <c r="S49" s="244"/>
      <c r="T49" s="251"/>
    </row>
    <row r="50" spans="1:20" ht="17" thickBot="1">
      <c r="A50" s="3093" t="s">
        <v>447</v>
      </c>
      <c r="B50" s="3094"/>
      <c r="C50" s="3094"/>
      <c r="D50" s="3094"/>
      <c r="E50" s="3094"/>
      <c r="F50" s="3094"/>
      <c r="G50" s="3094"/>
      <c r="H50" s="3094"/>
      <c r="I50" s="3094"/>
      <c r="J50" s="3094"/>
      <c r="K50" s="3094"/>
      <c r="L50" s="3094"/>
      <c r="M50" s="3094"/>
      <c r="N50" s="3094"/>
      <c r="O50" s="3094"/>
      <c r="P50" s="3094"/>
      <c r="Q50" s="3094"/>
      <c r="R50" s="3094"/>
      <c r="S50" s="3094"/>
      <c r="T50" s="3095"/>
    </row>
    <row r="51" spans="1:20" ht="16">
      <c r="A51" s="3088"/>
      <c r="B51" s="3089"/>
      <c r="C51" s="3089"/>
      <c r="D51" s="3089"/>
      <c r="E51" s="3089"/>
      <c r="F51" s="3089"/>
      <c r="G51" s="3089"/>
      <c r="H51" s="3089"/>
      <c r="I51" s="3089"/>
      <c r="J51" s="3089"/>
      <c r="K51" s="3089"/>
      <c r="L51" s="3089"/>
      <c r="M51" s="3089"/>
      <c r="N51" s="3089"/>
      <c r="O51" s="3089"/>
      <c r="P51" s="3089"/>
      <c r="Q51" s="3089"/>
      <c r="R51" s="3089"/>
      <c r="S51" s="3089"/>
      <c r="T51" s="3090"/>
    </row>
    <row r="52" spans="1:20" ht="16">
      <c r="A52" s="3085"/>
      <c r="B52" s="3086"/>
      <c r="C52" s="3086"/>
      <c r="D52" s="3086"/>
      <c r="E52" s="3086"/>
      <c r="F52" s="3086"/>
      <c r="G52" s="3086"/>
      <c r="H52" s="3086"/>
      <c r="I52" s="3086"/>
      <c r="J52" s="3086"/>
      <c r="K52" s="3086"/>
      <c r="L52" s="3086"/>
      <c r="M52" s="3086"/>
      <c r="N52" s="3086"/>
      <c r="O52" s="3086"/>
      <c r="P52" s="3086"/>
      <c r="Q52" s="3086"/>
      <c r="R52" s="3086"/>
      <c r="S52" s="3086"/>
      <c r="T52" s="3087"/>
    </row>
    <row r="53" spans="1:20" ht="16">
      <c r="A53" s="3085"/>
      <c r="B53" s="3086"/>
      <c r="C53" s="3086"/>
      <c r="D53" s="3086"/>
      <c r="E53" s="3086"/>
      <c r="F53" s="3086"/>
      <c r="G53" s="3086"/>
      <c r="H53" s="3086"/>
      <c r="I53" s="3086"/>
      <c r="J53" s="3086"/>
      <c r="K53" s="3086"/>
      <c r="L53" s="3086"/>
      <c r="M53" s="3086"/>
      <c r="N53" s="3086"/>
      <c r="O53" s="3086"/>
      <c r="P53" s="3086"/>
      <c r="Q53" s="3086"/>
      <c r="R53" s="3086"/>
      <c r="S53" s="3086"/>
      <c r="T53" s="3087"/>
    </row>
    <row r="54" spans="1:20" ht="16">
      <c r="A54" s="3085"/>
      <c r="B54" s="3086"/>
      <c r="C54" s="3086"/>
      <c r="D54" s="3086"/>
      <c r="E54" s="3086"/>
      <c r="F54" s="3086"/>
      <c r="G54" s="3086"/>
      <c r="H54" s="3086"/>
      <c r="I54" s="3086"/>
      <c r="J54" s="3086"/>
      <c r="K54" s="3086"/>
      <c r="L54" s="3086"/>
      <c r="M54" s="3086"/>
      <c r="N54" s="3086"/>
      <c r="O54" s="3086"/>
      <c r="P54" s="3086"/>
      <c r="Q54" s="3086"/>
      <c r="R54" s="3086"/>
      <c r="S54" s="3086"/>
      <c r="T54" s="3087"/>
    </row>
    <row r="55" spans="1:20" ht="16">
      <c r="A55" s="3085"/>
      <c r="B55" s="3086"/>
      <c r="C55" s="3086"/>
      <c r="D55" s="3086"/>
      <c r="E55" s="3086"/>
      <c r="F55" s="3086"/>
      <c r="G55" s="3086"/>
      <c r="H55" s="3086"/>
      <c r="I55" s="3086"/>
      <c r="J55" s="3086"/>
      <c r="K55" s="3086"/>
      <c r="L55" s="3086"/>
      <c r="M55" s="3086"/>
      <c r="N55" s="3086"/>
      <c r="O55" s="3086"/>
      <c r="P55" s="3086"/>
      <c r="Q55" s="3086"/>
      <c r="R55" s="3086"/>
      <c r="S55" s="3086"/>
      <c r="T55" s="3087"/>
    </row>
    <row r="56" spans="1:20" ht="16">
      <c r="A56" s="3085"/>
      <c r="B56" s="3086"/>
      <c r="C56" s="3086"/>
      <c r="D56" s="3086"/>
      <c r="E56" s="3086"/>
      <c r="F56" s="3086"/>
      <c r="G56" s="3086"/>
      <c r="H56" s="3086"/>
      <c r="I56" s="3086"/>
      <c r="J56" s="3086"/>
      <c r="K56" s="3086"/>
      <c r="L56" s="3086"/>
      <c r="M56" s="3086"/>
      <c r="N56" s="3086"/>
      <c r="O56" s="3086"/>
      <c r="P56" s="3086"/>
      <c r="Q56" s="3086"/>
      <c r="R56" s="3086"/>
      <c r="S56" s="3086"/>
      <c r="T56" s="3087"/>
    </row>
    <row r="57" spans="1:20" ht="16">
      <c r="A57" s="3085"/>
      <c r="B57" s="3086"/>
      <c r="C57" s="3086"/>
      <c r="D57" s="3086"/>
      <c r="E57" s="3086"/>
      <c r="F57" s="3086"/>
      <c r="G57" s="3086"/>
      <c r="H57" s="3086"/>
      <c r="I57" s="3086"/>
      <c r="J57" s="3086"/>
      <c r="K57" s="3086"/>
      <c r="L57" s="3086"/>
      <c r="M57" s="3086"/>
      <c r="N57" s="3086"/>
      <c r="O57" s="3086"/>
      <c r="P57" s="3086"/>
      <c r="Q57" s="3086"/>
      <c r="R57" s="3086"/>
      <c r="S57" s="3086"/>
      <c r="T57" s="3087"/>
    </row>
    <row r="58" spans="1:20" ht="16">
      <c r="A58" s="3085"/>
      <c r="B58" s="3086"/>
      <c r="C58" s="3086"/>
      <c r="D58" s="3086"/>
      <c r="E58" s="3086"/>
      <c r="F58" s="3086"/>
      <c r="G58" s="3086"/>
      <c r="H58" s="3086"/>
      <c r="I58" s="3086"/>
      <c r="J58" s="3086"/>
      <c r="K58" s="3086"/>
      <c r="L58" s="3086"/>
      <c r="M58" s="3086"/>
      <c r="N58" s="3086"/>
      <c r="O58" s="3086"/>
      <c r="P58" s="3086"/>
      <c r="Q58" s="3086"/>
      <c r="R58" s="3086"/>
      <c r="S58" s="3086"/>
      <c r="T58" s="3087"/>
    </row>
    <row r="59" spans="1:20" ht="16">
      <c r="A59" s="3085"/>
      <c r="B59" s="3086"/>
      <c r="C59" s="3086"/>
      <c r="D59" s="3086"/>
      <c r="E59" s="3086"/>
      <c r="F59" s="3086"/>
      <c r="G59" s="3086"/>
      <c r="H59" s="3086"/>
      <c r="I59" s="3086"/>
      <c r="J59" s="3086"/>
      <c r="K59" s="3086"/>
      <c r="L59" s="3086"/>
      <c r="M59" s="3086"/>
      <c r="N59" s="3086"/>
      <c r="O59" s="3086"/>
      <c r="P59" s="3086"/>
      <c r="Q59" s="3086"/>
      <c r="R59" s="3086"/>
      <c r="S59" s="3086"/>
      <c r="T59" s="3087"/>
    </row>
    <row r="60" spans="1:20" ht="16">
      <c r="A60" s="3085"/>
      <c r="B60" s="3086"/>
      <c r="C60" s="3086"/>
      <c r="D60" s="3086"/>
      <c r="E60" s="3086"/>
      <c r="F60" s="3086"/>
      <c r="G60" s="3086"/>
      <c r="H60" s="3086"/>
      <c r="I60" s="3086"/>
      <c r="J60" s="3086"/>
      <c r="K60" s="3086"/>
      <c r="L60" s="3086"/>
      <c r="M60" s="3086"/>
      <c r="N60" s="3086"/>
      <c r="O60" s="3086"/>
      <c r="P60" s="3086"/>
      <c r="Q60" s="3086"/>
      <c r="R60" s="3086"/>
      <c r="S60" s="3086"/>
      <c r="T60" s="3087"/>
    </row>
    <row r="61" spans="1:20" ht="16">
      <c r="A61" s="3085"/>
      <c r="B61" s="3086"/>
      <c r="C61" s="3086"/>
      <c r="D61" s="3086"/>
      <c r="E61" s="3086"/>
      <c r="F61" s="3086"/>
      <c r="G61" s="3086"/>
      <c r="H61" s="3086"/>
      <c r="I61" s="3086"/>
      <c r="J61" s="3086"/>
      <c r="K61" s="3086"/>
      <c r="L61" s="3086"/>
      <c r="M61" s="3086"/>
      <c r="N61" s="3086"/>
      <c r="O61" s="3086"/>
      <c r="P61" s="3086"/>
      <c r="Q61" s="3086"/>
      <c r="R61" s="3086"/>
      <c r="S61" s="3086"/>
      <c r="T61" s="3087"/>
    </row>
    <row r="62" spans="1:20" ht="16">
      <c r="A62" s="3085"/>
      <c r="B62" s="3086"/>
      <c r="C62" s="3086"/>
      <c r="D62" s="3086"/>
      <c r="E62" s="3086"/>
      <c r="F62" s="3086"/>
      <c r="G62" s="3086"/>
      <c r="H62" s="3086"/>
      <c r="I62" s="3086"/>
      <c r="J62" s="3086"/>
      <c r="K62" s="3086"/>
      <c r="L62" s="3086"/>
      <c r="M62" s="3086"/>
      <c r="N62" s="3086"/>
      <c r="O62" s="3086"/>
      <c r="P62" s="3086"/>
      <c r="Q62" s="3086"/>
      <c r="R62" s="3086"/>
      <c r="S62" s="3086"/>
      <c r="T62" s="3087"/>
    </row>
    <row r="63" spans="1:20" ht="16">
      <c r="A63" s="3085"/>
      <c r="B63" s="3086"/>
      <c r="C63" s="3086"/>
      <c r="D63" s="3086"/>
      <c r="E63" s="3086"/>
      <c r="F63" s="3086"/>
      <c r="G63" s="3086"/>
      <c r="H63" s="3086"/>
      <c r="I63" s="3086"/>
      <c r="J63" s="3086"/>
      <c r="K63" s="3086"/>
      <c r="L63" s="3086"/>
      <c r="M63" s="3086"/>
      <c r="N63" s="3086"/>
      <c r="O63" s="3086"/>
      <c r="P63" s="3086"/>
      <c r="Q63" s="3086"/>
      <c r="R63" s="3086"/>
      <c r="S63" s="3086"/>
      <c r="T63" s="3087"/>
    </row>
    <row r="64" spans="1:20" ht="16">
      <c r="A64" s="3085"/>
      <c r="B64" s="3086"/>
      <c r="C64" s="3086"/>
      <c r="D64" s="3086"/>
      <c r="E64" s="3086"/>
      <c r="F64" s="3086"/>
      <c r="G64" s="3086"/>
      <c r="H64" s="3086"/>
      <c r="I64" s="3086"/>
      <c r="J64" s="3086"/>
      <c r="K64" s="3086"/>
      <c r="L64" s="3086"/>
      <c r="M64" s="3086"/>
      <c r="N64" s="3086"/>
      <c r="O64" s="3086"/>
      <c r="P64" s="3086"/>
      <c r="Q64" s="3086"/>
      <c r="R64" s="3086"/>
      <c r="S64" s="3086"/>
      <c r="T64" s="3087"/>
    </row>
    <row r="65" spans="1:20" ht="16">
      <c r="A65" s="3085"/>
      <c r="B65" s="3086"/>
      <c r="C65" s="3086"/>
      <c r="D65" s="3086"/>
      <c r="E65" s="3086"/>
      <c r="F65" s="3086"/>
      <c r="G65" s="3086"/>
      <c r="H65" s="3086"/>
      <c r="I65" s="3086"/>
      <c r="J65" s="3086"/>
      <c r="K65" s="3086"/>
      <c r="L65" s="3086"/>
      <c r="M65" s="3086"/>
      <c r="N65" s="3086"/>
      <c r="O65" s="3086"/>
      <c r="P65" s="3086"/>
      <c r="Q65" s="3086"/>
      <c r="R65" s="3086"/>
      <c r="S65" s="3086"/>
      <c r="T65" s="3087"/>
    </row>
    <row r="66" spans="1:20" ht="17" thickBot="1">
      <c r="A66" s="3082"/>
      <c r="B66" s="3083"/>
      <c r="C66" s="3083"/>
      <c r="D66" s="3083"/>
      <c r="E66" s="3083"/>
      <c r="F66" s="3083"/>
      <c r="G66" s="3083"/>
      <c r="H66" s="3083"/>
      <c r="I66" s="3083"/>
      <c r="J66" s="3083"/>
      <c r="K66" s="3083"/>
      <c r="L66" s="3083"/>
      <c r="M66" s="3083"/>
      <c r="N66" s="3083"/>
      <c r="O66" s="3083"/>
      <c r="P66" s="3083"/>
      <c r="Q66" s="3083"/>
      <c r="R66" s="3083"/>
      <c r="S66" s="3083"/>
      <c r="T66" s="3084"/>
    </row>
  </sheetData>
  <sheetProtection algorithmName="SHA-512" hashValue="ZxlSqoYZKcbsUlDl05LQz39iyPEAtr9HWMGWJHStzzt5toLuWcuIaXmS0cCqo3pnrYyL7q/oNepMBp7znXQs9w==" saltValue="2YiLfB0nCq7zVzxAjXoyUg==" spinCount="100000" sheet="1" scenarios="1" formatCells="0" formatColumns="0" formatRows="0"/>
  <customSheetViews>
    <customSheetView guid="{EDC0EC15-0264-48C8-A990-093960AE8EF3}" scale="85" showPageBreaks="1" showGridLines="0" printArea="1">
      <selection activeCell="D16" sqref="D16:D17"/>
      <pageMargins left="0" right="0" top="0" bottom="0" header="0" footer="0"/>
      <printOptions horizontalCentered="1"/>
      <pageSetup scale="77" orientation="landscape" r:id="rId1"/>
      <headerFooter differentFirst="1">
        <firstHeader>&amp;L&amp;G&amp;C&amp;8
&amp;18Credit Memo</firstHeader>
      </headerFooter>
    </customSheetView>
    <customSheetView guid="{6E1FDEE6-49D0-4876-8C7C-09893145D2CE}" scale="85" showPageBreaks="1" showGridLines="0" printArea="1" state="hidden">
      <selection activeCell="U1" sqref="U1:W1"/>
      <pageMargins left="0" right="0" top="0" bottom="0" header="0" footer="0"/>
      <printOptions horizontalCentered="1"/>
      <pageSetup scale="77" orientation="landscape" r:id="rId2"/>
      <headerFooter differentFirst="1">
        <firstHeader>&amp;L&amp;G&amp;C&amp;8
&amp;18Credit Memo</firstHeader>
      </headerFooter>
    </customSheetView>
    <customSheetView guid="{DB1F6E98-7FCC-445F-9DA6-47D8BF8BE969}" scale="85" showPageBreaks="1" showGridLines="0" printArea="1" state="hidden">
      <selection activeCell="U1" sqref="U1:W1"/>
      <pageMargins left="0" right="0" top="0" bottom="0" header="0" footer="0"/>
      <printOptions horizontalCentered="1"/>
      <pageSetup scale="77" orientation="landscape" r:id="rId3"/>
      <headerFooter differentFirst="1">
        <firstHeader>&amp;L&amp;G&amp;C&amp;8
&amp;18Credit Memo</firstHeader>
      </headerFooter>
    </customSheetView>
    <customSheetView guid="{C02CA8E5-5D4C-45E5-BC4A-4C9BE481059B}" scale="85" showPageBreaks="1" showGridLines="0" printArea="1" state="hidden">
      <selection activeCell="U1" sqref="U1:W1"/>
      <pageMargins left="0" right="0" top="0" bottom="0" header="0" footer="0"/>
      <printOptions horizontalCentered="1"/>
      <pageSetup scale="77" orientation="landscape" r:id="rId4"/>
      <headerFooter differentFirst="1">
        <firstHeader>&amp;L&amp;G&amp;C&amp;8
&amp;18Credit Memo</firstHeader>
      </headerFooter>
    </customSheetView>
  </customSheetViews>
  <mergeCells count="229">
    <mergeCell ref="D4:E4"/>
    <mergeCell ref="G4:H4"/>
    <mergeCell ref="D6:E6"/>
    <mergeCell ref="D5:E5"/>
    <mergeCell ref="G5:H5"/>
    <mergeCell ref="J5:K5"/>
    <mergeCell ref="M5:N5"/>
    <mergeCell ref="P5:Q5"/>
    <mergeCell ref="S5:T5"/>
    <mergeCell ref="G6:H6"/>
    <mergeCell ref="J6:K6"/>
    <mergeCell ref="M6:N6"/>
    <mergeCell ref="P6:Q6"/>
    <mergeCell ref="S6:T6"/>
    <mergeCell ref="J4:K4"/>
    <mergeCell ref="M4:N4"/>
    <mergeCell ref="P4:Q4"/>
    <mergeCell ref="S4:T4"/>
    <mergeCell ref="S7:T7"/>
    <mergeCell ref="D8:E8"/>
    <mergeCell ref="G8:H8"/>
    <mergeCell ref="J8:K8"/>
    <mergeCell ref="M8:N8"/>
    <mergeCell ref="P8:Q8"/>
    <mergeCell ref="S8:T8"/>
    <mergeCell ref="D7:E7"/>
    <mergeCell ref="G7:H7"/>
    <mergeCell ref="J7:K7"/>
    <mergeCell ref="M7:N7"/>
    <mergeCell ref="P7:Q7"/>
    <mergeCell ref="D10:E10"/>
    <mergeCell ref="G10:H10"/>
    <mergeCell ref="J10:K10"/>
    <mergeCell ref="M10:N10"/>
    <mergeCell ref="P10:Q10"/>
    <mergeCell ref="S10:T10"/>
    <mergeCell ref="D9:E9"/>
    <mergeCell ref="G9:H9"/>
    <mergeCell ref="J9:K9"/>
    <mergeCell ref="M9:N9"/>
    <mergeCell ref="P9:Q9"/>
    <mergeCell ref="S9:T9"/>
    <mergeCell ref="J12:K12"/>
    <mergeCell ref="M12:N12"/>
    <mergeCell ref="P12:Q12"/>
    <mergeCell ref="S12:T12"/>
    <mergeCell ref="D13:E13"/>
    <mergeCell ref="G13:H13"/>
    <mergeCell ref="J13:K13"/>
    <mergeCell ref="M13:N13"/>
    <mergeCell ref="P13:Q13"/>
    <mergeCell ref="S13:T13"/>
    <mergeCell ref="D12:E12"/>
    <mergeCell ref="G12:H12"/>
    <mergeCell ref="J15:K15"/>
    <mergeCell ref="M15:N15"/>
    <mergeCell ref="P15:Q15"/>
    <mergeCell ref="S15:T15"/>
    <mergeCell ref="D16:E16"/>
    <mergeCell ref="G16:H16"/>
    <mergeCell ref="J16:K16"/>
    <mergeCell ref="M16:N16"/>
    <mergeCell ref="P16:Q16"/>
    <mergeCell ref="S16:T16"/>
    <mergeCell ref="D15:E15"/>
    <mergeCell ref="G15:H15"/>
    <mergeCell ref="J17:K17"/>
    <mergeCell ref="M17:N17"/>
    <mergeCell ref="P17:Q17"/>
    <mergeCell ref="S17:T17"/>
    <mergeCell ref="D19:E19"/>
    <mergeCell ref="G19:H19"/>
    <mergeCell ref="J19:K19"/>
    <mergeCell ref="M19:N19"/>
    <mergeCell ref="P19:Q19"/>
    <mergeCell ref="S19:T19"/>
    <mergeCell ref="D17:E17"/>
    <mergeCell ref="G17:H17"/>
    <mergeCell ref="J20:K20"/>
    <mergeCell ref="M20:N20"/>
    <mergeCell ref="P20:Q20"/>
    <mergeCell ref="S20:T20"/>
    <mergeCell ref="D21:E21"/>
    <mergeCell ref="G21:H21"/>
    <mergeCell ref="J21:K21"/>
    <mergeCell ref="M21:N21"/>
    <mergeCell ref="P21:Q21"/>
    <mergeCell ref="S21:T21"/>
    <mergeCell ref="D20:E20"/>
    <mergeCell ref="G20:H20"/>
    <mergeCell ref="J22:K22"/>
    <mergeCell ref="M22:N22"/>
    <mergeCell ref="P22:Q22"/>
    <mergeCell ref="S22:T22"/>
    <mergeCell ref="D23:E23"/>
    <mergeCell ref="G23:H23"/>
    <mergeCell ref="J23:K23"/>
    <mergeCell ref="M23:N23"/>
    <mergeCell ref="P23:Q23"/>
    <mergeCell ref="S23:T23"/>
    <mergeCell ref="D22:E22"/>
    <mergeCell ref="G22:H22"/>
    <mergeCell ref="J24:K24"/>
    <mergeCell ref="M24:N24"/>
    <mergeCell ref="P24:Q24"/>
    <mergeCell ref="S24:T24"/>
    <mergeCell ref="D26:E26"/>
    <mergeCell ref="G26:H26"/>
    <mergeCell ref="J26:K26"/>
    <mergeCell ref="M26:N26"/>
    <mergeCell ref="P26:Q26"/>
    <mergeCell ref="S26:T26"/>
    <mergeCell ref="D24:E24"/>
    <mergeCell ref="G24:H24"/>
    <mergeCell ref="S28:T28"/>
    <mergeCell ref="D30:E30"/>
    <mergeCell ref="G30:H30"/>
    <mergeCell ref="J30:K30"/>
    <mergeCell ref="M30:N30"/>
    <mergeCell ref="P30:Q30"/>
    <mergeCell ref="S30:T30"/>
    <mergeCell ref="D28:E28"/>
    <mergeCell ref="G28:H28"/>
    <mergeCell ref="J28:K28"/>
    <mergeCell ref="M28:N28"/>
    <mergeCell ref="P28:Q28"/>
    <mergeCell ref="S31:T31"/>
    <mergeCell ref="D32:E32"/>
    <mergeCell ref="G32:H32"/>
    <mergeCell ref="J32:K32"/>
    <mergeCell ref="M32:N32"/>
    <mergeCell ref="P32:Q32"/>
    <mergeCell ref="S32:T32"/>
    <mergeCell ref="D31:E31"/>
    <mergeCell ref="G31:H31"/>
    <mergeCell ref="J31:K31"/>
    <mergeCell ref="M31:N31"/>
    <mergeCell ref="P31:Q31"/>
    <mergeCell ref="S34:T34"/>
    <mergeCell ref="D37:E37"/>
    <mergeCell ref="G37:H37"/>
    <mergeCell ref="J37:K37"/>
    <mergeCell ref="M37:N37"/>
    <mergeCell ref="P37:Q37"/>
    <mergeCell ref="S37:T37"/>
    <mergeCell ref="D34:E34"/>
    <mergeCell ref="G34:H34"/>
    <mergeCell ref="J34:K34"/>
    <mergeCell ref="M34:N34"/>
    <mergeCell ref="P34:Q34"/>
    <mergeCell ref="S38:T38"/>
    <mergeCell ref="D39:E39"/>
    <mergeCell ref="G39:H39"/>
    <mergeCell ref="J39:K39"/>
    <mergeCell ref="M39:N39"/>
    <mergeCell ref="P39:Q39"/>
    <mergeCell ref="S39:T39"/>
    <mergeCell ref="D38:E38"/>
    <mergeCell ref="G38:H38"/>
    <mergeCell ref="J38:K38"/>
    <mergeCell ref="M38:N38"/>
    <mergeCell ref="P38:Q38"/>
    <mergeCell ref="S40:T40"/>
    <mergeCell ref="D41:E41"/>
    <mergeCell ref="G41:H41"/>
    <mergeCell ref="J41:K41"/>
    <mergeCell ref="M41:N41"/>
    <mergeCell ref="P41:Q41"/>
    <mergeCell ref="S41:T41"/>
    <mergeCell ref="D40:E40"/>
    <mergeCell ref="G40:H40"/>
    <mergeCell ref="J40:K40"/>
    <mergeCell ref="M40:N40"/>
    <mergeCell ref="P40:Q40"/>
    <mergeCell ref="S43:T43"/>
    <mergeCell ref="D44:E44"/>
    <mergeCell ref="G44:H44"/>
    <mergeCell ref="J44:K44"/>
    <mergeCell ref="M44:N44"/>
    <mergeCell ref="P44:Q44"/>
    <mergeCell ref="S44:T44"/>
    <mergeCell ref="D43:E43"/>
    <mergeCell ref="G43:H43"/>
    <mergeCell ref="J43:K43"/>
    <mergeCell ref="M43:N43"/>
    <mergeCell ref="P43:Q43"/>
    <mergeCell ref="P48:Q48"/>
    <mergeCell ref="S48:T48"/>
    <mergeCell ref="D47:E47"/>
    <mergeCell ref="G47:H47"/>
    <mergeCell ref="J47:K47"/>
    <mergeCell ref="M47:N47"/>
    <mergeCell ref="P47:Q47"/>
    <mergeCell ref="S45:T45"/>
    <mergeCell ref="D46:E46"/>
    <mergeCell ref="G46:H46"/>
    <mergeCell ref="J46:K46"/>
    <mergeCell ref="M46:N46"/>
    <mergeCell ref="P46:Q46"/>
    <mergeCell ref="S46:T46"/>
    <mergeCell ref="D45:E45"/>
    <mergeCell ref="G45:H45"/>
    <mergeCell ref="J45:K45"/>
    <mergeCell ref="M45:N45"/>
    <mergeCell ref="P45:Q45"/>
    <mergeCell ref="A65:T65"/>
    <mergeCell ref="A66:T66"/>
    <mergeCell ref="A1:T1"/>
    <mergeCell ref="D2:K2"/>
    <mergeCell ref="A60:T60"/>
    <mergeCell ref="A61:T61"/>
    <mergeCell ref="A62:T62"/>
    <mergeCell ref="A63:T63"/>
    <mergeCell ref="A64:T64"/>
    <mergeCell ref="A55:T55"/>
    <mergeCell ref="A56:T56"/>
    <mergeCell ref="A57:T57"/>
    <mergeCell ref="A58:T58"/>
    <mergeCell ref="A59:T59"/>
    <mergeCell ref="A50:T50"/>
    <mergeCell ref="A51:T51"/>
    <mergeCell ref="A52:T52"/>
    <mergeCell ref="A53:T53"/>
    <mergeCell ref="A54:T54"/>
    <mergeCell ref="S47:T47"/>
    <mergeCell ref="D48:E48"/>
    <mergeCell ref="G48:H48"/>
    <mergeCell ref="J48:K48"/>
    <mergeCell ref="M48:N48"/>
  </mergeCells>
  <hyperlinks>
    <hyperlink ref="V1" location="Index!A1" display="Index" xr:uid="{0F174CA3-7995-4F4E-B783-8B6A9EAE0303}"/>
  </hyperlinks>
  <printOptions horizontalCentered="1"/>
  <pageMargins left="0.7" right="0.7" top="0.75" bottom="0.75" header="0.3" footer="0.3"/>
  <pageSetup scale="50" orientation="landscape" r:id="rId5"/>
  <headerFooter differentFirst="1">
    <firstHeader>&amp;L&amp;G&amp;C&amp;8
&amp;18Credit Memo</firstHeader>
  </headerFooter>
  <rowBreaks count="1" manualBreakCount="1">
    <brk id="66" max="19" man="1"/>
  </rowBreaks>
  <extLst>
    <ext xmlns:x14="http://schemas.microsoft.com/office/spreadsheetml/2009/9/main" uri="{CCE6A557-97BC-4b89-ADB6-D9C93CAAB3DF}">
      <x14:dataValidations xmlns:xm="http://schemas.microsoft.com/office/excel/2006/main" count="1">
        <x14:dataValidation type="list" allowBlank="1" showInputMessage="1" showErrorMessage="1" xr:uid="{432954DC-3B92-48F9-86D2-FDF5CFCA355B}">
          <x14:formula1>
            <xm:f>Lists!$B$39:$B$42</xm:f>
          </x14:formula1>
          <xm:sqref>D5:E5 G5:H5 J5:K5 M5:N5 P5:Q5 S5:T5</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dimension ref="A1:Q67"/>
  <sheetViews>
    <sheetView showGridLines="0" zoomScale="85" zoomScaleNormal="85" workbookViewId="0">
      <selection activeCell="A16" sqref="A16:M20"/>
    </sheetView>
  </sheetViews>
  <sheetFormatPr baseColWidth="10" defaultColWidth="8.83203125" defaultRowHeight="15"/>
  <cols>
    <col min="1" max="3" width="13.6640625" customWidth="1"/>
    <col min="4" max="5" width="12.6640625" customWidth="1"/>
    <col min="6" max="6" width="14.33203125" bestFit="1" customWidth="1"/>
    <col min="7" max="7" width="3.6640625" bestFit="1" customWidth="1"/>
    <col min="8" max="11" width="12.6640625" customWidth="1"/>
    <col min="14" max="14" width="21.1640625" bestFit="1" customWidth="1"/>
  </cols>
  <sheetData>
    <row r="1" spans="1:17" ht="17" thickBot="1">
      <c r="A1" s="2953" t="s">
        <v>1104</v>
      </c>
      <c r="B1" s="2954"/>
      <c r="C1" s="2954"/>
      <c r="D1" s="2954"/>
      <c r="E1" s="2954"/>
      <c r="F1" s="2954"/>
      <c r="G1" s="2954"/>
      <c r="H1" s="2954"/>
      <c r="I1" s="2954"/>
      <c r="J1" s="2954"/>
      <c r="K1" s="2955"/>
      <c r="N1" s="1179"/>
      <c r="O1" s="1179"/>
      <c r="P1" s="1179"/>
    </row>
    <row r="2" spans="1:17" ht="16">
      <c r="A2" s="233"/>
      <c r="B2" s="232"/>
      <c r="C2" s="232"/>
      <c r="D2" s="234"/>
      <c r="E2" s="232"/>
      <c r="F2" s="232"/>
      <c r="G2" s="232"/>
      <c r="H2" s="232"/>
      <c r="I2" s="232"/>
      <c r="J2" s="232"/>
      <c r="K2" s="1222"/>
      <c r="N2" t="str" cm="1">
        <f t="array" aca="1" ref="N2" ca="1">MID(CELL("filename",A1),FIND("]",CELL("filename",A1))+1,256)</f>
        <v>Per Need 4</v>
      </c>
    </row>
    <row r="3" spans="1:17" ht="15.75" customHeight="1">
      <c r="A3" s="236" t="s">
        <v>1105</v>
      </c>
      <c r="B3" s="3028" t="s">
        <v>1106</v>
      </c>
      <c r="C3" s="3029"/>
      <c r="D3" s="3029"/>
      <c r="E3" s="3029"/>
      <c r="F3" s="3029"/>
      <c r="G3" s="3029"/>
      <c r="H3" s="3029"/>
      <c r="I3" s="3030"/>
      <c r="J3" s="3031"/>
      <c r="K3" s="1223"/>
    </row>
    <row r="4" spans="1:17" ht="17" thickBot="1">
      <c r="A4" s="233"/>
      <c r="B4" s="232"/>
      <c r="C4" s="232"/>
      <c r="D4" s="232"/>
      <c r="E4" s="3042"/>
      <c r="F4" s="3044"/>
      <c r="G4" s="3044"/>
      <c r="H4" s="1224"/>
      <c r="I4" s="1224"/>
      <c r="J4" s="1224"/>
      <c r="K4" s="1225"/>
      <c r="N4" s="2779" t="s">
        <v>1107</v>
      </c>
      <c r="O4" s="2779"/>
      <c r="P4" s="2779"/>
      <c r="Q4" s="2779"/>
    </row>
    <row r="5" spans="1:17" ht="17" thickBot="1">
      <c r="A5" s="247" t="s">
        <v>277</v>
      </c>
      <c r="B5" s="232"/>
      <c r="C5" s="232"/>
      <c r="D5" s="232"/>
      <c r="E5" s="3043"/>
      <c r="F5" s="3045"/>
      <c r="G5" s="3045"/>
      <c r="H5" s="1226"/>
      <c r="I5" s="2908" t="s">
        <v>1108</v>
      </c>
      <c r="J5" s="2909"/>
      <c r="K5" s="2910"/>
      <c r="N5" s="3032" t="s">
        <v>1109</v>
      </c>
      <c r="O5" s="3032"/>
      <c r="P5" s="3032"/>
      <c r="Q5" s="3032"/>
    </row>
    <row r="6" spans="1:17" ht="17" thickBot="1">
      <c r="A6" s="1227" t="s">
        <v>278</v>
      </c>
      <c r="B6" s="232"/>
      <c r="C6" s="232"/>
      <c r="D6" s="1614"/>
      <c r="E6" s="1228"/>
      <c r="F6" s="1228"/>
      <c r="G6" s="1229" t="s">
        <v>795</v>
      </c>
      <c r="H6" s="244"/>
      <c r="I6" s="1230" t="s">
        <v>488</v>
      </c>
      <c r="J6" s="1231" t="s">
        <v>1110</v>
      </c>
      <c r="K6" s="1232" t="s">
        <v>847</v>
      </c>
      <c r="N6" s="1279"/>
      <c r="O6" s="1280">
        <v>2020</v>
      </c>
      <c r="P6" s="1281">
        <f>O6+1</f>
        <v>2021</v>
      </c>
      <c r="Q6" s="1281">
        <f>P6+1</f>
        <v>2022</v>
      </c>
    </row>
    <row r="7" spans="1:17" ht="16">
      <c r="A7" s="1227" t="s">
        <v>279</v>
      </c>
      <c r="B7" s="232"/>
      <c r="C7" s="232"/>
      <c r="D7" s="1618"/>
      <c r="E7" s="1228"/>
      <c r="F7" s="1228"/>
      <c r="G7" s="12"/>
      <c r="H7" s="1235" t="s">
        <v>1111</v>
      </c>
      <c r="I7" s="1609"/>
      <c r="J7" s="1623"/>
      <c r="K7" s="1606"/>
      <c r="N7" s="1279" t="s">
        <v>1112</v>
      </c>
      <c r="O7" s="1622"/>
      <c r="P7" s="1622"/>
      <c r="Q7" s="1622"/>
    </row>
    <row r="8" spans="1:17" ht="16">
      <c r="A8" s="1227" t="s">
        <v>280</v>
      </c>
      <c r="B8" s="232"/>
      <c r="C8" s="232"/>
      <c r="D8" s="1618"/>
      <c r="E8" s="241"/>
      <c r="F8" s="232"/>
      <c r="G8" s="246"/>
      <c r="H8" s="244"/>
      <c r="I8" s="1610"/>
      <c r="J8" s="1624"/>
      <c r="K8" s="1606"/>
      <c r="N8" s="1279" t="s">
        <v>205</v>
      </c>
      <c r="O8" s="1622"/>
      <c r="P8" s="1622"/>
      <c r="Q8" s="1622"/>
    </row>
    <row r="9" spans="1:17" ht="16">
      <c r="A9" s="1227" t="s">
        <v>281</v>
      </c>
      <c r="B9" s="232"/>
      <c r="C9" s="232"/>
      <c r="D9" s="1618">
        <f>'Per RE 4'!A35</f>
        <v>0</v>
      </c>
      <c r="E9" s="1228"/>
      <c r="F9" s="232"/>
      <c r="G9" s="246"/>
      <c r="H9" s="232"/>
      <c r="I9" s="1610"/>
      <c r="J9" s="1624"/>
      <c r="K9" s="1606"/>
      <c r="N9" s="1279" t="s">
        <v>1113</v>
      </c>
      <c r="O9" s="1622"/>
      <c r="P9" s="1622"/>
      <c r="Q9" s="1622"/>
    </row>
    <row r="10" spans="1:17" ht="16">
      <c r="A10" s="1227" t="s">
        <v>282</v>
      </c>
      <c r="B10" s="232"/>
      <c r="C10" s="232"/>
      <c r="D10" s="1618"/>
      <c r="E10" s="241"/>
      <c r="F10" s="232"/>
      <c r="G10" s="246"/>
      <c r="H10" s="232"/>
      <c r="I10" s="1610"/>
      <c r="J10" s="1624"/>
      <c r="K10" s="1606"/>
      <c r="N10" s="1279" t="s">
        <v>1114</v>
      </c>
      <c r="O10" s="1622"/>
      <c r="P10" s="1622"/>
      <c r="Q10" s="1622"/>
    </row>
    <row r="11" spans="1:17" ht="16">
      <c r="A11" s="1227" t="s">
        <v>283</v>
      </c>
      <c r="B11" s="232"/>
      <c r="C11" s="232"/>
      <c r="D11" s="1618"/>
      <c r="E11" s="1228"/>
      <c r="F11" s="232"/>
      <c r="G11" s="246"/>
      <c r="H11" s="232"/>
      <c r="I11" s="1610"/>
      <c r="J11" s="1624"/>
      <c r="K11" s="1606"/>
      <c r="N11" s="1279" t="s">
        <v>1115</v>
      </c>
      <c r="O11" s="1622"/>
      <c r="P11" s="1622"/>
      <c r="Q11" s="1622"/>
    </row>
    <row r="12" spans="1:17" ht="17" thickBot="1">
      <c r="A12" s="1227" t="s">
        <v>284</v>
      </c>
      <c r="B12" s="232"/>
      <c r="C12" s="232"/>
      <c r="D12" s="1619"/>
      <c r="E12" s="241"/>
      <c r="F12" s="232"/>
      <c r="G12" s="1101"/>
      <c r="H12" s="232"/>
      <c r="I12" s="1611"/>
      <c r="J12" s="1625"/>
      <c r="K12" s="1612"/>
      <c r="N12" s="1279" t="s">
        <v>1116</v>
      </c>
      <c r="O12" s="1622"/>
      <c r="P12" s="1622"/>
      <c r="Q12" s="1622"/>
    </row>
    <row r="13" spans="1:17" ht="17" thickTop="1">
      <c r="A13" s="247" t="s">
        <v>285</v>
      </c>
      <c r="B13" s="232"/>
      <c r="C13" s="232"/>
      <c r="D13" s="513">
        <f>SUM(D6:D12)</f>
        <v>0</v>
      </c>
      <c r="E13" s="1228"/>
      <c r="F13" s="232"/>
      <c r="G13" s="122"/>
      <c r="H13" s="232"/>
      <c r="I13" s="1277">
        <f>SUM(I7:I12)</f>
        <v>0</v>
      </c>
      <c r="J13" s="1277">
        <f>SUM(J7:J12)</f>
        <v>0</v>
      </c>
      <c r="K13" s="1278"/>
      <c r="N13" s="1279" t="s">
        <v>1117</v>
      </c>
      <c r="O13" s="1622"/>
      <c r="P13" s="1622"/>
      <c r="Q13" s="1622"/>
    </row>
    <row r="14" spans="1:17" ht="17" thickBot="1">
      <c r="A14" s="233"/>
      <c r="B14" s="232"/>
      <c r="C14" s="232"/>
      <c r="D14" s="232"/>
      <c r="E14" s="1238"/>
      <c r="F14" s="232"/>
      <c r="G14" s="232"/>
      <c r="H14" s="232"/>
      <c r="I14" s="1228"/>
      <c r="J14" s="1228"/>
      <c r="K14" s="235"/>
      <c r="N14" s="1279" t="s">
        <v>1118</v>
      </c>
      <c r="O14" s="1622"/>
      <c r="P14" s="1622"/>
      <c r="Q14" s="1622"/>
    </row>
    <row r="15" spans="1:17" ht="17" thickBot="1">
      <c r="A15" s="247" t="s">
        <v>286</v>
      </c>
      <c r="B15" s="234"/>
      <c r="C15" s="234"/>
      <c r="D15" s="234"/>
      <c r="E15" s="1228"/>
      <c r="F15" s="232"/>
      <c r="G15" s="1240"/>
      <c r="H15" s="244"/>
      <c r="I15" s="2908" t="s">
        <v>1119</v>
      </c>
      <c r="J15" s="2909"/>
      <c r="K15" s="2910"/>
      <c r="N15" s="1279" t="s">
        <v>1120</v>
      </c>
      <c r="O15" s="1622"/>
      <c r="P15" s="1622"/>
      <c r="Q15" s="1622"/>
    </row>
    <row r="16" spans="1:17" ht="17" thickBot="1">
      <c r="A16" s="1227" t="s">
        <v>287</v>
      </c>
      <c r="B16" s="232"/>
      <c r="C16" s="232"/>
      <c r="D16" s="1617">
        <f>J7</f>
        <v>0</v>
      </c>
      <c r="E16" s="241"/>
      <c r="F16" s="232"/>
      <c r="G16" s="1229" t="s">
        <v>795</v>
      </c>
      <c r="H16" s="244"/>
      <c r="I16" s="1230" t="s">
        <v>488</v>
      </c>
      <c r="J16" s="1231" t="s">
        <v>1110</v>
      </c>
      <c r="K16" s="1232" t="s">
        <v>847</v>
      </c>
      <c r="N16" s="1279" t="s">
        <v>1121</v>
      </c>
      <c r="O16" s="1622"/>
      <c r="P16" s="1622"/>
      <c r="Q16" s="1622"/>
    </row>
    <row r="17" spans="1:17" ht="16">
      <c r="A17" s="1227" t="s">
        <v>288</v>
      </c>
      <c r="B17" s="232"/>
      <c r="C17" s="232"/>
      <c r="D17" s="1618">
        <f>SUM(J8:J12)</f>
        <v>0</v>
      </c>
      <c r="E17" s="1228"/>
      <c r="F17" s="232"/>
      <c r="G17" s="12"/>
      <c r="H17" s="244"/>
      <c r="I17" s="1605"/>
      <c r="J17" s="1605"/>
      <c r="K17" s="1613"/>
      <c r="N17" s="1279" t="s">
        <v>1122</v>
      </c>
      <c r="O17" s="1622"/>
      <c r="P17" s="1622"/>
      <c r="Q17" s="1622"/>
    </row>
    <row r="18" spans="1:17" ht="16">
      <c r="A18" s="1227" t="s">
        <v>289</v>
      </c>
      <c r="B18" s="232"/>
      <c r="C18" s="232"/>
      <c r="D18" s="1618">
        <f>J32</f>
        <v>0</v>
      </c>
      <c r="E18" s="241"/>
      <c r="F18" s="232"/>
      <c r="G18" s="12"/>
      <c r="H18" s="244"/>
      <c r="I18" s="1605"/>
      <c r="J18" s="1605"/>
      <c r="K18" s="1613"/>
      <c r="N18" s="1279" t="s">
        <v>1123</v>
      </c>
      <c r="O18" s="1622"/>
      <c r="P18" s="1622"/>
      <c r="Q18" s="1622"/>
    </row>
    <row r="19" spans="1:17" ht="16">
      <c r="A19" s="1227" t="s">
        <v>290</v>
      </c>
      <c r="B19" s="232"/>
      <c r="C19" s="232"/>
      <c r="D19" s="1618">
        <f>J23</f>
        <v>0</v>
      </c>
      <c r="E19" s="1242"/>
      <c r="F19" s="1240"/>
      <c r="G19" s="12"/>
      <c r="H19" s="244"/>
      <c r="I19" s="1605"/>
      <c r="J19" s="1605"/>
      <c r="K19" s="1613"/>
      <c r="N19" s="1279" t="s">
        <v>1124</v>
      </c>
      <c r="O19" s="1622"/>
      <c r="P19" s="1622"/>
      <c r="Q19" s="1622"/>
    </row>
    <row r="20" spans="1:17" ht="16">
      <c r="A20" s="1227" t="s">
        <v>291</v>
      </c>
      <c r="B20" s="232"/>
      <c r="C20" s="232"/>
      <c r="D20" s="1618">
        <f>J54</f>
        <v>0</v>
      </c>
      <c r="E20" s="241"/>
      <c r="F20" s="232"/>
      <c r="G20" s="12"/>
      <c r="H20" s="244"/>
      <c r="I20" s="1605"/>
      <c r="J20" s="1605"/>
      <c r="K20" s="1613"/>
      <c r="N20" s="1279" t="s">
        <v>1125</v>
      </c>
      <c r="O20" s="1622"/>
      <c r="P20" s="1622"/>
      <c r="Q20" s="1622"/>
    </row>
    <row r="21" spans="1:17" ht="17" thickBot="1">
      <c r="A21" s="1227" t="s">
        <v>292</v>
      </c>
      <c r="B21" s="234"/>
      <c r="C21" s="234"/>
      <c r="D21" s="1619"/>
      <c r="E21" s="241"/>
      <c r="F21" s="232"/>
      <c r="G21" s="12"/>
      <c r="H21" s="244"/>
      <c r="I21" s="1605"/>
      <c r="J21" s="1605"/>
      <c r="K21" s="1613"/>
      <c r="N21" s="1279" t="s">
        <v>1126</v>
      </c>
      <c r="O21" s="1622"/>
      <c r="P21" s="1622"/>
      <c r="Q21" s="1622"/>
    </row>
    <row r="22" spans="1:17" ht="17" thickTop="1">
      <c r="A22" s="247" t="s">
        <v>293</v>
      </c>
      <c r="B22" s="232"/>
      <c r="C22" s="232"/>
      <c r="D22" s="240">
        <f>SUM(D16:D21)</f>
        <v>0</v>
      </c>
      <c r="E22" s="232"/>
      <c r="F22" s="232"/>
      <c r="G22" s="13"/>
      <c r="H22" s="244"/>
      <c r="I22" s="1605"/>
      <c r="J22" s="1605"/>
      <c r="K22" s="1613"/>
      <c r="N22" s="1279" t="s">
        <v>1127</v>
      </c>
      <c r="O22" s="1282">
        <f>SUM(O7:O21)</f>
        <v>0</v>
      </c>
      <c r="P22" s="1282">
        <f>SUM(P7:P21)</f>
        <v>0</v>
      </c>
      <c r="Q22" s="1282">
        <f>SUM(Q7:Q21)</f>
        <v>0</v>
      </c>
    </row>
    <row r="23" spans="1:17" ht="16">
      <c r="A23" s="233"/>
      <c r="B23" s="232"/>
      <c r="C23" s="232"/>
      <c r="D23" s="232"/>
      <c r="E23" s="241"/>
      <c r="F23" s="232"/>
      <c r="G23" s="232"/>
      <c r="H23" s="232"/>
      <c r="I23" s="1245">
        <f>SUM(I17:I22)</f>
        <v>0</v>
      </c>
      <c r="J23" s="1245">
        <f>SUM(J17:J22)</f>
        <v>0</v>
      </c>
      <c r="K23" s="1246"/>
      <c r="N23" s="1279" t="s">
        <v>1128</v>
      </c>
      <c r="O23" s="1622"/>
      <c r="P23" s="1622"/>
      <c r="Q23" s="1622"/>
    </row>
    <row r="24" spans="1:17" ht="17" thickBot="1">
      <c r="A24" s="247" t="s">
        <v>294</v>
      </c>
      <c r="B24" s="232"/>
      <c r="C24" s="232"/>
      <c r="D24" s="242">
        <f>D22*12</f>
        <v>0</v>
      </c>
      <c r="E24" s="241"/>
      <c r="F24" s="232"/>
      <c r="G24" s="232"/>
      <c r="H24" s="232"/>
      <c r="I24" s="1247"/>
      <c r="J24" s="1247"/>
      <c r="K24" s="1248"/>
      <c r="N24" s="1279" t="s">
        <v>1129</v>
      </c>
      <c r="O24" s="1282">
        <f>O22-O23</f>
        <v>0</v>
      </c>
      <c r="P24" s="1282">
        <f>P22-P23</f>
        <v>0</v>
      </c>
      <c r="Q24" s="1282">
        <f>Q22-Q23</f>
        <v>0</v>
      </c>
    </row>
    <row r="25" spans="1:17" ht="17" thickBot="1">
      <c r="A25" s="247" t="s">
        <v>295</v>
      </c>
      <c r="B25" s="232"/>
      <c r="C25" s="232"/>
      <c r="D25" s="514">
        <f>IF(D13=0,0,D24/D13)</f>
        <v>0</v>
      </c>
      <c r="E25" s="1228"/>
      <c r="F25" s="232"/>
      <c r="G25" s="232"/>
      <c r="H25" s="244"/>
      <c r="I25" s="2908" t="s">
        <v>1130</v>
      </c>
      <c r="J25" s="2909"/>
      <c r="K25" s="2910"/>
      <c r="N25" s="498" t="s">
        <v>1131</v>
      </c>
      <c r="O25" s="1622"/>
      <c r="P25" s="1622"/>
      <c r="Q25" s="1622"/>
    </row>
    <row r="26" spans="1:17" ht="17" thickBot="1">
      <c r="A26" s="247" t="s">
        <v>296</v>
      </c>
      <c r="B26" s="232"/>
      <c r="C26" s="232"/>
      <c r="D26" s="242">
        <f>D22*12/50*100</f>
        <v>0</v>
      </c>
      <c r="E26" s="1228"/>
      <c r="F26" s="232"/>
      <c r="G26" s="1229" t="s">
        <v>795</v>
      </c>
      <c r="H26" s="244"/>
      <c r="I26" s="1230" t="s">
        <v>488</v>
      </c>
      <c r="J26" s="1231" t="s">
        <v>1110</v>
      </c>
      <c r="K26" s="1232" t="s">
        <v>847</v>
      </c>
    </row>
    <row r="27" spans="1:17" ht="16">
      <c r="A27" s="233"/>
      <c r="B27" s="232"/>
      <c r="C27" s="232"/>
      <c r="D27" s="232"/>
      <c r="E27" s="1228"/>
      <c r="F27" s="1240"/>
      <c r="G27" s="12"/>
      <c r="H27" s="244"/>
      <c r="I27" s="1605"/>
      <c r="J27" s="1605"/>
      <c r="K27" s="1606"/>
    </row>
    <row r="28" spans="1:17" ht="16">
      <c r="A28" s="247" t="s">
        <v>297</v>
      </c>
      <c r="B28" s="232"/>
      <c r="C28" s="232"/>
      <c r="D28" s="232"/>
      <c r="E28" s="1228"/>
      <c r="F28" s="232"/>
      <c r="G28" s="12"/>
      <c r="H28" s="244"/>
      <c r="I28" s="1605"/>
      <c r="J28" s="1605"/>
      <c r="K28" s="1606"/>
    </row>
    <row r="29" spans="1:17" ht="16">
      <c r="A29" s="248" t="s">
        <v>298</v>
      </c>
      <c r="B29" s="232"/>
      <c r="C29" s="232"/>
      <c r="D29" s="1617">
        <f>D37</f>
        <v>0</v>
      </c>
      <c r="E29" s="1228"/>
      <c r="F29" s="232"/>
      <c r="G29" s="12"/>
      <c r="H29" s="244"/>
      <c r="I29" s="1605"/>
      <c r="J29" s="1605"/>
      <c r="K29" s="1606"/>
    </row>
    <row r="30" spans="1:17" ht="16">
      <c r="A30" s="248" t="s">
        <v>299</v>
      </c>
      <c r="B30" s="232"/>
      <c r="C30" s="232"/>
      <c r="D30" s="1618"/>
      <c r="E30" s="1228"/>
      <c r="F30" s="232"/>
      <c r="G30" s="12"/>
      <c r="H30" s="244"/>
      <c r="I30" s="1605"/>
      <c r="J30" s="1605"/>
      <c r="K30" s="1606"/>
    </row>
    <row r="31" spans="1:17" ht="16">
      <c r="A31" s="248" t="s">
        <v>300</v>
      </c>
      <c r="B31" s="232"/>
      <c r="C31" s="232"/>
      <c r="D31" s="1618"/>
      <c r="E31" s="1228"/>
      <c r="F31" s="232"/>
      <c r="G31" s="13"/>
      <c r="H31" s="244"/>
      <c r="I31" s="1605"/>
      <c r="J31" s="1605"/>
      <c r="K31" s="1606"/>
    </row>
    <row r="32" spans="1:17" ht="17" thickBot="1">
      <c r="A32" s="248" t="s">
        <v>218</v>
      </c>
      <c r="B32" s="232"/>
      <c r="C32" s="232"/>
      <c r="D32" s="1618"/>
      <c r="E32" s="1228"/>
      <c r="F32" s="232"/>
      <c r="G32" s="245"/>
      <c r="H32" s="244"/>
      <c r="I32" s="510">
        <f>SUM(I27:I31)</f>
        <v>0</v>
      </c>
      <c r="J32" s="510">
        <f>SUM(J27:J31)</f>
        <v>0</v>
      </c>
      <c r="K32" s="1251"/>
    </row>
    <row r="33" spans="1:11" ht="18" thickTop="1" thickBot="1">
      <c r="A33" s="233"/>
      <c r="B33" s="232"/>
      <c r="C33" s="232"/>
      <c r="D33" s="240">
        <f>SUM(D29:D32)</f>
        <v>0</v>
      </c>
      <c r="E33" s="241"/>
      <c r="F33" s="232"/>
      <c r="G33" s="232"/>
      <c r="H33" s="232"/>
      <c r="I33" s="1228"/>
      <c r="J33" s="1228"/>
      <c r="K33" s="235"/>
    </row>
    <row r="34" spans="1:11" ht="17" thickBot="1">
      <c r="A34" s="233"/>
      <c r="B34" s="232"/>
      <c r="C34" s="232"/>
      <c r="D34" s="515"/>
      <c r="E34" s="1228"/>
      <c r="F34" s="232"/>
      <c r="G34" s="232"/>
      <c r="H34" s="232"/>
      <c r="I34" s="2908" t="s">
        <v>1132</v>
      </c>
      <c r="J34" s="2909"/>
      <c r="K34" s="2910"/>
    </row>
    <row r="35" spans="1:11" ht="17" thickBot="1">
      <c r="A35" s="247" t="s">
        <v>301</v>
      </c>
      <c r="B35" s="244"/>
      <c r="C35" s="244"/>
      <c r="D35" s="1620"/>
      <c r="E35" s="241"/>
      <c r="F35" s="232"/>
      <c r="G35" s="1252" t="s">
        <v>795</v>
      </c>
      <c r="H35" s="1253" t="s">
        <v>1133</v>
      </c>
      <c r="I35" s="1254" t="s">
        <v>488</v>
      </c>
      <c r="J35" s="1254" t="s">
        <v>1110</v>
      </c>
      <c r="K35" s="1255" t="s">
        <v>847</v>
      </c>
    </row>
    <row r="36" spans="1:11" ht="16">
      <c r="A36" s="247" t="s">
        <v>302</v>
      </c>
      <c r="B36" s="244"/>
      <c r="C36" s="244"/>
      <c r="D36" s="516">
        <f>D35-D26</f>
        <v>0</v>
      </c>
      <c r="E36" s="1256"/>
      <c r="F36" s="232"/>
      <c r="G36" s="12"/>
      <c r="H36" s="1600"/>
      <c r="I36" s="1605"/>
      <c r="J36" s="1605"/>
      <c r="K36" s="1606"/>
    </row>
    <row r="37" spans="1:11" ht="16">
      <c r="A37" s="247" t="s">
        <v>1134</v>
      </c>
      <c r="B37" s="1258"/>
      <c r="C37" s="244"/>
      <c r="D37" s="516">
        <f>IF(D26&gt;D35,0,D36/12)</f>
        <v>0</v>
      </c>
      <c r="E37" s="241"/>
      <c r="F37" s="232"/>
      <c r="G37" s="12"/>
      <c r="H37" s="1600"/>
      <c r="I37" s="1605"/>
      <c r="J37" s="1605"/>
      <c r="K37" s="1606"/>
    </row>
    <row r="38" spans="1:11" ht="15.75" customHeight="1">
      <c r="A38" s="1259"/>
      <c r="B38" s="1260"/>
      <c r="C38" s="244"/>
      <c r="D38" s="243"/>
      <c r="E38" s="244"/>
      <c r="F38" s="232"/>
      <c r="G38" s="12"/>
      <c r="H38" s="1600"/>
      <c r="I38" s="1605"/>
      <c r="J38" s="1605"/>
      <c r="K38" s="1606"/>
    </row>
    <row r="39" spans="1:11" ht="16">
      <c r="A39" s="1262"/>
      <c r="B39" s="1263"/>
      <c r="C39" s="244"/>
      <c r="D39" s="330"/>
      <c r="E39" s="244"/>
      <c r="F39" s="232"/>
      <c r="G39" s="12"/>
      <c r="H39" s="1601"/>
      <c r="I39" s="1605"/>
      <c r="J39" s="1605"/>
      <c r="K39" s="1606"/>
    </row>
    <row r="40" spans="1:11" ht="15.75" customHeight="1">
      <c r="A40" s="247" t="s">
        <v>303</v>
      </c>
      <c r="B40" s="1258"/>
      <c r="C40" s="1258"/>
      <c r="D40" s="517">
        <f>D26+(D33*12)</f>
        <v>0</v>
      </c>
      <c r="E40" s="1258"/>
      <c r="F40" s="245"/>
      <c r="G40" s="12"/>
      <c r="H40" s="1600"/>
      <c r="I40" s="1605"/>
      <c r="J40" s="1607"/>
      <c r="K40" s="1606"/>
    </row>
    <row r="41" spans="1:11" ht="16">
      <c r="A41" s="1268" t="s">
        <v>304</v>
      </c>
      <c r="B41" s="1260"/>
      <c r="C41" s="1258"/>
      <c r="D41" s="517">
        <f>D13</f>
        <v>0</v>
      </c>
      <c r="E41" s="1258"/>
      <c r="F41" s="245"/>
      <c r="G41" s="12"/>
      <c r="H41" s="1600"/>
      <c r="I41" s="1605"/>
      <c r="J41" s="1605"/>
      <c r="K41" s="1606"/>
    </row>
    <row r="42" spans="1:11" ht="17">
      <c r="A42" s="1269" t="s">
        <v>981</v>
      </c>
      <c r="B42" s="1258"/>
      <c r="C42" s="245"/>
      <c r="D42" s="1270">
        <f>D40-D41</f>
        <v>0</v>
      </c>
      <c r="E42" s="515"/>
      <c r="F42" s="1271"/>
      <c r="G42" s="12"/>
      <c r="H42" s="1600"/>
      <c r="I42" s="1605"/>
      <c r="J42" s="1605"/>
      <c r="K42" s="1606"/>
    </row>
    <row r="43" spans="1:11" ht="17" thickBot="1">
      <c r="A43" s="1274"/>
      <c r="B43" s="1258"/>
      <c r="C43" s="245"/>
      <c r="D43" s="330"/>
      <c r="E43" s="515"/>
      <c r="F43" s="1271"/>
      <c r="G43" s="12"/>
      <c r="H43" s="1600"/>
      <c r="I43" s="1605"/>
      <c r="J43" s="1605"/>
      <c r="K43" s="1606"/>
    </row>
    <row r="44" spans="1:11" ht="16">
      <c r="A44" s="247" t="s">
        <v>305</v>
      </c>
      <c r="B44" s="245"/>
      <c r="C44" s="245"/>
      <c r="D44" s="1621">
        <f>IF(D45="Yes",IF((D40-D41)&lt;24000,24000,(D40-D41)),0)</f>
        <v>0</v>
      </c>
      <c r="E44" s="1242"/>
      <c r="F44" s="245"/>
      <c r="G44" s="12"/>
      <c r="H44" s="1600"/>
      <c r="I44" s="1605"/>
      <c r="J44" s="1605"/>
      <c r="K44" s="1606"/>
    </row>
    <row r="45" spans="1:11" ht="17">
      <c r="A45" s="3111" t="s">
        <v>306</v>
      </c>
      <c r="B45" s="3112"/>
      <c r="C45" s="3112"/>
      <c r="D45" s="377" t="s">
        <v>123</v>
      </c>
      <c r="E45" s="241"/>
      <c r="F45" s="245"/>
      <c r="G45" s="12"/>
      <c r="H45" s="1600"/>
      <c r="I45" s="1605"/>
      <c r="J45" s="1605"/>
      <c r="K45" s="1606"/>
    </row>
    <row r="46" spans="1:11" ht="15.75" customHeight="1">
      <c r="A46" s="937"/>
      <c r="B46" s="122"/>
      <c r="C46" s="122"/>
      <c r="D46" s="244"/>
      <c r="E46" s="245"/>
      <c r="F46" s="245"/>
      <c r="G46" s="12"/>
      <c r="H46" s="1602"/>
      <c r="I46" s="1605"/>
      <c r="J46" s="1605"/>
      <c r="K46" s="1606"/>
    </row>
    <row r="47" spans="1:11" ht="15.75" customHeight="1">
      <c r="A47" s="937"/>
      <c r="B47" s="3046" t="s">
        <v>1135</v>
      </c>
      <c r="C47" s="3046"/>
      <c r="D47" s="244"/>
      <c r="E47" s="245"/>
      <c r="F47" s="245"/>
      <c r="G47" s="12"/>
      <c r="H47" s="1603"/>
      <c r="I47" s="1605"/>
      <c r="J47" s="1605"/>
      <c r="K47" s="1606"/>
    </row>
    <row r="48" spans="1:11" ht="17">
      <c r="A48" s="937"/>
      <c r="B48" s="909" t="s">
        <v>1136</v>
      </c>
      <c r="C48" s="909" t="s">
        <v>1137</v>
      </c>
      <c r="D48" s="244"/>
      <c r="E48" s="330"/>
      <c r="F48" s="330"/>
      <c r="G48" s="12"/>
      <c r="H48" s="1604"/>
      <c r="I48" s="1605"/>
      <c r="J48" s="1605"/>
      <c r="K48" s="1606"/>
    </row>
    <row r="49" spans="1:11" ht="16">
      <c r="A49" s="937"/>
      <c r="B49" s="250"/>
      <c r="C49" s="250"/>
      <c r="D49" s="244"/>
      <c r="E49" s="330"/>
      <c r="F49" s="330"/>
      <c r="G49" s="12"/>
      <c r="H49" s="1604"/>
      <c r="I49" s="1605"/>
      <c r="J49" s="1605"/>
      <c r="K49" s="1606"/>
    </row>
    <row r="50" spans="1:11" ht="16">
      <c r="A50" s="937"/>
      <c r="B50" s="250"/>
      <c r="C50" s="250"/>
      <c r="D50" s="244"/>
      <c r="E50" s="330"/>
      <c r="F50" s="330"/>
      <c r="G50" s="12"/>
      <c r="H50" s="1604"/>
      <c r="I50" s="1605"/>
      <c r="J50" s="1605"/>
      <c r="K50" s="1606"/>
    </row>
    <row r="51" spans="1:11" ht="16">
      <c r="A51" s="248"/>
      <c r="B51" s="250"/>
      <c r="C51" s="250"/>
      <c r="D51" s="244"/>
      <c r="E51" s="330"/>
      <c r="F51" s="330"/>
      <c r="G51" s="12"/>
      <c r="H51" s="1604"/>
      <c r="I51" s="1605"/>
      <c r="J51" s="1605"/>
      <c r="K51" s="1606"/>
    </row>
    <row r="52" spans="1:11" ht="16">
      <c r="A52" s="248"/>
      <c r="B52" s="1275">
        <f>IFERROR(AVERAGE(B49:B51),0)</f>
        <v>0</v>
      </c>
      <c r="C52" s="1275">
        <f>IFERROR(AVERAGE(C49:C51),0)</f>
        <v>0</v>
      </c>
      <c r="D52" s="244"/>
      <c r="E52" s="330"/>
      <c r="F52" s="330"/>
      <c r="G52" s="12"/>
      <c r="H52" s="1604"/>
      <c r="I52" s="1605"/>
      <c r="J52" s="1605"/>
      <c r="K52" s="1606"/>
    </row>
    <row r="53" spans="1:11" ht="16">
      <c r="A53" s="248"/>
      <c r="B53" s="244"/>
      <c r="C53" s="244"/>
      <c r="D53" s="244"/>
      <c r="E53" s="330"/>
      <c r="F53" s="330"/>
      <c r="G53" s="13"/>
      <c r="H53" s="1604"/>
      <c r="I53" s="1608"/>
      <c r="J53" s="1608"/>
      <c r="K53" s="1606"/>
    </row>
    <row r="54" spans="1:11" ht="16">
      <c r="A54" s="248"/>
      <c r="B54" s="244"/>
      <c r="C54" s="244"/>
      <c r="D54" s="244"/>
      <c r="E54" s="244"/>
      <c r="F54" s="244"/>
      <c r="G54" s="244"/>
      <c r="H54" s="1245">
        <f>SUM(H36:H53)</f>
        <v>0</v>
      </c>
      <c r="I54" s="1245">
        <f>SUM(I36:I53)</f>
        <v>0</v>
      </c>
      <c r="J54" s="1245">
        <f>SUM(J36:J53)</f>
        <v>0</v>
      </c>
      <c r="K54" s="1246"/>
    </row>
    <row r="55" spans="1:11" ht="16">
      <c r="A55" s="248"/>
      <c r="B55" s="244"/>
      <c r="C55" s="244"/>
      <c r="D55" s="244"/>
      <c r="E55" s="244"/>
      <c r="F55" s="244"/>
      <c r="G55" s="244"/>
      <c r="H55" s="244"/>
      <c r="I55" s="244"/>
      <c r="J55" s="244"/>
      <c r="K55" s="251"/>
    </row>
    <row r="56" spans="1:11" ht="17" thickBot="1">
      <c r="A56" s="252"/>
      <c r="B56" s="249"/>
      <c r="C56" s="249"/>
      <c r="D56" s="249"/>
      <c r="E56" s="249"/>
      <c r="F56" s="249"/>
      <c r="G56" s="249"/>
      <c r="H56" s="3047" t="s">
        <v>1138</v>
      </c>
      <c r="I56" s="3047"/>
      <c r="J56" s="3047"/>
      <c r="K56" s="1276">
        <f>IFERROR(1-(I54/H54),0)</f>
        <v>0</v>
      </c>
    </row>
    <row r="57" spans="1:11" ht="15" customHeight="1">
      <c r="A57" s="3033" t="s">
        <v>1139</v>
      </c>
      <c r="B57" s="3034"/>
      <c r="C57" s="3034"/>
      <c r="D57" s="3034"/>
      <c r="E57" s="3034"/>
      <c r="F57" s="3034"/>
      <c r="G57" s="3034"/>
      <c r="H57" s="3034"/>
      <c r="I57" s="3034"/>
      <c r="J57" s="3034"/>
      <c r="K57" s="3035"/>
    </row>
    <row r="58" spans="1:11" ht="15" customHeight="1">
      <c r="A58" s="3036"/>
      <c r="B58" s="3037"/>
      <c r="C58" s="3037"/>
      <c r="D58" s="3037"/>
      <c r="E58" s="3037"/>
      <c r="F58" s="3037"/>
      <c r="G58" s="3037"/>
      <c r="H58" s="3037"/>
      <c r="I58" s="3037"/>
      <c r="J58" s="3037"/>
      <c r="K58" s="3038"/>
    </row>
    <row r="59" spans="1:11" ht="15" customHeight="1">
      <c r="A59" s="3036"/>
      <c r="B59" s="3037"/>
      <c r="C59" s="3037"/>
      <c r="D59" s="3037"/>
      <c r="E59" s="3037"/>
      <c r="F59" s="3037"/>
      <c r="G59" s="3037"/>
      <c r="H59" s="3037"/>
      <c r="I59" s="3037"/>
      <c r="J59" s="3037"/>
      <c r="K59" s="3038"/>
    </row>
    <row r="60" spans="1:11" ht="15" customHeight="1">
      <c r="A60" s="3036"/>
      <c r="B60" s="3037"/>
      <c r="C60" s="3037"/>
      <c r="D60" s="3037"/>
      <c r="E60" s="3037"/>
      <c r="F60" s="3037"/>
      <c r="G60" s="3037"/>
      <c r="H60" s="3037"/>
      <c r="I60" s="3037"/>
      <c r="J60" s="3037"/>
      <c r="K60" s="3038"/>
    </row>
    <row r="61" spans="1:11" ht="15" customHeight="1">
      <c r="A61" s="3036"/>
      <c r="B61" s="3037"/>
      <c r="C61" s="3037"/>
      <c r="D61" s="3037"/>
      <c r="E61" s="3037"/>
      <c r="F61" s="3037"/>
      <c r="G61" s="3037"/>
      <c r="H61" s="3037"/>
      <c r="I61" s="3037"/>
      <c r="J61" s="3037"/>
      <c r="K61" s="3038"/>
    </row>
    <row r="62" spans="1:11" ht="15" customHeight="1">
      <c r="A62" s="3036"/>
      <c r="B62" s="3037"/>
      <c r="C62" s="3037"/>
      <c r="D62" s="3037"/>
      <c r="E62" s="3037"/>
      <c r="F62" s="3037"/>
      <c r="G62" s="3037"/>
      <c r="H62" s="3037"/>
      <c r="I62" s="3037"/>
      <c r="J62" s="3037"/>
      <c r="K62" s="3038"/>
    </row>
    <row r="63" spans="1:11" ht="15" customHeight="1">
      <c r="A63" s="3036"/>
      <c r="B63" s="3037"/>
      <c r="C63" s="3037"/>
      <c r="D63" s="3037"/>
      <c r="E63" s="3037"/>
      <c r="F63" s="3037"/>
      <c r="G63" s="3037"/>
      <c r="H63" s="3037"/>
      <c r="I63" s="3037"/>
      <c r="J63" s="3037"/>
      <c r="K63" s="3038"/>
    </row>
    <row r="64" spans="1:11" ht="15" customHeight="1">
      <c r="A64" s="3036"/>
      <c r="B64" s="3037"/>
      <c r="C64" s="3037"/>
      <c r="D64" s="3037"/>
      <c r="E64" s="3037"/>
      <c r="F64" s="3037"/>
      <c r="G64" s="3037"/>
      <c r="H64" s="3037"/>
      <c r="I64" s="3037"/>
      <c r="J64" s="3037"/>
      <c r="K64" s="3038"/>
    </row>
    <row r="65" spans="1:11" ht="15" customHeight="1">
      <c r="A65" s="3036"/>
      <c r="B65" s="3037"/>
      <c r="C65" s="3037"/>
      <c r="D65" s="3037"/>
      <c r="E65" s="3037"/>
      <c r="F65" s="3037"/>
      <c r="G65" s="3037"/>
      <c r="H65" s="3037"/>
      <c r="I65" s="3037"/>
      <c r="J65" s="3037"/>
      <c r="K65" s="3038"/>
    </row>
    <row r="66" spans="1:11" ht="15" customHeight="1">
      <c r="A66" s="3036"/>
      <c r="B66" s="3037"/>
      <c r="C66" s="3037"/>
      <c r="D66" s="3037"/>
      <c r="E66" s="3037"/>
      <c r="F66" s="3037"/>
      <c r="G66" s="3037"/>
      <c r="H66" s="3037"/>
      <c r="I66" s="3037"/>
      <c r="J66" s="3037"/>
      <c r="K66" s="3038"/>
    </row>
    <row r="67" spans="1:11" ht="15.75" customHeight="1" thickBot="1">
      <c r="A67" s="3039"/>
      <c r="B67" s="3040"/>
      <c r="C67" s="3040"/>
      <c r="D67" s="3040"/>
      <c r="E67" s="3040"/>
      <c r="F67" s="3040"/>
      <c r="G67" s="3040"/>
      <c r="H67" s="3040"/>
      <c r="I67" s="3040"/>
      <c r="J67" s="3040"/>
      <c r="K67" s="3041"/>
    </row>
  </sheetData>
  <sheetProtection algorithmName="SHA-512" hashValue="N8+99gZmAr1xGpy/AjknJlb+MRUjjj/qM/EE/+JmbjfRoupUUOg2jmAC6FIrfckcjwWDFlw1teOqo7Y/W0f0bA==" saltValue="E8kKUeofehKT6bJexhk3Xg==" spinCount="100000" sheet="1" scenarios="1" formatCells="0" formatColumns="0" formatRows="0"/>
  <customSheetViews>
    <customSheetView guid="{EDC0EC15-0264-48C8-A990-093960AE8EF3}" scale="85" showPageBreaks="1" showGridLines="0" printArea="1">
      <selection activeCell="B3" sqref="B3:J3"/>
      <pageMargins left="0" right="0" top="0" bottom="0" header="0" footer="0"/>
      <printOptions horizontalCentered="1"/>
      <pageSetup scale="72" orientation="portrait" r:id="rId1"/>
      <headerFooter differentFirst="1">
        <firstHeader>&amp;L&amp;G&amp;C&amp;8
&amp;18Credit Memo</firstHeader>
      </headerFooter>
    </customSheetView>
    <customSheetView guid="{6E1FDEE6-49D0-4876-8C7C-09893145D2CE}" scale="85" showPageBreaks="1" showGridLines="0" printArea="1" state="hidden">
      <selection activeCell="U1" sqref="U1:W1"/>
      <pageMargins left="0" right="0" top="0" bottom="0" header="0" footer="0"/>
      <printOptions horizontalCentered="1"/>
      <pageSetup scale="72" orientation="portrait" r:id="rId2"/>
      <headerFooter differentFirst="1">
        <firstHeader>&amp;L&amp;G&amp;C&amp;8
&amp;18Credit Memo</firstHeader>
      </headerFooter>
    </customSheetView>
    <customSheetView guid="{DB1F6E98-7FCC-445F-9DA6-47D8BF8BE969}" scale="85" showPageBreaks="1" showGridLines="0" printArea="1" state="hidden">
      <selection activeCell="U1" sqref="U1:W1"/>
      <pageMargins left="0" right="0" top="0" bottom="0" header="0" footer="0"/>
      <printOptions horizontalCentered="1"/>
      <pageSetup scale="72" orientation="portrait" r:id="rId3"/>
      <headerFooter differentFirst="1">
        <firstHeader>&amp;L&amp;G&amp;C&amp;8
&amp;18Credit Memo</firstHeader>
      </headerFooter>
    </customSheetView>
    <customSheetView guid="{C02CA8E5-5D4C-45E5-BC4A-4C9BE481059B}" scale="85" showPageBreaks="1" showGridLines="0" printArea="1" state="hidden">
      <selection activeCell="U1" sqref="U1:W1"/>
      <pageMargins left="0" right="0" top="0" bottom="0" header="0" footer="0"/>
      <printOptions horizontalCentered="1"/>
      <pageSetup scale="72" orientation="portrait" r:id="rId4"/>
      <headerFooter differentFirst="1">
        <firstHeader>&amp;L&amp;G&amp;C&amp;8
&amp;18Credit Memo</firstHeader>
      </headerFooter>
    </customSheetView>
  </customSheetViews>
  <mergeCells count="15">
    <mergeCell ref="A1:K1"/>
    <mergeCell ref="B3:J3"/>
    <mergeCell ref="I5:K5"/>
    <mergeCell ref="E4:E5"/>
    <mergeCell ref="F4:G4"/>
    <mergeCell ref="A57:K67"/>
    <mergeCell ref="H56:J56"/>
    <mergeCell ref="N4:Q4"/>
    <mergeCell ref="N5:Q5"/>
    <mergeCell ref="F5:G5"/>
    <mergeCell ref="I15:K15"/>
    <mergeCell ref="I25:K25"/>
    <mergeCell ref="I34:K34"/>
    <mergeCell ref="B47:C47"/>
    <mergeCell ref="A45:C45"/>
  </mergeCells>
  <conditionalFormatting sqref="P18:Q18">
    <cfRule type="containsText" dxfId="21" priority="1" operator="containsText" text="BoA BPS Loan">
      <formula>NOT(ISERROR(SEARCH("BoA BPS Loan",P18)))</formula>
    </cfRule>
  </conditionalFormatting>
  <printOptions horizontalCentered="1"/>
  <pageMargins left="0.7" right="0.7" top="0.75" bottom="0.75" header="0.3" footer="0.3"/>
  <pageSetup scale="64" orientation="portrait" r:id="rId5"/>
  <headerFooter differentFirst="1">
    <firstHeader>&amp;L&amp;G&amp;C&amp;8
&amp;18Credit Memo</firstHeader>
  </headerFooter>
  <drawing r:id="rId6"/>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72B9CFE-D533-4A96-AF34-FA989E18E9B2}">
          <x14:formula1>
            <xm:f>Lists!$C$2:$C$4</xm:f>
          </x14:formula1>
          <xm:sqref>D45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dimension ref="A1:Q54"/>
  <sheetViews>
    <sheetView showGridLines="0" topLeftCell="E1" zoomScale="85" zoomScaleNormal="85" workbookViewId="0">
      <selection activeCell="F18" sqref="F18"/>
    </sheetView>
  </sheetViews>
  <sheetFormatPr baseColWidth="10" defaultColWidth="8.83203125" defaultRowHeight="15"/>
  <cols>
    <col min="1" max="1" width="9.6640625" customWidth="1"/>
    <col min="2" max="2" width="23.1640625" customWidth="1"/>
    <col min="3" max="4" width="13.33203125" customWidth="1"/>
    <col min="5" max="5" width="5.33203125" customWidth="1"/>
    <col min="6" max="6" width="32" customWidth="1"/>
    <col min="7" max="7" width="13.33203125" customWidth="1"/>
    <col min="9" max="10" width="10.6640625" customWidth="1"/>
  </cols>
  <sheetData>
    <row r="1" spans="1:17" ht="17" thickBot="1">
      <c r="A1" s="3066" t="s">
        <v>1140</v>
      </c>
      <c r="B1" s="3067"/>
      <c r="C1" s="3067"/>
      <c r="D1" s="3067"/>
      <c r="E1" s="3067"/>
      <c r="F1" s="3067"/>
      <c r="G1" s="3068"/>
      <c r="J1" s="1179"/>
      <c r="K1" s="1179"/>
      <c r="L1" s="1179"/>
    </row>
    <row r="2" spans="1:17" ht="16">
      <c r="A2" s="1167"/>
      <c r="B2" s="1163"/>
      <c r="C2" s="1163"/>
      <c r="D2" s="1163"/>
      <c r="E2" s="1163"/>
      <c r="F2" s="1163"/>
      <c r="G2" s="1154"/>
    </row>
    <row r="3" spans="1:17" ht="15.75" customHeight="1">
      <c r="A3" s="1161" t="s">
        <v>1141</v>
      </c>
      <c r="B3" s="3069" t="str">
        <f>'Per Need 4'!B3:J3</f>
        <v>{Name of Guarantor/Principal}</v>
      </c>
      <c r="C3" s="3070"/>
      <c r="D3" s="3070"/>
      <c r="E3" s="3070"/>
      <c r="F3" s="3071"/>
      <c r="G3" s="1283"/>
    </row>
    <row r="4" spans="1:17" ht="16">
      <c r="A4" s="1161" t="s">
        <v>1142</v>
      </c>
      <c r="B4" s="254"/>
      <c r="C4" s="1148"/>
      <c r="D4" s="1284"/>
      <c r="E4" s="1163"/>
      <c r="F4" s="1163"/>
      <c r="G4" s="1154"/>
      <c r="H4" s="60"/>
      <c r="I4" s="60"/>
      <c r="J4" s="60"/>
      <c r="K4" s="60"/>
      <c r="L4" s="60"/>
      <c r="M4" s="60"/>
      <c r="N4" s="60"/>
      <c r="O4" s="60"/>
      <c r="P4" s="60"/>
      <c r="Q4" s="60"/>
    </row>
    <row r="5" spans="1:17" ht="17" thickBot="1">
      <c r="A5" s="1285"/>
      <c r="B5" s="1286"/>
      <c r="C5" s="1287"/>
      <c r="D5" s="1288"/>
      <c r="E5" s="1288"/>
      <c r="F5" s="1286"/>
      <c r="G5" s="1154"/>
      <c r="H5" s="60"/>
      <c r="I5" s="60"/>
      <c r="J5" s="60"/>
      <c r="K5" s="60"/>
      <c r="L5" s="60"/>
      <c r="M5" s="60"/>
      <c r="N5" s="60"/>
      <c r="O5" s="60"/>
      <c r="P5" s="60"/>
      <c r="Q5" s="60"/>
    </row>
    <row r="6" spans="1:17" ht="16">
      <c r="A6" s="3063" t="s">
        <v>1143</v>
      </c>
      <c r="B6" s="3064"/>
      <c r="C6" s="3064"/>
      <c r="D6" s="1163"/>
      <c r="E6" s="1163"/>
      <c r="F6" s="3064" t="s">
        <v>1144</v>
      </c>
      <c r="G6" s="3065"/>
      <c r="H6" s="60"/>
      <c r="I6" s="3061" t="s">
        <v>1145</v>
      </c>
      <c r="J6" s="3062"/>
      <c r="K6" s="3062"/>
      <c r="L6" s="3062"/>
      <c r="M6" s="1289"/>
      <c r="N6" s="1289"/>
      <c r="O6" s="1289"/>
      <c r="P6" s="1289"/>
      <c r="Q6" s="1290"/>
    </row>
    <row r="7" spans="1:17" ht="16">
      <c r="A7" s="3063" t="s">
        <v>1146</v>
      </c>
      <c r="B7" s="3064"/>
      <c r="C7" s="3064"/>
      <c r="D7" s="1148" t="s">
        <v>1128</v>
      </c>
      <c r="E7" s="1291" t="s">
        <v>795</v>
      </c>
      <c r="F7" s="3064" t="s">
        <v>1146</v>
      </c>
      <c r="G7" s="3065"/>
      <c r="H7" s="60"/>
      <c r="I7" s="3057" t="s">
        <v>1147</v>
      </c>
      <c r="J7" s="3058"/>
      <c r="K7" s="3058"/>
      <c r="L7" s="3058"/>
      <c r="M7" s="60"/>
      <c r="N7" s="60"/>
      <c r="O7" s="60"/>
      <c r="P7" s="60"/>
      <c r="Q7" s="1292"/>
    </row>
    <row r="8" spans="1:17" ht="16">
      <c r="A8" s="1167" t="s">
        <v>1148</v>
      </c>
      <c r="B8" s="1163"/>
      <c r="C8" s="14">
        <v>0</v>
      </c>
      <c r="D8" s="659">
        <v>0</v>
      </c>
      <c r="E8" s="16"/>
      <c r="F8" s="1195" t="str">
        <f>A8</f>
        <v>Cash on Hand &amp; In Banks</v>
      </c>
      <c r="G8" s="1293">
        <f t="shared" ref="G8:G13" si="0">C8+D8</f>
        <v>0</v>
      </c>
      <c r="H8" s="60"/>
      <c r="I8" s="1294"/>
      <c r="J8" s="1295" t="s">
        <v>100</v>
      </c>
      <c r="K8" s="1318"/>
      <c r="L8" s="60"/>
      <c r="M8" s="60"/>
      <c r="N8" s="60"/>
      <c r="O8" s="60"/>
      <c r="P8" s="60"/>
      <c r="Q8" s="1292"/>
    </row>
    <row r="9" spans="1:17" ht="16">
      <c r="A9" s="1167" t="s">
        <v>1149</v>
      </c>
      <c r="B9" s="1163"/>
      <c r="C9" s="15">
        <v>0</v>
      </c>
      <c r="D9" s="660">
        <v>0</v>
      </c>
      <c r="E9" s="17"/>
      <c r="F9" s="1195" t="str">
        <f t="shared" ref="F9:F21" si="1">A9</f>
        <v>Savings Accounts</v>
      </c>
      <c r="G9" s="1296">
        <f t="shared" si="0"/>
        <v>0</v>
      </c>
      <c r="H9" s="60"/>
      <c r="I9" s="1294"/>
      <c r="J9" s="1520" t="s">
        <v>1150</v>
      </c>
      <c r="K9" s="1279"/>
      <c r="L9" s="60"/>
      <c r="M9" s="60"/>
      <c r="N9" s="60"/>
      <c r="O9" s="60"/>
      <c r="P9" s="60"/>
      <c r="Q9" s="1292"/>
    </row>
    <row r="10" spans="1:17" ht="16">
      <c r="A10" s="1167" t="s">
        <v>1151</v>
      </c>
      <c r="B10" s="1163"/>
      <c r="C10" s="15">
        <v>0</v>
      </c>
      <c r="D10" s="660">
        <v>0</v>
      </c>
      <c r="E10" s="17"/>
      <c r="F10" s="1195" t="str">
        <f t="shared" si="1"/>
        <v>IRA/Retirement Accounts</v>
      </c>
      <c r="G10" s="1296">
        <f t="shared" si="0"/>
        <v>0</v>
      </c>
      <c r="H10" s="60"/>
      <c r="I10" s="1294"/>
      <c r="J10" s="1520" t="s">
        <v>1152</v>
      </c>
      <c r="K10" s="1279"/>
      <c r="L10" s="60"/>
      <c r="M10" s="60"/>
      <c r="N10" s="60"/>
      <c r="O10" s="60"/>
      <c r="P10" s="60"/>
      <c r="Q10" s="1292"/>
    </row>
    <row r="11" spans="1:17" ht="16">
      <c r="A11" s="1155" t="s">
        <v>1153</v>
      </c>
      <c r="B11" s="1150"/>
      <c r="C11" s="15">
        <v>0</v>
      </c>
      <c r="D11" s="660">
        <v>0</v>
      </c>
      <c r="E11" s="17"/>
      <c r="F11" s="1195" t="str">
        <f t="shared" si="1"/>
        <v>Accounts &amp; Notes Receivable</v>
      </c>
      <c r="G11" s="1296">
        <f t="shared" si="0"/>
        <v>0</v>
      </c>
      <c r="H11" s="60"/>
      <c r="I11" s="1294"/>
      <c r="J11" s="1520" t="s">
        <v>1154</v>
      </c>
      <c r="K11" s="1279"/>
      <c r="L11" s="60"/>
      <c r="M11" s="60"/>
      <c r="N11" s="60"/>
      <c r="O11" s="60"/>
      <c r="P11" s="60"/>
      <c r="Q11" s="1292"/>
    </row>
    <row r="12" spans="1:17" ht="16">
      <c r="A12" s="1167" t="s">
        <v>1155</v>
      </c>
      <c r="B12" s="1163"/>
      <c r="C12" s="15">
        <v>0</v>
      </c>
      <c r="D12" s="660">
        <v>0</v>
      </c>
      <c r="E12" s="17"/>
      <c r="F12" s="1195" t="str">
        <f t="shared" si="1"/>
        <v>CSVLI</v>
      </c>
      <c r="G12" s="1296">
        <f t="shared" si="0"/>
        <v>0</v>
      </c>
      <c r="H12" s="60"/>
      <c r="I12" s="1294"/>
      <c r="J12" s="1295" t="s">
        <v>1156</v>
      </c>
      <c r="K12" s="1279"/>
      <c r="L12" s="60"/>
      <c r="M12" s="60"/>
      <c r="N12" s="60"/>
      <c r="O12" s="60"/>
      <c r="P12" s="60"/>
      <c r="Q12" s="1292"/>
    </row>
    <row r="13" spans="1:17" ht="16">
      <c r="A13" s="1167" t="s">
        <v>1157</v>
      </c>
      <c r="B13" s="1163"/>
      <c r="C13" s="15">
        <v>0</v>
      </c>
      <c r="D13" s="660">
        <v>0</v>
      </c>
      <c r="E13" s="17"/>
      <c r="F13" s="1195" t="str">
        <f t="shared" si="1"/>
        <v>Stocks &amp; Bond (Liquid)</v>
      </c>
      <c r="G13" s="1296">
        <f t="shared" si="0"/>
        <v>0</v>
      </c>
      <c r="H13" s="60"/>
      <c r="I13" s="1294"/>
      <c r="J13" s="60"/>
      <c r="K13" s="1521">
        <f>IFERROR(AVERAGE(K9:K12),0)</f>
        <v>0</v>
      </c>
      <c r="L13" s="60"/>
      <c r="M13" s="60"/>
      <c r="N13" s="60"/>
      <c r="O13" s="60"/>
      <c r="P13" s="60"/>
      <c r="Q13" s="1292"/>
    </row>
    <row r="14" spans="1:17" ht="16">
      <c r="A14" s="1319" t="s">
        <v>1158</v>
      </c>
      <c r="B14" s="1320"/>
      <c r="C14" s="15">
        <v>0</v>
      </c>
      <c r="D14" s="662">
        <f>G14-C14</f>
        <v>0</v>
      </c>
      <c r="E14" s="17"/>
      <c r="F14" s="1195" t="str">
        <f t="shared" si="1"/>
        <v>Real Estate - SFR</v>
      </c>
      <c r="G14" s="1296">
        <f>K15</f>
        <v>0</v>
      </c>
      <c r="H14" s="60"/>
      <c r="I14" s="1294"/>
      <c r="J14" s="60"/>
      <c r="K14" s="60"/>
      <c r="L14" s="60"/>
      <c r="M14" s="60"/>
      <c r="N14" s="60"/>
      <c r="O14" s="60"/>
      <c r="P14" s="60"/>
      <c r="Q14" s="1292"/>
    </row>
    <row r="15" spans="1:17" ht="16">
      <c r="A15" s="1319" t="s">
        <v>1159</v>
      </c>
      <c r="B15" s="1320"/>
      <c r="C15" s="15">
        <v>0</v>
      </c>
      <c r="D15" s="660">
        <v>0</v>
      </c>
      <c r="E15" s="17"/>
      <c r="F15" s="1195" t="str">
        <f t="shared" si="1"/>
        <v>Real Estate - Commercial</v>
      </c>
      <c r="G15" s="1296">
        <f t="shared" ref="G15:G21" si="2">C15+D15</f>
        <v>0</v>
      </c>
      <c r="H15" s="60"/>
      <c r="I15" s="1294"/>
      <c r="J15" s="1295" t="s">
        <v>1160</v>
      </c>
      <c r="K15" s="1235">
        <f>K8*K13</f>
        <v>0</v>
      </c>
      <c r="L15" s="60"/>
      <c r="M15" s="60"/>
      <c r="N15" s="60"/>
      <c r="O15" s="60"/>
      <c r="P15" s="60"/>
      <c r="Q15" s="1292"/>
    </row>
    <row r="16" spans="1:17" ht="16">
      <c r="A16" s="1319" t="s">
        <v>1159</v>
      </c>
      <c r="B16" s="1320"/>
      <c r="C16" s="15">
        <v>0</v>
      </c>
      <c r="D16" s="660">
        <v>0</v>
      </c>
      <c r="E16" s="17"/>
      <c r="F16" s="1195" t="str">
        <f t="shared" si="1"/>
        <v>Real Estate - Commercial</v>
      </c>
      <c r="G16" s="1296">
        <f t="shared" si="2"/>
        <v>0</v>
      </c>
      <c r="H16" s="60"/>
      <c r="I16" s="1294"/>
      <c r="J16" s="1295" t="s">
        <v>1161</v>
      </c>
      <c r="K16" s="1521">
        <f>'Per Need 4'!I7</f>
        <v>0</v>
      </c>
      <c r="L16" s="60"/>
      <c r="M16" s="60"/>
      <c r="N16" s="60"/>
      <c r="O16" s="60"/>
      <c r="P16" s="60"/>
      <c r="Q16" s="1292"/>
    </row>
    <row r="17" spans="1:17" ht="16">
      <c r="A17" s="1319" t="s">
        <v>1162</v>
      </c>
      <c r="B17" s="1320"/>
      <c r="C17" s="15">
        <v>0</v>
      </c>
      <c r="D17" s="660">
        <v>0</v>
      </c>
      <c r="E17" s="17"/>
      <c r="F17" s="1195" t="str">
        <f t="shared" si="1"/>
        <v>Real Estate - Rental</v>
      </c>
      <c r="G17" s="1296">
        <f t="shared" si="2"/>
        <v>0</v>
      </c>
      <c r="H17" s="60"/>
      <c r="I17" s="1294"/>
      <c r="J17" s="1295" t="s">
        <v>1163</v>
      </c>
      <c r="K17" s="1235">
        <f>K13-K16</f>
        <v>0</v>
      </c>
      <c r="L17" s="60"/>
      <c r="M17" s="60"/>
      <c r="N17" s="60"/>
      <c r="O17" s="60"/>
      <c r="P17" s="60"/>
      <c r="Q17" s="1292"/>
    </row>
    <row r="18" spans="1:17" ht="16">
      <c r="A18" s="1319" t="s">
        <v>1162</v>
      </c>
      <c r="B18" s="1320"/>
      <c r="C18" s="15">
        <v>0</v>
      </c>
      <c r="D18" s="660">
        <v>0</v>
      </c>
      <c r="E18" s="17"/>
      <c r="F18" s="1195" t="str">
        <f t="shared" si="1"/>
        <v>Real Estate - Rental</v>
      </c>
      <c r="G18" s="1296">
        <f t="shared" si="2"/>
        <v>0</v>
      </c>
      <c r="H18" s="60"/>
      <c r="I18" s="1294"/>
      <c r="J18" s="1295" t="s">
        <v>130</v>
      </c>
      <c r="K18" s="1235">
        <f>IFERROR(K17/K13,0)</f>
        <v>0</v>
      </c>
      <c r="L18" s="60"/>
      <c r="M18" s="60"/>
      <c r="N18" s="60"/>
      <c r="O18" s="60"/>
      <c r="P18" s="60"/>
      <c r="Q18" s="1292"/>
    </row>
    <row r="19" spans="1:17" ht="16">
      <c r="A19" s="1319" t="s">
        <v>1164</v>
      </c>
      <c r="B19" s="1320"/>
      <c r="C19" s="15">
        <v>0</v>
      </c>
      <c r="D19" s="660">
        <v>0</v>
      </c>
      <c r="E19" s="17"/>
      <c r="F19" s="1195" t="str">
        <f t="shared" si="1"/>
        <v>Automobiles</v>
      </c>
      <c r="G19" s="1296">
        <f t="shared" si="2"/>
        <v>0</v>
      </c>
      <c r="H19" s="60"/>
      <c r="I19" s="1294"/>
      <c r="J19" s="1295" t="s">
        <v>1165</v>
      </c>
      <c r="K19" s="1297">
        <v>0.8</v>
      </c>
      <c r="L19" s="60"/>
      <c r="M19" s="60"/>
      <c r="N19" s="60"/>
      <c r="O19" s="60"/>
      <c r="P19" s="60"/>
      <c r="Q19" s="1292"/>
    </row>
    <row r="20" spans="1:17" ht="16">
      <c r="A20" s="1319" t="s">
        <v>1166</v>
      </c>
      <c r="B20" s="1320"/>
      <c r="C20" s="15">
        <v>0</v>
      </c>
      <c r="D20" s="660">
        <v>0</v>
      </c>
      <c r="E20" s="17"/>
      <c r="F20" s="1195" t="str">
        <f t="shared" si="1"/>
        <v>Other Personal Property</v>
      </c>
      <c r="G20" s="1296">
        <f t="shared" si="2"/>
        <v>0</v>
      </c>
      <c r="H20" s="60"/>
      <c r="I20" s="1294"/>
      <c r="J20" s="1295" t="s">
        <v>1167</v>
      </c>
      <c r="K20" s="1235">
        <f>(K13*K19)-K16</f>
        <v>0</v>
      </c>
      <c r="L20" s="60"/>
      <c r="M20" s="60"/>
      <c r="N20" s="60"/>
      <c r="O20" s="60"/>
      <c r="P20" s="60"/>
      <c r="Q20" s="1292"/>
    </row>
    <row r="21" spans="1:17" ht="16">
      <c r="A21" s="1319" t="s">
        <v>1168</v>
      </c>
      <c r="B21" s="1320"/>
      <c r="C21" s="15">
        <v>0</v>
      </c>
      <c r="D21" s="661">
        <v>0</v>
      </c>
      <c r="E21" s="18"/>
      <c r="F21" s="1195" t="str">
        <f t="shared" si="1"/>
        <v>Other Assets</v>
      </c>
      <c r="G21" s="1296">
        <f t="shared" si="2"/>
        <v>0</v>
      </c>
      <c r="H21" s="60"/>
      <c r="I21" s="3059" t="s">
        <v>1169</v>
      </c>
      <c r="J21" s="60" t="s">
        <v>1170</v>
      </c>
      <c r="K21" s="60"/>
      <c r="L21" s="60"/>
      <c r="M21" s="60"/>
      <c r="N21" s="60"/>
      <c r="O21" s="60"/>
      <c r="P21" s="60"/>
      <c r="Q21" s="1292"/>
    </row>
    <row r="22" spans="1:17" ht="17" thickBot="1">
      <c r="A22" s="1161" t="s">
        <v>943</v>
      </c>
      <c r="B22" s="1162"/>
      <c r="C22" s="1298">
        <f>SUM(C8:C21)</f>
        <v>0</v>
      </c>
      <c r="D22" s="1299" t="s">
        <v>923</v>
      </c>
      <c r="E22" s="1300"/>
      <c r="F22" s="1301" t="s">
        <v>1171</v>
      </c>
      <c r="G22" s="1302">
        <f>SUM(G8:G21)</f>
        <v>0</v>
      </c>
      <c r="H22" s="60"/>
      <c r="I22" s="3060"/>
      <c r="J22" s="1303" t="s">
        <v>1172</v>
      </c>
      <c r="K22" s="1303"/>
      <c r="L22" s="1303"/>
      <c r="M22" s="1303"/>
      <c r="N22" s="1303"/>
      <c r="O22" s="1303"/>
      <c r="P22" s="1303"/>
      <c r="Q22" s="1304"/>
    </row>
    <row r="23" spans="1:17" ht="17" thickTop="1">
      <c r="A23" s="1167"/>
      <c r="B23" s="1163"/>
      <c r="C23" s="1305"/>
      <c r="D23" s="1306"/>
      <c r="E23" s="1163"/>
      <c r="F23" s="1163"/>
      <c r="G23" s="1307"/>
      <c r="H23" s="60"/>
      <c r="I23" s="60"/>
      <c r="J23" s="60"/>
      <c r="K23" s="60"/>
      <c r="L23" s="60"/>
      <c r="M23" s="60"/>
      <c r="N23" s="60"/>
      <c r="O23" s="60"/>
      <c r="P23" s="60"/>
      <c r="Q23" s="60"/>
    </row>
    <row r="24" spans="1:17" ht="16">
      <c r="A24" s="3063" t="s">
        <v>1173</v>
      </c>
      <c r="B24" s="3064"/>
      <c r="C24" s="3064"/>
      <c r="D24" s="1306"/>
      <c r="E24" s="1163"/>
      <c r="F24" s="3064" t="s">
        <v>1173</v>
      </c>
      <c r="G24" s="3065"/>
      <c r="H24" s="60"/>
      <c r="I24" s="60"/>
      <c r="J24" s="60"/>
      <c r="K24" s="60"/>
      <c r="L24" s="60"/>
      <c r="M24" s="60"/>
      <c r="N24" s="60"/>
      <c r="O24" s="60"/>
      <c r="P24" s="60"/>
      <c r="Q24" s="60"/>
    </row>
    <row r="25" spans="1:17" ht="16">
      <c r="A25" s="1167" t="s">
        <v>945</v>
      </c>
      <c r="B25" s="1163"/>
      <c r="C25" s="14">
        <v>0</v>
      </c>
      <c r="D25" s="663">
        <f>G25-C25</f>
        <v>0</v>
      </c>
      <c r="E25" s="19"/>
      <c r="F25" s="1195" t="s">
        <v>1174</v>
      </c>
      <c r="G25" s="1308">
        <f>'Per Need 4'!I54</f>
        <v>0</v>
      </c>
      <c r="H25" s="60"/>
      <c r="I25" s="60"/>
      <c r="J25" s="60"/>
      <c r="K25" s="60"/>
      <c r="L25" s="60"/>
      <c r="M25" s="60"/>
      <c r="N25" s="60"/>
      <c r="O25" s="60"/>
      <c r="P25" s="60"/>
      <c r="Q25" s="60"/>
    </row>
    <row r="26" spans="1:17" ht="16">
      <c r="A26" s="1167" t="s">
        <v>1175</v>
      </c>
      <c r="B26" s="1163"/>
      <c r="C26" s="15">
        <v>0</v>
      </c>
      <c r="D26" s="660">
        <v>0</v>
      </c>
      <c r="E26" s="20"/>
      <c r="F26" s="1195" t="s">
        <v>1176</v>
      </c>
      <c r="G26" s="1309">
        <f>C26+D26</f>
        <v>0</v>
      </c>
      <c r="H26" s="60"/>
      <c r="I26" s="60"/>
      <c r="J26" s="60"/>
      <c r="K26" s="60"/>
      <c r="L26" s="60"/>
      <c r="M26" s="60"/>
      <c r="N26" s="60"/>
      <c r="O26" s="60"/>
      <c r="P26" s="60"/>
      <c r="Q26" s="60"/>
    </row>
    <row r="27" spans="1:17" ht="16">
      <c r="A27" s="1167" t="s">
        <v>1177</v>
      </c>
      <c r="B27" s="1163"/>
      <c r="C27" s="15">
        <v>0</v>
      </c>
      <c r="D27" s="662">
        <f>G27-C27</f>
        <v>0</v>
      </c>
      <c r="E27" s="20"/>
      <c r="F27" s="1195" t="s">
        <v>1178</v>
      </c>
      <c r="G27" s="1309">
        <f>'Per Need 4'!I23</f>
        <v>0</v>
      </c>
      <c r="H27" s="60"/>
      <c r="I27" s="60"/>
      <c r="J27" s="60"/>
      <c r="K27" s="60"/>
      <c r="L27" s="60"/>
      <c r="M27" s="60"/>
      <c r="N27" s="60"/>
      <c r="O27" s="60"/>
      <c r="P27" s="60"/>
      <c r="Q27" s="60"/>
    </row>
    <row r="28" spans="1:17" ht="16">
      <c r="A28" s="1167" t="s">
        <v>1179</v>
      </c>
      <c r="B28" s="1163"/>
      <c r="C28" s="15">
        <v>0</v>
      </c>
      <c r="D28" s="662">
        <f>G28-C28</f>
        <v>0</v>
      </c>
      <c r="E28" s="20"/>
      <c r="F28" s="1195" t="s">
        <v>1180</v>
      </c>
      <c r="G28" s="1309">
        <f>'Per Need 4'!I32</f>
        <v>0</v>
      </c>
      <c r="H28" s="60"/>
      <c r="I28" s="60"/>
      <c r="J28" s="60"/>
      <c r="K28" s="60"/>
      <c r="L28" s="60"/>
      <c r="M28" s="60"/>
      <c r="N28" s="60"/>
      <c r="O28" s="60"/>
      <c r="P28" s="60"/>
      <c r="Q28" s="60"/>
    </row>
    <row r="29" spans="1:17" ht="16">
      <c r="A29" s="1167" t="s">
        <v>1181</v>
      </c>
      <c r="B29" s="1163"/>
      <c r="C29" s="15">
        <v>0</v>
      </c>
      <c r="D29" s="660">
        <v>0</v>
      </c>
      <c r="E29" s="20"/>
      <c r="F29" s="1195" t="s">
        <v>1181</v>
      </c>
      <c r="G29" s="1309">
        <f>C29+D29</f>
        <v>0</v>
      </c>
      <c r="H29" s="60"/>
      <c r="I29" s="60"/>
      <c r="J29" s="60"/>
      <c r="K29" s="60"/>
      <c r="L29" s="60"/>
      <c r="M29" s="60"/>
      <c r="N29" s="60"/>
      <c r="O29" s="60"/>
      <c r="P29" s="60"/>
      <c r="Q29" s="60"/>
    </row>
    <row r="30" spans="1:17" ht="16">
      <c r="A30" s="1319" t="s">
        <v>1182</v>
      </c>
      <c r="B30" s="1320"/>
      <c r="C30" s="15">
        <v>0</v>
      </c>
      <c r="D30" s="660">
        <v>0</v>
      </c>
      <c r="E30" s="20"/>
      <c r="F30" s="1195" t="str">
        <f>A30</f>
        <v>Mortgage - SFR</v>
      </c>
      <c r="G30" s="1309">
        <f>'Per Need 4'!I7</f>
        <v>0</v>
      </c>
      <c r="H30" s="60"/>
      <c r="I30" s="60"/>
      <c r="J30" s="60"/>
      <c r="K30" s="60"/>
      <c r="L30" s="60"/>
      <c r="M30" s="60"/>
      <c r="N30" s="60"/>
      <c r="O30" s="60"/>
      <c r="P30" s="60"/>
      <c r="Q30" s="60"/>
    </row>
    <row r="31" spans="1:17" ht="16">
      <c r="A31" s="1319" t="s">
        <v>1183</v>
      </c>
      <c r="B31" s="1320"/>
      <c r="C31" s="15">
        <v>0</v>
      </c>
      <c r="D31" s="660">
        <v>0</v>
      </c>
      <c r="E31" s="20"/>
      <c r="F31" s="1195" t="str">
        <f t="shared" ref="F31:F34" si="3">A31</f>
        <v>Mortgage - Commercial</v>
      </c>
      <c r="G31" s="1309">
        <f t="shared" ref="G31:G37" si="4">C31+D31</f>
        <v>0</v>
      </c>
      <c r="H31" s="60"/>
      <c r="I31" s="60"/>
      <c r="J31" s="60"/>
      <c r="K31" s="60"/>
      <c r="L31" s="60"/>
      <c r="M31" s="60"/>
      <c r="N31" s="60"/>
      <c r="O31" s="60"/>
      <c r="P31" s="60"/>
      <c r="Q31" s="60"/>
    </row>
    <row r="32" spans="1:17" ht="16">
      <c r="A32" s="1319" t="s">
        <v>1183</v>
      </c>
      <c r="B32" s="1320"/>
      <c r="C32" s="15">
        <v>0</v>
      </c>
      <c r="D32" s="660">
        <v>0</v>
      </c>
      <c r="E32" s="20"/>
      <c r="F32" s="1195" t="str">
        <f t="shared" si="3"/>
        <v>Mortgage - Commercial</v>
      </c>
      <c r="G32" s="1309">
        <f t="shared" si="4"/>
        <v>0</v>
      </c>
      <c r="H32" s="60"/>
      <c r="I32" s="60"/>
      <c r="J32" s="60"/>
      <c r="K32" s="60"/>
      <c r="L32" s="60"/>
      <c r="M32" s="60"/>
      <c r="N32" s="60"/>
      <c r="O32" s="60"/>
      <c r="P32" s="60"/>
      <c r="Q32" s="60"/>
    </row>
    <row r="33" spans="1:17" ht="16">
      <c r="A33" s="1319" t="s">
        <v>1184</v>
      </c>
      <c r="B33" s="1320"/>
      <c r="C33" s="15">
        <v>0</v>
      </c>
      <c r="D33" s="660">
        <v>0</v>
      </c>
      <c r="E33" s="20"/>
      <c r="F33" s="1195" t="str">
        <f t="shared" si="3"/>
        <v>Mortgage - Rental</v>
      </c>
      <c r="G33" s="1309">
        <f t="shared" si="4"/>
        <v>0</v>
      </c>
      <c r="H33" s="60"/>
      <c r="I33" s="60"/>
      <c r="J33" s="60"/>
      <c r="K33" s="60"/>
      <c r="L33" s="60"/>
      <c r="M33" s="60"/>
      <c r="N33" s="60"/>
      <c r="O33" s="60"/>
      <c r="P33" s="60"/>
      <c r="Q33" s="60"/>
    </row>
    <row r="34" spans="1:17" ht="16">
      <c r="A34" s="1319" t="s">
        <v>1184</v>
      </c>
      <c r="B34" s="1320"/>
      <c r="C34" s="15">
        <v>0</v>
      </c>
      <c r="D34" s="660">
        <v>0</v>
      </c>
      <c r="E34" s="20"/>
      <c r="F34" s="1195" t="str">
        <f t="shared" si="3"/>
        <v>Mortgage - Rental</v>
      </c>
      <c r="G34" s="1309">
        <f t="shared" si="4"/>
        <v>0</v>
      </c>
      <c r="H34" s="60"/>
      <c r="I34" s="60"/>
      <c r="J34" s="60"/>
      <c r="K34" s="60"/>
      <c r="L34" s="60"/>
      <c r="M34" s="60"/>
      <c r="N34" s="60"/>
      <c r="O34" s="60"/>
      <c r="P34" s="60"/>
      <c r="Q34" s="60"/>
    </row>
    <row r="35" spans="1:17" ht="16">
      <c r="A35" s="1319" t="s">
        <v>1185</v>
      </c>
      <c r="B35" s="1320"/>
      <c r="C35" s="15">
        <v>0</v>
      </c>
      <c r="D35" s="660">
        <v>0</v>
      </c>
      <c r="E35" s="20"/>
      <c r="F35" s="1195" t="s">
        <v>1185</v>
      </c>
      <c r="G35" s="1309">
        <f t="shared" si="4"/>
        <v>0</v>
      </c>
      <c r="H35" s="60"/>
      <c r="I35" s="60"/>
      <c r="J35" s="60"/>
      <c r="K35" s="60"/>
      <c r="L35" s="60"/>
      <c r="M35" s="60"/>
      <c r="N35" s="60"/>
      <c r="O35" s="60"/>
      <c r="P35" s="60"/>
      <c r="Q35" s="60"/>
    </row>
    <row r="36" spans="1:17" ht="16">
      <c r="A36" s="1319" t="s">
        <v>1186</v>
      </c>
      <c r="B36" s="1320"/>
      <c r="C36" s="15">
        <v>0</v>
      </c>
      <c r="D36" s="660">
        <v>0</v>
      </c>
      <c r="E36" s="20"/>
      <c r="F36" s="1195" t="s">
        <v>1186</v>
      </c>
      <c r="G36" s="1309">
        <f t="shared" si="4"/>
        <v>0</v>
      </c>
      <c r="H36" s="60"/>
      <c r="I36" s="60"/>
      <c r="J36" s="60"/>
      <c r="K36" s="60"/>
      <c r="L36" s="60"/>
      <c r="M36" s="60"/>
      <c r="N36" s="60"/>
      <c r="O36" s="60"/>
      <c r="P36" s="60"/>
      <c r="Q36" s="60"/>
    </row>
    <row r="37" spans="1:17" ht="16">
      <c r="A37" s="1319" t="s">
        <v>958</v>
      </c>
      <c r="B37" s="1320"/>
      <c r="C37" s="15">
        <v>0</v>
      </c>
      <c r="D37" s="661">
        <v>0</v>
      </c>
      <c r="E37" s="21"/>
      <c r="F37" s="1195" t="s">
        <v>958</v>
      </c>
      <c r="G37" s="1309">
        <f t="shared" si="4"/>
        <v>0</v>
      </c>
      <c r="H37" s="60"/>
      <c r="I37" s="60"/>
      <c r="J37" s="60"/>
      <c r="K37" s="60"/>
      <c r="L37" s="60"/>
      <c r="M37" s="60"/>
      <c r="N37" s="60"/>
      <c r="O37" s="60"/>
      <c r="P37" s="60"/>
      <c r="Q37" s="60"/>
    </row>
    <row r="38" spans="1:17" ht="17" thickBot="1">
      <c r="A38" s="1161" t="s">
        <v>960</v>
      </c>
      <c r="B38" s="1162"/>
      <c r="C38" s="1298">
        <f>SUM(C25:C37)</f>
        <v>0</v>
      </c>
      <c r="D38" s="1310" t="s">
        <v>923</v>
      </c>
      <c r="E38" s="1151"/>
      <c r="F38" s="1301" t="s">
        <v>1187</v>
      </c>
      <c r="G38" s="1302">
        <f>SUM(G25:G37)</f>
        <v>0</v>
      </c>
      <c r="H38" s="60"/>
      <c r="I38" s="60"/>
      <c r="J38" s="60"/>
      <c r="K38" s="60"/>
      <c r="L38" s="60"/>
      <c r="M38" s="60"/>
      <c r="N38" s="60"/>
      <c r="O38" s="60"/>
      <c r="P38" s="60"/>
      <c r="Q38" s="60"/>
    </row>
    <row r="39" spans="1:17" ht="17" thickTop="1">
      <c r="A39" s="1167"/>
      <c r="B39" s="1163"/>
      <c r="C39" s="1311"/>
      <c r="D39" s="1306"/>
      <c r="E39" s="1163"/>
      <c r="F39" s="1163"/>
      <c r="G39" s="1312"/>
      <c r="H39" s="60"/>
      <c r="I39" s="60"/>
      <c r="J39" s="60"/>
      <c r="K39" s="60"/>
      <c r="L39" s="60"/>
      <c r="M39" s="60"/>
      <c r="N39" s="60"/>
      <c r="O39" s="60"/>
      <c r="P39" s="60"/>
      <c r="Q39" s="60"/>
    </row>
    <row r="40" spans="1:17" ht="16">
      <c r="A40" s="1161" t="s">
        <v>964</v>
      </c>
      <c r="B40" s="1301"/>
      <c r="C40" s="510">
        <f>C22-C38</f>
        <v>0</v>
      </c>
      <c r="D40" s="1310" t="s">
        <v>923</v>
      </c>
      <c r="E40" s="1151"/>
      <c r="F40" s="1301" t="s">
        <v>1188</v>
      </c>
      <c r="G40" s="1313">
        <f>G22-G38</f>
        <v>0</v>
      </c>
      <c r="H40" s="60"/>
      <c r="I40" s="60"/>
      <c r="J40" s="60"/>
      <c r="K40" s="60"/>
      <c r="L40" s="60"/>
      <c r="M40" s="60"/>
      <c r="N40" s="60"/>
      <c r="O40" s="60"/>
      <c r="P40" s="60"/>
      <c r="Q40" s="60"/>
    </row>
    <row r="41" spans="1:17" ht="16">
      <c r="A41" s="1161" t="s">
        <v>276</v>
      </c>
      <c r="B41" s="1162"/>
      <c r="C41" s="1314">
        <f>C8+C9+C13</f>
        <v>0</v>
      </c>
      <c r="D41" s="1315"/>
      <c r="E41" s="1151"/>
      <c r="F41" s="1162" t="s">
        <v>1189</v>
      </c>
      <c r="G41" s="1314">
        <f>G8+G9+G13</f>
        <v>0</v>
      </c>
      <c r="H41" s="60"/>
      <c r="I41" s="60"/>
      <c r="J41" s="60"/>
      <c r="K41" s="60"/>
      <c r="L41" s="60"/>
      <c r="M41" s="60"/>
      <c r="N41" s="60"/>
      <c r="O41" s="60"/>
      <c r="P41" s="60"/>
      <c r="Q41" s="60"/>
    </row>
    <row r="42" spans="1:17" ht="17" thickBot="1">
      <c r="A42" s="1161" t="s">
        <v>1190</v>
      </c>
      <c r="B42" s="1162"/>
      <c r="C42" s="1316"/>
      <c r="D42" s="1315"/>
      <c r="E42" s="1151"/>
      <c r="F42" s="1162"/>
      <c r="G42" s="1317"/>
      <c r="H42" s="60"/>
      <c r="I42" s="60"/>
      <c r="J42" s="60"/>
      <c r="K42" s="60"/>
      <c r="L42" s="60"/>
      <c r="M42" s="60"/>
      <c r="N42" s="60"/>
      <c r="O42" s="60"/>
      <c r="P42" s="60"/>
      <c r="Q42" s="60"/>
    </row>
    <row r="43" spans="1:17" ht="16">
      <c r="A43" s="3116"/>
      <c r="B43" s="3117"/>
      <c r="C43" s="3117"/>
      <c r="D43" s="3117"/>
      <c r="E43" s="3117"/>
      <c r="F43" s="3117"/>
      <c r="G43" s="3118"/>
      <c r="H43" s="60"/>
      <c r="I43" s="60"/>
      <c r="J43" s="60"/>
      <c r="K43" s="60"/>
      <c r="L43" s="60"/>
      <c r="M43" s="60"/>
      <c r="N43" s="60"/>
      <c r="O43" s="60"/>
      <c r="P43" s="60"/>
      <c r="Q43" s="60"/>
    </row>
    <row r="44" spans="1:17" ht="16">
      <c r="A44" s="3113"/>
      <c r="B44" s="3114"/>
      <c r="C44" s="3114"/>
      <c r="D44" s="3114"/>
      <c r="E44" s="3114"/>
      <c r="F44" s="3114"/>
      <c r="G44" s="3115"/>
      <c r="H44" s="60"/>
      <c r="I44" s="60"/>
      <c r="J44" s="60"/>
      <c r="K44" s="60"/>
      <c r="L44" s="60"/>
      <c r="M44" s="60"/>
      <c r="N44" s="60"/>
      <c r="O44" s="60"/>
      <c r="P44" s="60"/>
      <c r="Q44" s="60"/>
    </row>
    <row r="45" spans="1:17" ht="16">
      <c r="A45" s="3113"/>
      <c r="B45" s="3114"/>
      <c r="C45" s="3114"/>
      <c r="D45" s="3114"/>
      <c r="E45" s="3114"/>
      <c r="F45" s="3114"/>
      <c r="G45" s="3115"/>
      <c r="H45" s="60"/>
      <c r="I45" s="60"/>
      <c r="J45" s="60"/>
      <c r="K45" s="60"/>
      <c r="L45" s="60"/>
      <c r="M45" s="60"/>
      <c r="N45" s="60"/>
      <c r="O45" s="60"/>
      <c r="P45" s="60"/>
      <c r="Q45" s="60"/>
    </row>
    <row r="46" spans="1:17" ht="16">
      <c r="A46" s="3113"/>
      <c r="B46" s="3114"/>
      <c r="C46" s="3114"/>
      <c r="D46" s="3114"/>
      <c r="E46" s="3114"/>
      <c r="F46" s="3114"/>
      <c r="G46" s="3115"/>
      <c r="H46" s="60"/>
      <c r="I46" s="60"/>
      <c r="J46" s="60"/>
      <c r="K46" s="60"/>
      <c r="L46" s="60"/>
      <c r="M46" s="60"/>
      <c r="N46" s="60"/>
      <c r="O46" s="60"/>
      <c r="P46" s="60"/>
      <c r="Q46" s="60"/>
    </row>
    <row r="47" spans="1:17" ht="16">
      <c r="A47" s="3113"/>
      <c r="B47" s="3114"/>
      <c r="C47" s="3114"/>
      <c r="D47" s="3114"/>
      <c r="E47" s="3114"/>
      <c r="F47" s="3114"/>
      <c r="G47" s="3115"/>
      <c r="H47" s="60"/>
      <c r="I47" s="60"/>
      <c r="J47" s="60"/>
      <c r="K47" s="60"/>
      <c r="L47" s="60"/>
      <c r="M47" s="60"/>
      <c r="N47" s="60"/>
      <c r="O47" s="60"/>
      <c r="P47" s="60"/>
      <c r="Q47" s="60"/>
    </row>
    <row r="48" spans="1:17" ht="16">
      <c r="A48" s="3113"/>
      <c r="B48" s="3114"/>
      <c r="C48" s="3114"/>
      <c r="D48" s="3114"/>
      <c r="E48" s="3114"/>
      <c r="F48" s="3114"/>
      <c r="G48" s="3115"/>
      <c r="H48" s="60"/>
      <c r="I48" s="60"/>
      <c r="J48" s="60"/>
      <c r="K48" s="60"/>
      <c r="L48" s="60"/>
      <c r="M48" s="60"/>
      <c r="N48" s="60"/>
      <c r="O48" s="60"/>
      <c r="P48" s="60"/>
      <c r="Q48" s="60"/>
    </row>
    <row r="49" spans="1:17" ht="16">
      <c r="A49" s="3113"/>
      <c r="B49" s="3114"/>
      <c r="C49" s="3114"/>
      <c r="D49" s="3114"/>
      <c r="E49" s="3114"/>
      <c r="F49" s="3114"/>
      <c r="G49" s="3115"/>
      <c r="H49" s="60"/>
      <c r="I49" s="60"/>
      <c r="J49" s="60"/>
      <c r="K49" s="60"/>
      <c r="L49" s="60"/>
      <c r="M49" s="60"/>
      <c r="N49" s="60"/>
      <c r="O49" s="60"/>
      <c r="P49" s="60"/>
      <c r="Q49" s="60"/>
    </row>
    <row r="50" spans="1:17" ht="16">
      <c r="A50" s="3113"/>
      <c r="B50" s="3114"/>
      <c r="C50" s="3114"/>
      <c r="D50" s="3114"/>
      <c r="E50" s="3114"/>
      <c r="F50" s="3114"/>
      <c r="G50" s="3115"/>
      <c r="H50" s="60"/>
      <c r="I50" s="60"/>
      <c r="J50" s="60"/>
      <c r="K50" s="60"/>
      <c r="L50" s="60"/>
      <c r="M50" s="60"/>
      <c r="N50" s="60"/>
      <c r="O50" s="60"/>
      <c r="P50" s="60"/>
      <c r="Q50" s="60"/>
    </row>
    <row r="51" spans="1:17" ht="16">
      <c r="A51" s="3113"/>
      <c r="B51" s="3114"/>
      <c r="C51" s="3114"/>
      <c r="D51" s="3114"/>
      <c r="E51" s="3114"/>
      <c r="F51" s="3114"/>
      <c r="G51" s="3115"/>
      <c r="H51" s="60"/>
      <c r="I51" s="60"/>
      <c r="J51" s="60"/>
      <c r="K51" s="60"/>
      <c r="L51" s="60"/>
      <c r="M51" s="60"/>
      <c r="N51" s="60"/>
      <c r="O51" s="60"/>
      <c r="P51" s="60"/>
      <c r="Q51" s="60"/>
    </row>
    <row r="52" spans="1:17" ht="16">
      <c r="A52" s="3113"/>
      <c r="B52" s="3114"/>
      <c r="C52" s="3114"/>
      <c r="D52" s="3114"/>
      <c r="E52" s="3114"/>
      <c r="F52" s="3114"/>
      <c r="G52" s="3115"/>
      <c r="H52" s="60"/>
      <c r="I52" s="60"/>
      <c r="J52" s="60"/>
      <c r="K52" s="60"/>
      <c r="L52" s="60"/>
      <c r="M52" s="60"/>
      <c r="N52" s="60"/>
      <c r="O52" s="60"/>
      <c r="P52" s="60"/>
      <c r="Q52" s="60"/>
    </row>
    <row r="53" spans="1:17" ht="16">
      <c r="A53" s="3113"/>
      <c r="B53" s="3114"/>
      <c r="C53" s="3114"/>
      <c r="D53" s="3114"/>
      <c r="E53" s="3114"/>
      <c r="F53" s="3114"/>
      <c r="G53" s="3115"/>
      <c r="H53" s="60"/>
      <c r="I53" s="60"/>
      <c r="J53" s="60"/>
      <c r="K53" s="60"/>
      <c r="L53" s="60"/>
      <c r="M53" s="60"/>
      <c r="N53" s="60"/>
      <c r="O53" s="60"/>
      <c r="P53" s="60"/>
      <c r="Q53" s="60"/>
    </row>
    <row r="54" spans="1:17" ht="17" thickBot="1">
      <c r="A54" s="3119"/>
      <c r="B54" s="3120"/>
      <c r="C54" s="3120"/>
      <c r="D54" s="3120"/>
      <c r="E54" s="3120"/>
      <c r="F54" s="3120"/>
      <c r="G54" s="3121"/>
      <c r="H54" s="60"/>
      <c r="I54" s="60"/>
      <c r="J54" s="60"/>
      <c r="K54" s="60"/>
      <c r="L54" s="60"/>
      <c r="M54" s="60"/>
      <c r="N54" s="60"/>
      <c r="O54" s="60"/>
      <c r="P54" s="60"/>
      <c r="Q54" s="60"/>
    </row>
  </sheetData>
  <sheetProtection algorithmName="SHA-512" hashValue="HozbrfXxEDF62m5BeTqkQrYtU+ItcObQOFhWZbzHwIJyGAmlQhAYJNlbd7hc/9jg3DPkzknEPhWrvi/HfLhR2g==" saltValue="xUIe4cwoYKBoFTitfrVPVA==" spinCount="100000" sheet="1" scenarios="1" formatCells="0" formatColumns="0" formatRows="0"/>
  <customSheetViews>
    <customSheetView guid="{EDC0EC15-0264-48C8-A990-093960AE8EF3}" scale="85" showPageBreaks="1" showGridLines="0" printArea="1">
      <selection activeCell="B4" sqref="B4"/>
      <pageMargins left="0" right="0" top="0" bottom="0" header="0" footer="0"/>
      <printOptions horizontalCentered="1"/>
      <pageSetup scale="82" orientation="portrait" r:id="rId1"/>
      <headerFooter differentFirst="1">
        <firstHeader>&amp;L&amp;G&amp;C&amp;8
&amp;18Credit Memo</firstHeader>
      </headerFooter>
    </customSheetView>
    <customSheetView guid="{6E1FDEE6-49D0-4876-8C7C-09893145D2CE}" scale="85" showPageBreaks="1" showGridLines="0" printArea="1" state="hidden">
      <selection activeCell="U1" sqref="U1:W1"/>
      <pageMargins left="0" right="0" top="0" bottom="0" header="0" footer="0"/>
      <printOptions horizontalCentered="1"/>
      <pageSetup scale="82" orientation="portrait" r:id="rId2"/>
      <headerFooter differentFirst="1">
        <firstHeader>&amp;L&amp;G&amp;C&amp;8
&amp;18Credit Memo</firstHeader>
      </headerFooter>
    </customSheetView>
    <customSheetView guid="{DB1F6E98-7FCC-445F-9DA6-47D8BF8BE969}" scale="85" showPageBreaks="1" showGridLines="0" printArea="1" state="hidden">
      <selection activeCell="U1" sqref="U1:W1"/>
      <pageMargins left="0" right="0" top="0" bottom="0" header="0" footer="0"/>
      <printOptions horizontalCentered="1"/>
      <pageSetup scale="82" orientation="portrait" r:id="rId3"/>
      <headerFooter differentFirst="1">
        <firstHeader>&amp;L&amp;G&amp;C&amp;8
&amp;18Credit Memo</firstHeader>
      </headerFooter>
    </customSheetView>
    <customSheetView guid="{C02CA8E5-5D4C-45E5-BC4A-4C9BE481059B}" scale="85" showPageBreaks="1" showGridLines="0" printArea="1" state="hidden">
      <selection activeCell="U1" sqref="U1:W1"/>
      <pageMargins left="0" right="0" top="0" bottom="0" header="0" footer="0"/>
      <printOptions horizontalCentered="1"/>
      <pageSetup scale="82" orientation="portrait" r:id="rId4"/>
      <headerFooter differentFirst="1">
        <firstHeader>&amp;L&amp;G&amp;C&amp;8
&amp;18Credit Memo</firstHeader>
      </headerFooter>
    </customSheetView>
  </customSheetViews>
  <mergeCells count="23">
    <mergeCell ref="I6:L6"/>
    <mergeCell ref="A1:G1"/>
    <mergeCell ref="B3:F3"/>
    <mergeCell ref="A6:C6"/>
    <mergeCell ref="F6:G6"/>
    <mergeCell ref="A52:G52"/>
    <mergeCell ref="A53:G53"/>
    <mergeCell ref="A54:G54"/>
    <mergeCell ref="A47:G47"/>
    <mergeCell ref="A48:G48"/>
    <mergeCell ref="I7:L7"/>
    <mergeCell ref="I21:I22"/>
    <mergeCell ref="A49:G49"/>
    <mergeCell ref="A50:G50"/>
    <mergeCell ref="A51:G51"/>
    <mergeCell ref="A24:C24"/>
    <mergeCell ref="F24:G24"/>
    <mergeCell ref="A43:G43"/>
    <mergeCell ref="A44:G44"/>
    <mergeCell ref="A45:G45"/>
    <mergeCell ref="A46:G46"/>
    <mergeCell ref="A7:C7"/>
    <mergeCell ref="F7:G7"/>
  </mergeCells>
  <printOptions horizontalCentered="1"/>
  <pageMargins left="0.7" right="0.7" top="0.75" bottom="0.75" header="0.3" footer="0.3"/>
  <pageSetup scale="79" orientation="portrait" r:id="rId5"/>
  <headerFooter differentFirst="1">
    <firstHeader>&amp;L&amp;G&amp;C&amp;8
&amp;18Credit Memo</first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0"/>
  <dimension ref="A1:X66"/>
  <sheetViews>
    <sheetView showGridLines="0" topLeftCell="D1" zoomScale="82" zoomScaleNormal="82" workbookViewId="0">
      <selection activeCell="F18" sqref="F18"/>
    </sheetView>
  </sheetViews>
  <sheetFormatPr baseColWidth="10" defaultColWidth="8.83203125" defaultRowHeight="15"/>
  <cols>
    <col min="1" max="1" width="26.5" bestFit="1" customWidth="1"/>
    <col min="2" max="3" width="3.6640625" bestFit="1" customWidth="1"/>
    <col min="4" max="5" width="15.6640625" customWidth="1"/>
    <col min="6" max="6" width="2.6640625" customWidth="1"/>
    <col min="7" max="8" width="15.6640625" customWidth="1"/>
    <col min="9" max="9" width="2.6640625" customWidth="1"/>
    <col min="10" max="11" width="15.6640625" customWidth="1"/>
    <col min="12" max="12" width="2.6640625" customWidth="1"/>
    <col min="13" max="14" width="15.6640625" customWidth="1"/>
    <col min="15" max="15" width="2.6640625" customWidth="1"/>
    <col min="16" max="17" width="15.6640625" customWidth="1"/>
    <col min="18" max="18" width="2.6640625" customWidth="1"/>
    <col min="19" max="20" width="15.6640625" customWidth="1"/>
  </cols>
  <sheetData>
    <row r="1" spans="1:24" ht="16">
      <c r="A1" s="2922" t="s">
        <v>1191</v>
      </c>
      <c r="B1" s="2923"/>
      <c r="C1" s="2923"/>
      <c r="D1" s="2923"/>
      <c r="E1" s="2923"/>
      <c r="F1" s="2923"/>
      <c r="G1" s="2923"/>
      <c r="H1" s="2923"/>
      <c r="I1" s="2923"/>
      <c r="J1" s="2923"/>
      <c r="K1" s="2923"/>
      <c r="L1" s="2923"/>
      <c r="M1" s="2923"/>
      <c r="N1" s="2923"/>
      <c r="O1" s="2923"/>
      <c r="P1" s="2923"/>
      <c r="Q1" s="2923"/>
      <c r="R1" s="2923"/>
      <c r="S1" s="2923"/>
      <c r="T1" s="2924"/>
      <c r="V1" s="1741"/>
      <c r="W1" s="1741"/>
      <c r="X1" s="1741"/>
    </row>
    <row r="2" spans="1:24" ht="17" thickBot="1">
      <c r="A2" s="1161" t="s">
        <v>1192</v>
      </c>
      <c r="B2" s="1162"/>
      <c r="C2" s="1321"/>
      <c r="D2" s="3108" t="str">
        <f>_xlfn.SINGLE('Per Need 4'!B3)</f>
        <v>{Name of Guarantor/Principal}</v>
      </c>
      <c r="E2" s="3109"/>
      <c r="F2" s="3109"/>
      <c r="G2" s="3109"/>
      <c r="H2" s="3109"/>
      <c r="I2" s="3109"/>
      <c r="J2" s="3109"/>
      <c r="K2" s="3110"/>
      <c r="L2" s="122"/>
      <c r="M2" s="122"/>
      <c r="N2" s="122"/>
      <c r="O2" s="122"/>
      <c r="P2" s="122"/>
      <c r="Q2" s="122"/>
      <c r="R2" s="122"/>
      <c r="S2" s="122"/>
      <c r="T2" s="195"/>
    </row>
    <row r="3" spans="1:24" ht="17" thickBot="1">
      <c r="A3" s="1167"/>
      <c r="B3" s="1322" t="s">
        <v>795</v>
      </c>
      <c r="C3" s="1323"/>
      <c r="D3" s="1163"/>
      <c r="E3" s="1163"/>
      <c r="F3" s="1163"/>
      <c r="G3" s="1163"/>
      <c r="H3" s="1163"/>
      <c r="I3" s="1163"/>
      <c r="J3" s="1163"/>
      <c r="K3" s="1163"/>
      <c r="L3" s="1163"/>
      <c r="M3" s="1163"/>
      <c r="N3" s="1163"/>
      <c r="O3" s="1163"/>
      <c r="P3" s="1163"/>
      <c r="Q3" s="1163"/>
      <c r="R3" s="1163"/>
      <c r="S3" s="1163"/>
      <c r="T3" s="1154"/>
      <c r="V3" t="s">
        <v>1193</v>
      </c>
    </row>
    <row r="4" spans="1:24" ht="15" customHeight="1">
      <c r="A4" s="1324" t="s">
        <v>1194</v>
      </c>
      <c r="B4" s="1178"/>
      <c r="C4" s="1321"/>
      <c r="D4" s="3096"/>
      <c r="E4" s="3096"/>
      <c r="F4" s="1325"/>
      <c r="G4" s="3096"/>
      <c r="H4" s="3096"/>
      <c r="I4" s="1325"/>
      <c r="J4" s="3096"/>
      <c r="K4" s="3096"/>
      <c r="L4" s="1325"/>
      <c r="M4" s="3096"/>
      <c r="N4" s="3096"/>
      <c r="O4" s="1325"/>
      <c r="P4" s="3096"/>
      <c r="Q4" s="3096"/>
      <c r="R4" s="1325"/>
      <c r="S4" s="3096"/>
      <c r="T4" s="3097"/>
    </row>
    <row r="5" spans="1:24" ht="15" customHeight="1">
      <c r="A5" s="1161" t="s">
        <v>664</v>
      </c>
      <c r="B5" s="1178"/>
      <c r="C5" s="1321"/>
      <c r="D5" s="3098"/>
      <c r="E5" s="3098"/>
      <c r="F5" s="1162"/>
      <c r="G5" s="3098"/>
      <c r="H5" s="3098"/>
      <c r="I5" s="1162"/>
      <c r="J5" s="3098"/>
      <c r="K5" s="3098"/>
      <c r="L5" s="1162"/>
      <c r="M5" s="3098"/>
      <c r="N5" s="3098"/>
      <c r="O5" s="1162"/>
      <c r="P5" s="3098"/>
      <c r="Q5" s="3098"/>
      <c r="R5" s="1162"/>
      <c r="S5" s="3098"/>
      <c r="T5" s="3099"/>
    </row>
    <row r="6" spans="1:24" ht="16">
      <c r="A6" s="1326" t="s">
        <v>1195</v>
      </c>
      <c r="B6" s="257"/>
      <c r="C6" s="1327"/>
      <c r="D6" s="3100"/>
      <c r="E6" s="3100"/>
      <c r="F6" s="1328"/>
      <c r="G6" s="3100"/>
      <c r="H6" s="3100"/>
      <c r="I6" s="1328"/>
      <c r="J6" s="3100"/>
      <c r="K6" s="3100"/>
      <c r="L6" s="1328"/>
      <c r="M6" s="3100"/>
      <c r="N6" s="3100"/>
      <c r="O6" s="1328"/>
      <c r="P6" s="3100"/>
      <c r="Q6" s="3100"/>
      <c r="R6" s="1328"/>
      <c r="S6" s="3100"/>
      <c r="T6" s="3101"/>
    </row>
    <row r="7" spans="1:24" ht="16">
      <c r="A7" s="1326" t="s">
        <v>103</v>
      </c>
      <c r="B7" s="257"/>
      <c r="C7" s="1327"/>
      <c r="D7" s="3078"/>
      <c r="E7" s="3078"/>
      <c r="F7" s="1328"/>
      <c r="G7" s="3078"/>
      <c r="H7" s="3078"/>
      <c r="I7" s="1328"/>
      <c r="J7" s="3078"/>
      <c r="K7" s="3078"/>
      <c r="L7" s="1328"/>
      <c r="M7" s="3078"/>
      <c r="N7" s="3078"/>
      <c r="O7" s="1328"/>
      <c r="P7" s="3078"/>
      <c r="Q7" s="3078"/>
      <c r="R7" s="1328"/>
      <c r="S7" s="3078"/>
      <c r="T7" s="3079"/>
    </row>
    <row r="8" spans="1:24" ht="16">
      <c r="A8" s="1326" t="s">
        <v>1196</v>
      </c>
      <c r="B8" s="257"/>
      <c r="C8" s="1327"/>
      <c r="D8" s="3078"/>
      <c r="E8" s="3078"/>
      <c r="F8" s="1328"/>
      <c r="G8" s="3078"/>
      <c r="H8" s="3078"/>
      <c r="I8" s="1328"/>
      <c r="J8" s="3078"/>
      <c r="K8" s="3078"/>
      <c r="L8" s="1328"/>
      <c r="M8" s="3078"/>
      <c r="N8" s="3078"/>
      <c r="O8" s="1328"/>
      <c r="P8" s="3078"/>
      <c r="Q8" s="3078"/>
      <c r="R8" s="1328"/>
      <c r="S8" s="3078"/>
      <c r="T8" s="3079"/>
    </row>
    <row r="9" spans="1:24" ht="16">
      <c r="A9" s="1326" t="s">
        <v>1161</v>
      </c>
      <c r="B9" s="257"/>
      <c r="C9" s="1327"/>
      <c r="D9" s="3078"/>
      <c r="E9" s="3078"/>
      <c r="F9" s="1328"/>
      <c r="G9" s="3078"/>
      <c r="H9" s="3078"/>
      <c r="I9" s="1328"/>
      <c r="J9" s="3078"/>
      <c r="K9" s="3078"/>
      <c r="L9" s="1328"/>
      <c r="M9" s="3078"/>
      <c r="N9" s="3078"/>
      <c r="O9" s="1328"/>
      <c r="P9" s="3078"/>
      <c r="Q9" s="3078"/>
      <c r="R9" s="1328"/>
      <c r="S9" s="3078"/>
      <c r="T9" s="3079"/>
    </row>
    <row r="10" spans="1:24" ht="17" thickBot="1">
      <c r="A10" s="1329" t="s">
        <v>1197</v>
      </c>
      <c r="B10" s="257"/>
      <c r="C10" s="1327"/>
      <c r="D10" s="3080">
        <f>D8-D9</f>
        <v>0</v>
      </c>
      <c r="E10" s="3080"/>
      <c r="F10" s="1328"/>
      <c r="G10" s="3080">
        <f>G8-G9</f>
        <v>0</v>
      </c>
      <c r="H10" s="3080"/>
      <c r="I10" s="1328"/>
      <c r="J10" s="3080">
        <f>J8-J9</f>
        <v>0</v>
      </c>
      <c r="K10" s="3080"/>
      <c r="L10" s="1328"/>
      <c r="M10" s="3080">
        <f>M8-M9</f>
        <v>0</v>
      </c>
      <c r="N10" s="3080"/>
      <c r="O10" s="1328"/>
      <c r="P10" s="3080">
        <f>P8-P9</f>
        <v>0</v>
      </c>
      <c r="Q10" s="3080"/>
      <c r="R10" s="1328"/>
      <c r="S10" s="3080">
        <f>S8-S9</f>
        <v>0</v>
      </c>
      <c r="T10" s="3081"/>
    </row>
    <row r="11" spans="1:24" ht="17" thickBot="1">
      <c r="A11" s="1330"/>
      <c r="B11" s="258"/>
      <c r="C11" s="1331"/>
      <c r="D11" s="244"/>
      <c r="E11" s="1332"/>
      <c r="F11" s="1328"/>
      <c r="G11" s="244"/>
      <c r="H11" s="1332"/>
      <c r="I11" s="1328"/>
      <c r="J11" s="244"/>
      <c r="K11" s="1332"/>
      <c r="L11" s="1328"/>
      <c r="M11" s="244"/>
      <c r="N11" s="1332"/>
      <c r="O11" s="1328"/>
      <c r="P11" s="244"/>
      <c r="Q11" s="1332"/>
      <c r="R11" s="1328"/>
      <c r="S11" s="244"/>
      <c r="T11" s="1333"/>
    </row>
    <row r="12" spans="1:24" ht="16">
      <c r="A12" s="1334" t="s">
        <v>1198</v>
      </c>
      <c r="B12" s="258"/>
      <c r="C12" s="1331"/>
      <c r="D12" s="3096"/>
      <c r="E12" s="3096"/>
      <c r="F12" s="1328"/>
      <c r="G12" s="3096"/>
      <c r="H12" s="3096"/>
      <c r="I12" s="1328"/>
      <c r="J12" s="3096"/>
      <c r="K12" s="3096"/>
      <c r="L12" s="1328"/>
      <c r="M12" s="3096"/>
      <c r="N12" s="3096"/>
      <c r="O12" s="1328"/>
      <c r="P12" s="3096"/>
      <c r="Q12" s="3096"/>
      <c r="R12" s="1328"/>
      <c r="S12" s="3096"/>
      <c r="T12" s="3097"/>
    </row>
    <row r="13" spans="1:24" ht="17" thickBot="1">
      <c r="A13" s="1335" t="s">
        <v>1199</v>
      </c>
      <c r="B13" s="258"/>
      <c r="C13" s="1331"/>
      <c r="D13" s="3100"/>
      <c r="E13" s="3100"/>
      <c r="F13" s="1328"/>
      <c r="G13" s="3100"/>
      <c r="H13" s="3100"/>
      <c r="I13" s="1328"/>
      <c r="J13" s="3100"/>
      <c r="K13" s="3100"/>
      <c r="L13" s="1328"/>
      <c r="M13" s="3100"/>
      <c r="N13" s="3100"/>
      <c r="O13" s="1328"/>
      <c r="P13" s="3100"/>
      <c r="Q13" s="3100"/>
      <c r="R13" s="1328"/>
      <c r="S13" s="3100"/>
      <c r="T13" s="3101"/>
    </row>
    <row r="14" spans="1:24" ht="17" thickBot="1">
      <c r="A14" s="1330"/>
      <c r="B14" s="258"/>
      <c r="C14" s="1331"/>
      <c r="D14" s="244"/>
      <c r="E14" s="1332"/>
      <c r="F14" s="1328"/>
      <c r="G14" s="244"/>
      <c r="H14" s="1332"/>
      <c r="I14" s="1328"/>
      <c r="J14" s="244"/>
      <c r="K14" s="1332"/>
      <c r="L14" s="1328"/>
      <c r="M14" s="244"/>
      <c r="N14" s="1332"/>
      <c r="O14" s="1328"/>
      <c r="P14" s="244"/>
      <c r="Q14" s="1332"/>
      <c r="R14" s="1328"/>
      <c r="S14" s="244"/>
      <c r="T14" s="1333"/>
    </row>
    <row r="15" spans="1:24" ht="16">
      <c r="A15" s="1334" t="s">
        <v>1200</v>
      </c>
      <c r="B15" s="258"/>
      <c r="C15" s="1331"/>
      <c r="D15" s="3078"/>
      <c r="E15" s="3078"/>
      <c r="F15" s="1328"/>
      <c r="G15" s="3078"/>
      <c r="H15" s="3078"/>
      <c r="I15" s="1328"/>
      <c r="J15" s="3078"/>
      <c r="K15" s="3078"/>
      <c r="L15" s="1328"/>
      <c r="M15" s="3078"/>
      <c r="N15" s="3078"/>
      <c r="O15" s="1328"/>
      <c r="P15" s="3078"/>
      <c r="Q15" s="3078"/>
      <c r="R15" s="1328"/>
      <c r="S15" s="3078"/>
      <c r="T15" s="3079"/>
    </row>
    <row r="16" spans="1:24" ht="16">
      <c r="A16" s="1330" t="s">
        <v>1201</v>
      </c>
      <c r="B16" s="258"/>
      <c r="C16" s="1331" t="s">
        <v>1202</v>
      </c>
      <c r="D16" s="3078"/>
      <c r="E16" s="3078"/>
      <c r="F16" s="1328"/>
      <c r="G16" s="3078"/>
      <c r="H16" s="3078"/>
      <c r="I16" s="1328"/>
      <c r="J16" s="3078"/>
      <c r="K16" s="3078"/>
      <c r="L16" s="1328"/>
      <c r="M16" s="3078"/>
      <c r="N16" s="3078"/>
      <c r="O16" s="1328"/>
      <c r="P16" s="3078"/>
      <c r="Q16" s="3078"/>
      <c r="R16" s="1328"/>
      <c r="S16" s="3078"/>
      <c r="T16" s="3079"/>
    </row>
    <row r="17" spans="1:20" ht="17" thickBot="1">
      <c r="A17" s="1335" t="s">
        <v>810</v>
      </c>
      <c r="B17" s="258"/>
      <c r="C17" s="1331" t="s">
        <v>1203</v>
      </c>
      <c r="D17" s="3080">
        <f>D15-D16</f>
        <v>0</v>
      </c>
      <c r="E17" s="3080"/>
      <c r="F17" s="1328"/>
      <c r="G17" s="3080">
        <f>G15-G16</f>
        <v>0</v>
      </c>
      <c r="H17" s="3080"/>
      <c r="I17" s="1328"/>
      <c r="J17" s="3080">
        <f>J15-J16</f>
        <v>0</v>
      </c>
      <c r="K17" s="3080"/>
      <c r="L17" s="1328"/>
      <c r="M17" s="3080">
        <f>M15-M16</f>
        <v>0</v>
      </c>
      <c r="N17" s="3080"/>
      <c r="O17" s="1328"/>
      <c r="P17" s="3080">
        <f>P15-P16</f>
        <v>0</v>
      </c>
      <c r="Q17" s="3080"/>
      <c r="R17" s="1328"/>
      <c r="S17" s="3080">
        <f>S15-S16</f>
        <v>0</v>
      </c>
      <c r="T17" s="3081"/>
    </row>
    <row r="18" spans="1:20" ht="16">
      <c r="A18" s="1330"/>
      <c r="B18" s="258"/>
      <c r="C18" s="1331"/>
      <c r="D18" s="244"/>
      <c r="E18" s="1332"/>
      <c r="F18" s="1328"/>
      <c r="G18" s="244"/>
      <c r="H18" s="1332"/>
      <c r="I18" s="1328"/>
      <c r="J18" s="244"/>
      <c r="K18" s="1332"/>
      <c r="L18" s="1328"/>
      <c r="M18" s="244"/>
      <c r="N18" s="1332"/>
      <c r="O18" s="1328"/>
      <c r="P18" s="244"/>
      <c r="Q18" s="1332"/>
      <c r="R18" s="1328"/>
      <c r="S18" s="244"/>
      <c r="T18" s="1333"/>
    </row>
    <row r="19" spans="1:20" ht="16">
      <c r="A19" s="248" t="s">
        <v>1204</v>
      </c>
      <c r="B19" s="1342"/>
      <c r="C19" s="1336"/>
      <c r="D19" s="3104"/>
      <c r="E19" s="3106"/>
      <c r="F19" s="1328"/>
      <c r="G19" s="3104"/>
      <c r="H19" s="3106"/>
      <c r="I19" s="1328"/>
      <c r="J19" s="3104"/>
      <c r="K19" s="3106"/>
      <c r="L19" s="1328"/>
      <c r="M19" s="3104"/>
      <c r="N19" s="3106"/>
      <c r="O19" s="1328"/>
      <c r="P19" s="3104"/>
      <c r="Q19" s="3106"/>
      <c r="R19" s="1328"/>
      <c r="S19" s="3104"/>
      <c r="T19" s="3105"/>
    </row>
    <row r="20" spans="1:20" ht="16">
      <c r="A20" s="248" t="s">
        <v>1205</v>
      </c>
      <c r="B20" s="1342"/>
      <c r="C20" s="1336" t="s">
        <v>1206</v>
      </c>
      <c r="D20" s="3078"/>
      <c r="E20" s="3078"/>
      <c r="F20" s="1328"/>
      <c r="G20" s="3078"/>
      <c r="H20" s="3078"/>
      <c r="I20" s="1328"/>
      <c r="J20" s="3078"/>
      <c r="K20" s="3078"/>
      <c r="L20" s="1328"/>
      <c r="M20" s="3078"/>
      <c r="N20" s="3078"/>
      <c r="O20" s="1328"/>
      <c r="P20" s="3078"/>
      <c r="Q20" s="3078"/>
      <c r="R20" s="1328"/>
      <c r="S20" s="3078"/>
      <c r="T20" s="3079"/>
    </row>
    <row r="21" spans="1:20" ht="16">
      <c r="A21" s="248" t="s">
        <v>1207</v>
      </c>
      <c r="B21" s="1342"/>
      <c r="C21" s="1336" t="s">
        <v>1206</v>
      </c>
      <c r="D21" s="3078"/>
      <c r="E21" s="3078"/>
      <c r="F21" s="1328"/>
      <c r="G21" s="3078"/>
      <c r="H21" s="3078"/>
      <c r="I21" s="1328"/>
      <c r="J21" s="3078"/>
      <c r="K21" s="3078"/>
      <c r="L21" s="1328"/>
      <c r="M21" s="3078"/>
      <c r="N21" s="3078"/>
      <c r="O21" s="1328"/>
      <c r="P21" s="3078"/>
      <c r="Q21" s="3078"/>
      <c r="R21" s="1328"/>
      <c r="S21" s="3078"/>
      <c r="T21" s="3079"/>
    </row>
    <row r="22" spans="1:20" ht="16">
      <c r="A22" s="248" t="s">
        <v>1208</v>
      </c>
      <c r="B22" s="1342"/>
      <c r="C22" s="1336" t="s">
        <v>1206</v>
      </c>
      <c r="D22" s="3078"/>
      <c r="E22" s="3078"/>
      <c r="F22" s="1328"/>
      <c r="G22" s="3078"/>
      <c r="H22" s="3078"/>
      <c r="I22" s="1328"/>
      <c r="J22" s="3078"/>
      <c r="K22" s="3078"/>
      <c r="L22" s="1328"/>
      <c r="M22" s="3078"/>
      <c r="N22" s="3078"/>
      <c r="O22" s="1328"/>
      <c r="P22" s="3078"/>
      <c r="Q22" s="3078"/>
      <c r="R22" s="1328"/>
      <c r="S22" s="3078"/>
      <c r="T22" s="3079"/>
    </row>
    <row r="23" spans="1:20" ht="16">
      <c r="A23" s="248" t="s">
        <v>1209</v>
      </c>
      <c r="B23" s="1342"/>
      <c r="C23" s="1336" t="s">
        <v>1206</v>
      </c>
      <c r="D23" s="3078"/>
      <c r="E23" s="3078"/>
      <c r="F23" s="1328"/>
      <c r="G23" s="3078"/>
      <c r="H23" s="3078"/>
      <c r="I23" s="1328"/>
      <c r="J23" s="3078"/>
      <c r="K23" s="3078"/>
      <c r="L23" s="1328"/>
      <c r="M23" s="3078"/>
      <c r="N23" s="3078"/>
      <c r="O23" s="1328"/>
      <c r="P23" s="3078"/>
      <c r="Q23" s="3078"/>
      <c r="R23" s="1328"/>
      <c r="S23" s="3078"/>
      <c r="T23" s="3079"/>
    </row>
    <row r="24" spans="1:20" ht="16">
      <c r="A24" s="248" t="s">
        <v>1210</v>
      </c>
      <c r="B24" s="1342"/>
      <c r="C24" s="1336" t="s">
        <v>1203</v>
      </c>
      <c r="D24" s="3080">
        <f>D17+SUM(D20:E23)</f>
        <v>0</v>
      </c>
      <c r="E24" s="3080"/>
      <c r="F24" s="1328"/>
      <c r="G24" s="3080">
        <f>G17+SUM(G20:H23)</f>
        <v>0</v>
      </c>
      <c r="H24" s="3080"/>
      <c r="I24" s="1328"/>
      <c r="J24" s="3080">
        <f>J17+SUM(J20:K23)</f>
        <v>0</v>
      </c>
      <c r="K24" s="3080"/>
      <c r="L24" s="1328"/>
      <c r="M24" s="3080">
        <f>M17+SUM(M20:N23)</f>
        <v>0</v>
      </c>
      <c r="N24" s="3080"/>
      <c r="O24" s="1328"/>
      <c r="P24" s="3080">
        <f>P17+SUM(P20:Q23)</f>
        <v>0</v>
      </c>
      <c r="Q24" s="3080"/>
      <c r="R24" s="1328"/>
      <c r="S24" s="3080">
        <f>S17+SUM(S20:T23)</f>
        <v>0</v>
      </c>
      <c r="T24" s="3081"/>
    </row>
    <row r="25" spans="1:20" ht="16">
      <c r="A25" s="1330"/>
      <c r="B25" s="258"/>
      <c r="C25" s="1331"/>
      <c r="D25" s="244"/>
      <c r="E25" s="1332"/>
      <c r="F25" s="1328"/>
      <c r="G25" s="244"/>
      <c r="H25" s="1332"/>
      <c r="I25" s="1328"/>
      <c r="J25" s="244"/>
      <c r="K25" s="1332"/>
      <c r="L25" s="1328"/>
      <c r="M25" s="244"/>
      <c r="N25" s="1332"/>
      <c r="O25" s="1328"/>
      <c r="P25" s="244"/>
      <c r="Q25" s="1332"/>
      <c r="R25" s="1328"/>
      <c r="S25" s="244"/>
      <c r="T25" s="1333"/>
    </row>
    <row r="26" spans="1:20" ht="16">
      <c r="A26" s="1330" t="s">
        <v>1211</v>
      </c>
      <c r="B26" s="258"/>
      <c r="C26" s="1331"/>
      <c r="D26" s="3102"/>
      <c r="E26" s="3102"/>
      <c r="F26" s="1328"/>
      <c r="G26" s="3102"/>
      <c r="H26" s="3102"/>
      <c r="I26" s="1328"/>
      <c r="J26" s="3102"/>
      <c r="K26" s="3102"/>
      <c r="L26" s="1328"/>
      <c r="M26" s="3102"/>
      <c r="N26" s="3102"/>
      <c r="O26" s="1328"/>
      <c r="P26" s="3102"/>
      <c r="Q26" s="3102"/>
      <c r="R26" s="1328"/>
      <c r="S26" s="3102"/>
      <c r="T26" s="3103"/>
    </row>
    <row r="27" spans="1:20" ht="16">
      <c r="A27" s="1330"/>
      <c r="B27" s="258"/>
      <c r="C27" s="1331"/>
      <c r="D27" s="244"/>
      <c r="E27" s="1332"/>
      <c r="F27" s="1328"/>
      <c r="G27" s="244"/>
      <c r="H27" s="1332"/>
      <c r="I27" s="1328"/>
      <c r="J27" s="244"/>
      <c r="K27" s="1332"/>
      <c r="L27" s="1328"/>
      <c r="M27" s="244"/>
      <c r="N27" s="1332"/>
      <c r="O27" s="1328"/>
      <c r="P27" s="244"/>
      <c r="Q27" s="1332"/>
      <c r="R27" s="1328"/>
      <c r="S27" s="244"/>
      <c r="T27" s="1333"/>
    </row>
    <row r="28" spans="1:20" ht="16">
      <c r="A28" s="1330" t="s">
        <v>1212</v>
      </c>
      <c r="B28" s="258"/>
      <c r="C28" s="1331"/>
      <c r="D28" s="3080">
        <f>D24*D26</f>
        <v>0</v>
      </c>
      <c r="E28" s="3080"/>
      <c r="F28" s="1328"/>
      <c r="G28" s="3080">
        <f>G24*G26</f>
        <v>0</v>
      </c>
      <c r="H28" s="3080"/>
      <c r="I28" s="1328"/>
      <c r="J28" s="3080">
        <f>J24*J26</f>
        <v>0</v>
      </c>
      <c r="K28" s="3080"/>
      <c r="L28" s="1328"/>
      <c r="M28" s="3080">
        <f>M24*M26</f>
        <v>0</v>
      </c>
      <c r="N28" s="3080"/>
      <c r="O28" s="1328"/>
      <c r="P28" s="3080">
        <f>P24*P26</f>
        <v>0</v>
      </c>
      <c r="Q28" s="3080"/>
      <c r="R28" s="1328"/>
      <c r="S28" s="3080">
        <f>S24*S26</f>
        <v>0</v>
      </c>
      <c r="T28" s="3081"/>
    </row>
    <row r="29" spans="1:20" ht="16">
      <c r="A29" s="1330"/>
      <c r="B29" s="258"/>
      <c r="C29" s="1331"/>
      <c r="D29" s="244"/>
      <c r="E29" s="1332"/>
      <c r="F29" s="1328"/>
      <c r="G29" s="244"/>
      <c r="H29" s="1332"/>
      <c r="I29" s="1328"/>
      <c r="J29" s="244"/>
      <c r="K29" s="1332"/>
      <c r="L29" s="1328"/>
      <c r="M29" s="244"/>
      <c r="N29" s="1332"/>
      <c r="O29" s="1328"/>
      <c r="P29" s="244"/>
      <c r="Q29" s="1332"/>
      <c r="R29" s="1328"/>
      <c r="S29" s="244"/>
      <c r="T29" s="1333"/>
    </row>
    <row r="30" spans="1:20" ht="16">
      <c r="A30" s="1330" t="s">
        <v>1213</v>
      </c>
      <c r="B30" s="258"/>
      <c r="C30" s="1331"/>
      <c r="D30" s="3078"/>
      <c r="E30" s="3078"/>
      <c r="F30" s="1328"/>
      <c r="G30" s="3078"/>
      <c r="H30" s="3078"/>
      <c r="I30" s="1328"/>
      <c r="J30" s="3078"/>
      <c r="K30" s="3078"/>
      <c r="L30" s="1328"/>
      <c r="M30" s="3078"/>
      <c r="N30" s="3078"/>
      <c r="O30" s="1328"/>
      <c r="P30" s="3078"/>
      <c r="Q30" s="3078"/>
      <c r="R30" s="1328"/>
      <c r="S30" s="3078"/>
      <c r="T30" s="3079"/>
    </row>
    <row r="31" spans="1:20" ht="16">
      <c r="A31" s="1330" t="s">
        <v>1214</v>
      </c>
      <c r="B31" s="258"/>
      <c r="C31" s="1331"/>
      <c r="D31" s="3091">
        <f>D26</f>
        <v>0</v>
      </c>
      <c r="E31" s="3107"/>
      <c r="F31" s="1328"/>
      <c r="G31" s="3091">
        <f>G26</f>
        <v>0</v>
      </c>
      <c r="H31" s="3107"/>
      <c r="I31" s="1328"/>
      <c r="J31" s="3091">
        <f>J26</f>
        <v>0</v>
      </c>
      <c r="K31" s="3107"/>
      <c r="L31" s="1328"/>
      <c r="M31" s="3091">
        <f>M26</f>
        <v>0</v>
      </c>
      <c r="N31" s="3107"/>
      <c r="O31" s="1328"/>
      <c r="P31" s="3091">
        <f>P26</f>
        <v>0</v>
      </c>
      <c r="Q31" s="3107"/>
      <c r="R31" s="1328"/>
      <c r="S31" s="3091">
        <f>S26</f>
        <v>0</v>
      </c>
      <c r="T31" s="3092"/>
    </row>
    <row r="32" spans="1:20" ht="16">
      <c r="A32" s="1330" t="s">
        <v>1215</v>
      </c>
      <c r="B32" s="258"/>
      <c r="C32" s="1331"/>
      <c r="D32" s="3080">
        <f>D30*D31</f>
        <v>0</v>
      </c>
      <c r="E32" s="3080"/>
      <c r="F32" s="1328"/>
      <c r="G32" s="3080">
        <f>G30*G31</f>
        <v>0</v>
      </c>
      <c r="H32" s="3080"/>
      <c r="I32" s="1328"/>
      <c r="J32" s="3080">
        <f>J30*J31</f>
        <v>0</v>
      </c>
      <c r="K32" s="3080"/>
      <c r="L32" s="1328"/>
      <c r="M32" s="3080">
        <f>M30*M31</f>
        <v>0</v>
      </c>
      <c r="N32" s="3080"/>
      <c r="O32" s="1328"/>
      <c r="P32" s="3080">
        <f>P30*P31</f>
        <v>0</v>
      </c>
      <c r="Q32" s="3080"/>
      <c r="R32" s="1328"/>
      <c r="S32" s="3080">
        <f>S30*S31</f>
        <v>0</v>
      </c>
      <c r="T32" s="3081"/>
    </row>
    <row r="33" spans="1:20" ht="16">
      <c r="A33" s="1330"/>
      <c r="B33" s="258"/>
      <c r="C33" s="1331"/>
      <c r="D33" s="244"/>
      <c r="E33" s="1332"/>
      <c r="F33" s="1328"/>
      <c r="G33" s="244"/>
      <c r="H33" s="1332"/>
      <c r="I33" s="1328"/>
      <c r="J33" s="244"/>
      <c r="K33" s="1332"/>
      <c r="L33" s="1328"/>
      <c r="M33" s="244"/>
      <c r="N33" s="1332"/>
      <c r="O33" s="1328"/>
      <c r="P33" s="244"/>
      <c r="Q33" s="1332"/>
      <c r="R33" s="1328"/>
      <c r="S33" s="244"/>
      <c r="T33" s="1333"/>
    </row>
    <row r="34" spans="1:20" ht="17" thickBot="1">
      <c r="A34" s="1330" t="s">
        <v>1216</v>
      </c>
      <c r="B34" s="256"/>
      <c r="C34" s="1331"/>
      <c r="D34" s="3080">
        <f>D28-D32</f>
        <v>0</v>
      </c>
      <c r="E34" s="3080"/>
      <c r="F34" s="1328"/>
      <c r="G34" s="3080">
        <f>G28-G32</f>
        <v>0</v>
      </c>
      <c r="H34" s="3080"/>
      <c r="I34" s="1328"/>
      <c r="J34" s="3080">
        <f>J28-J32</f>
        <v>0</v>
      </c>
      <c r="K34" s="3080"/>
      <c r="L34" s="1328"/>
      <c r="M34" s="3080">
        <f>M28-M32</f>
        <v>0</v>
      </c>
      <c r="N34" s="3080"/>
      <c r="O34" s="1328"/>
      <c r="P34" s="3080">
        <f>P28-P32</f>
        <v>0</v>
      </c>
      <c r="Q34" s="3080"/>
      <c r="R34" s="1328"/>
      <c r="S34" s="3080">
        <f>S28-S32</f>
        <v>0</v>
      </c>
      <c r="T34" s="3081"/>
    </row>
    <row r="35" spans="1:20" ht="17" thickBot="1">
      <c r="A35" s="658">
        <f>D34+G34+J34+M34+P34+S34</f>
        <v>0</v>
      </c>
      <c r="B35" s="1331"/>
      <c r="C35" s="1331"/>
      <c r="D35" s="1151"/>
      <c r="E35" s="1151"/>
      <c r="F35" s="1328"/>
      <c r="G35" s="1151"/>
      <c r="H35" s="1151"/>
      <c r="I35" s="1328"/>
      <c r="J35" s="1151"/>
      <c r="K35" s="1151"/>
      <c r="L35" s="1328"/>
      <c r="M35" s="1151"/>
      <c r="N35" s="1151"/>
      <c r="O35" s="1328"/>
      <c r="P35" s="1151"/>
      <c r="Q35" s="1151"/>
      <c r="R35" s="1328"/>
      <c r="S35" s="1151"/>
      <c r="T35" s="1337"/>
    </row>
    <row r="36" spans="1:20" ht="16">
      <c r="A36" s="1330"/>
      <c r="B36" s="1332"/>
      <c r="C36" s="1331"/>
      <c r="D36" s="1151"/>
      <c r="E36" s="1151"/>
      <c r="F36" s="1328"/>
      <c r="G36" s="1151"/>
      <c r="H36" s="1151"/>
      <c r="I36" s="1328"/>
      <c r="J36" s="1151"/>
      <c r="K36" s="1151"/>
      <c r="L36" s="1328"/>
      <c r="M36" s="1151"/>
      <c r="N36" s="1151"/>
      <c r="O36" s="1328"/>
      <c r="P36" s="1151"/>
      <c r="Q36" s="1151"/>
      <c r="R36" s="1328"/>
      <c r="S36" s="1151"/>
      <c r="T36" s="1337"/>
    </row>
    <row r="37" spans="1:20" ht="16">
      <c r="A37" s="1090" t="s">
        <v>1150</v>
      </c>
      <c r="B37" s="255"/>
      <c r="C37" s="1331"/>
      <c r="D37" s="3078"/>
      <c r="E37" s="3078"/>
      <c r="F37" s="1328"/>
      <c r="G37" s="3078"/>
      <c r="H37" s="3078"/>
      <c r="I37" s="1328"/>
      <c r="J37" s="3078"/>
      <c r="K37" s="3078"/>
      <c r="L37" s="1328"/>
      <c r="M37" s="3078"/>
      <c r="N37" s="3078"/>
      <c r="O37" s="1328"/>
      <c r="P37" s="3078"/>
      <c r="Q37" s="3078"/>
      <c r="R37" s="1328"/>
      <c r="S37" s="3078"/>
      <c r="T37" s="3079"/>
    </row>
    <row r="38" spans="1:20" ht="16">
      <c r="A38" s="1090" t="s">
        <v>1152</v>
      </c>
      <c r="B38" s="258"/>
      <c r="C38" s="1331"/>
      <c r="D38" s="3078"/>
      <c r="E38" s="3078"/>
      <c r="F38" s="1328"/>
      <c r="G38" s="3078"/>
      <c r="H38" s="3078"/>
      <c r="I38" s="1328"/>
      <c r="J38" s="3078"/>
      <c r="K38" s="3078"/>
      <c r="L38" s="1328"/>
      <c r="M38" s="3078"/>
      <c r="N38" s="3078"/>
      <c r="O38" s="1328"/>
      <c r="P38" s="3078"/>
      <c r="Q38" s="3078"/>
      <c r="R38" s="1328"/>
      <c r="S38" s="3078"/>
      <c r="T38" s="3079"/>
    </row>
    <row r="39" spans="1:20" ht="16">
      <c r="A39" s="1090" t="s">
        <v>1154</v>
      </c>
      <c r="B39" s="258"/>
      <c r="C39" s="1331"/>
      <c r="D39" s="3078"/>
      <c r="E39" s="3078"/>
      <c r="F39" s="1328"/>
      <c r="G39" s="3078"/>
      <c r="H39" s="3078"/>
      <c r="I39" s="1328"/>
      <c r="J39" s="3078"/>
      <c r="K39" s="3078"/>
      <c r="L39" s="1328"/>
      <c r="M39" s="3078"/>
      <c r="N39" s="3078"/>
      <c r="O39" s="1328"/>
      <c r="P39" s="3078"/>
      <c r="Q39" s="3078"/>
      <c r="R39" s="1328"/>
      <c r="S39" s="3078"/>
      <c r="T39" s="3079"/>
    </row>
    <row r="40" spans="1:20" ht="16">
      <c r="A40" s="1090" t="s">
        <v>1156</v>
      </c>
      <c r="B40" s="258"/>
      <c r="C40" s="1331"/>
      <c r="D40" s="3078"/>
      <c r="E40" s="3078"/>
      <c r="F40" s="1328"/>
      <c r="G40" s="3078"/>
      <c r="H40" s="3078"/>
      <c r="I40" s="1328"/>
      <c r="J40" s="3078"/>
      <c r="K40" s="3078"/>
      <c r="L40" s="1328"/>
      <c r="M40" s="3078"/>
      <c r="N40" s="3078"/>
      <c r="O40" s="1328"/>
      <c r="P40" s="3078"/>
      <c r="Q40" s="3078"/>
      <c r="R40" s="1328"/>
      <c r="S40" s="3078"/>
      <c r="T40" s="3079"/>
    </row>
    <row r="41" spans="1:20" ht="16">
      <c r="A41" s="1090"/>
      <c r="B41" s="256"/>
      <c r="C41" s="1331"/>
      <c r="D41" s="3080">
        <f>IFERROR(AVERAGE(D37:E40),0)</f>
        <v>0</v>
      </c>
      <c r="E41" s="3080"/>
      <c r="F41" s="1328"/>
      <c r="G41" s="3080">
        <f>IFERROR(AVERAGE(G37:H40),0)</f>
        <v>0</v>
      </c>
      <c r="H41" s="3080"/>
      <c r="I41" s="1328"/>
      <c r="J41" s="3080">
        <f>IFERROR(AVERAGE(J37:K40),0)</f>
        <v>0</v>
      </c>
      <c r="K41" s="3080"/>
      <c r="L41" s="1328"/>
      <c r="M41" s="3080">
        <f>IFERROR(AVERAGE(M37:N40),0)</f>
        <v>0</v>
      </c>
      <c r="N41" s="3080"/>
      <c r="O41" s="1328"/>
      <c r="P41" s="3080">
        <f>IFERROR(AVERAGE(P37:Q40),0)</f>
        <v>0</v>
      </c>
      <c r="Q41" s="3080"/>
      <c r="R41" s="1328"/>
      <c r="S41" s="3080">
        <f>IFERROR(AVERAGE(S37:T40),0)</f>
        <v>0</v>
      </c>
      <c r="T41" s="3081"/>
    </row>
    <row r="42" spans="1:20" ht="16">
      <c r="A42" s="1090"/>
      <c r="B42" s="1332"/>
      <c r="C42" s="1331"/>
      <c r="D42" s="1151"/>
      <c r="E42" s="1151"/>
      <c r="F42" s="1328"/>
      <c r="G42" s="1151"/>
      <c r="H42" s="1151"/>
      <c r="I42" s="1328"/>
      <c r="J42" s="1151"/>
      <c r="K42" s="1151"/>
      <c r="L42" s="1328"/>
      <c r="M42" s="1151"/>
      <c r="N42" s="1151"/>
      <c r="O42" s="1328"/>
      <c r="P42" s="1151"/>
      <c r="Q42" s="1151"/>
      <c r="R42" s="1328"/>
      <c r="S42" s="1151"/>
      <c r="T42" s="1337"/>
    </row>
    <row r="43" spans="1:20" ht="16">
      <c r="A43" s="1090" t="s">
        <v>1160</v>
      </c>
      <c r="B43" s="255"/>
      <c r="C43" s="1331"/>
      <c r="D43" s="3072">
        <f>D26*D41</f>
        <v>0</v>
      </c>
      <c r="E43" s="3072"/>
      <c r="F43" s="1328"/>
      <c r="G43" s="3072">
        <f>G26*G41</f>
        <v>0</v>
      </c>
      <c r="H43" s="3072"/>
      <c r="I43" s="1328"/>
      <c r="J43" s="3072">
        <f>J26*J41</f>
        <v>0</v>
      </c>
      <c r="K43" s="3072"/>
      <c r="L43" s="1328"/>
      <c r="M43" s="3072">
        <f>M26*M41</f>
        <v>0</v>
      </c>
      <c r="N43" s="3072"/>
      <c r="O43" s="1328"/>
      <c r="P43" s="3072">
        <f>P26*P41</f>
        <v>0</v>
      </c>
      <c r="Q43" s="3072"/>
      <c r="R43" s="1328"/>
      <c r="S43" s="3072">
        <f>S26*S41</f>
        <v>0</v>
      </c>
      <c r="T43" s="3073"/>
    </row>
    <row r="44" spans="1:20" ht="16">
      <c r="A44" s="1090" t="s">
        <v>1161</v>
      </c>
      <c r="B44" s="258"/>
      <c r="C44" s="1331"/>
      <c r="D44" s="3072">
        <f>D9</f>
        <v>0</v>
      </c>
      <c r="E44" s="3072"/>
      <c r="F44" s="1328"/>
      <c r="G44" s="3072">
        <f>G9</f>
        <v>0</v>
      </c>
      <c r="H44" s="3072"/>
      <c r="I44" s="1328"/>
      <c r="J44" s="3072">
        <f>J9</f>
        <v>0</v>
      </c>
      <c r="K44" s="3072"/>
      <c r="L44" s="1328"/>
      <c r="M44" s="3072">
        <f>M9</f>
        <v>0</v>
      </c>
      <c r="N44" s="3072"/>
      <c r="O44" s="1328"/>
      <c r="P44" s="3072">
        <f>P9</f>
        <v>0</v>
      </c>
      <c r="Q44" s="3072"/>
      <c r="R44" s="1328"/>
      <c r="S44" s="3072">
        <f>S9</f>
        <v>0</v>
      </c>
      <c r="T44" s="3073"/>
    </row>
    <row r="45" spans="1:20" ht="16">
      <c r="A45" s="1090" t="s">
        <v>1163</v>
      </c>
      <c r="B45" s="258"/>
      <c r="C45" s="1331"/>
      <c r="D45" s="3072">
        <f>D41-D44</f>
        <v>0</v>
      </c>
      <c r="E45" s="3072"/>
      <c r="F45" s="1328"/>
      <c r="G45" s="3072">
        <f>G41-G44</f>
        <v>0</v>
      </c>
      <c r="H45" s="3072"/>
      <c r="I45" s="1328"/>
      <c r="J45" s="3072">
        <f>J41-J44</f>
        <v>0</v>
      </c>
      <c r="K45" s="3072"/>
      <c r="L45" s="1328"/>
      <c r="M45" s="3072">
        <f>M41-M44</f>
        <v>0</v>
      </c>
      <c r="N45" s="3072"/>
      <c r="O45" s="1328"/>
      <c r="P45" s="3072">
        <f>P41-P44</f>
        <v>0</v>
      </c>
      <c r="Q45" s="3072"/>
      <c r="R45" s="1328"/>
      <c r="S45" s="3072">
        <f>S41-S44</f>
        <v>0</v>
      </c>
      <c r="T45" s="3073"/>
    </row>
    <row r="46" spans="1:20" ht="16">
      <c r="A46" s="1090" t="s">
        <v>1217</v>
      </c>
      <c r="B46" s="258"/>
      <c r="C46" s="1331"/>
      <c r="D46" s="3074">
        <f>IFERROR(D45/D43,0)</f>
        <v>0</v>
      </c>
      <c r="E46" s="3075"/>
      <c r="F46" s="1328"/>
      <c r="G46" s="3074">
        <f>IFERROR(G45/G43,0)</f>
        <v>0</v>
      </c>
      <c r="H46" s="3075"/>
      <c r="I46" s="1328"/>
      <c r="J46" s="3074">
        <f>IFERROR(J45/J43,0)</f>
        <v>0</v>
      </c>
      <c r="K46" s="3075"/>
      <c r="L46" s="1328"/>
      <c r="M46" s="3074">
        <f>IFERROR(M45/M43,0)</f>
        <v>0</v>
      </c>
      <c r="N46" s="3075"/>
      <c r="O46" s="1328"/>
      <c r="P46" s="3074">
        <f>IFERROR(P45/P43,0)</f>
        <v>0</v>
      </c>
      <c r="Q46" s="3075"/>
      <c r="R46" s="1328"/>
      <c r="S46" s="3074">
        <f>IFERROR(S45/S43,0)</f>
        <v>0</v>
      </c>
      <c r="T46" s="3075"/>
    </row>
    <row r="47" spans="1:20" ht="16">
      <c r="A47" s="1090" t="s">
        <v>1165</v>
      </c>
      <c r="B47" s="258"/>
      <c r="C47" s="1331"/>
      <c r="D47" s="3076">
        <v>0.8</v>
      </c>
      <c r="E47" s="3076"/>
      <c r="F47" s="1328"/>
      <c r="G47" s="3076">
        <v>0.8</v>
      </c>
      <c r="H47" s="3076"/>
      <c r="I47" s="1328"/>
      <c r="J47" s="3076">
        <v>0.8</v>
      </c>
      <c r="K47" s="3076"/>
      <c r="L47" s="1328"/>
      <c r="M47" s="3076">
        <v>0.8</v>
      </c>
      <c r="N47" s="3076"/>
      <c r="O47" s="1328"/>
      <c r="P47" s="3076">
        <v>0.8</v>
      </c>
      <c r="Q47" s="3076"/>
      <c r="R47" s="1328"/>
      <c r="S47" s="3076">
        <v>0.8</v>
      </c>
      <c r="T47" s="3077"/>
    </row>
    <row r="48" spans="1:20" ht="16">
      <c r="A48" s="1090" t="s">
        <v>1167</v>
      </c>
      <c r="B48" s="256"/>
      <c r="C48" s="1331"/>
      <c r="D48" s="3072">
        <f>(D41*D47)-D44</f>
        <v>0</v>
      </c>
      <c r="E48" s="3072"/>
      <c r="F48" s="1328"/>
      <c r="G48" s="3072">
        <f>(G41*G47)-G44</f>
        <v>0</v>
      </c>
      <c r="H48" s="3072"/>
      <c r="I48" s="1328"/>
      <c r="J48" s="3072">
        <f>(J41*J47)-J44</f>
        <v>0</v>
      </c>
      <c r="K48" s="3072"/>
      <c r="L48" s="1328"/>
      <c r="M48" s="3072">
        <f>(M41*M47)-M44</f>
        <v>0</v>
      </c>
      <c r="N48" s="3072"/>
      <c r="O48" s="1328"/>
      <c r="P48" s="3072">
        <f>(P41*P47)-P44</f>
        <v>0</v>
      </c>
      <c r="Q48" s="3072"/>
      <c r="R48" s="1328"/>
      <c r="S48" s="3072">
        <f>(S41*S47)-S44</f>
        <v>0</v>
      </c>
      <c r="T48" s="3073"/>
    </row>
    <row r="49" spans="1:20" ht="16">
      <c r="A49" s="1338"/>
      <c r="B49" s="1339"/>
      <c r="C49" s="1331"/>
      <c r="D49" s="244"/>
      <c r="E49" s="1332"/>
      <c r="F49" s="1328"/>
      <c r="G49" s="1328"/>
      <c r="H49" s="1332"/>
      <c r="I49" s="1328"/>
      <c r="J49" s="1328"/>
      <c r="K49" s="1328"/>
      <c r="L49" s="1328"/>
      <c r="M49" s="244"/>
      <c r="N49" s="244"/>
      <c r="O49" s="1328"/>
      <c r="P49" s="244"/>
      <c r="Q49" s="244"/>
      <c r="R49" s="1328"/>
      <c r="S49" s="244"/>
      <c r="T49" s="251"/>
    </row>
    <row r="50" spans="1:20" ht="17" thickBot="1">
      <c r="A50" s="3093" t="s">
        <v>447</v>
      </c>
      <c r="B50" s="3094"/>
      <c r="C50" s="3094"/>
      <c r="D50" s="3094"/>
      <c r="E50" s="3094"/>
      <c r="F50" s="3094"/>
      <c r="G50" s="3094"/>
      <c r="H50" s="3094"/>
      <c r="I50" s="3094"/>
      <c r="J50" s="3094"/>
      <c r="K50" s="3094"/>
      <c r="L50" s="3094"/>
      <c r="M50" s="3094"/>
      <c r="N50" s="3094"/>
      <c r="O50" s="3094"/>
      <c r="P50" s="3094"/>
      <c r="Q50" s="3094"/>
      <c r="R50" s="3094"/>
      <c r="S50" s="3094"/>
      <c r="T50" s="3095"/>
    </row>
    <row r="51" spans="1:20" ht="16">
      <c r="A51" s="3088"/>
      <c r="B51" s="3089"/>
      <c r="C51" s="3089"/>
      <c r="D51" s="3089"/>
      <c r="E51" s="3089"/>
      <c r="F51" s="3089"/>
      <c r="G51" s="3089"/>
      <c r="H51" s="3089"/>
      <c r="I51" s="3089"/>
      <c r="J51" s="3089"/>
      <c r="K51" s="3089"/>
      <c r="L51" s="3089"/>
      <c r="M51" s="3089"/>
      <c r="N51" s="3089"/>
      <c r="O51" s="3089"/>
      <c r="P51" s="3089"/>
      <c r="Q51" s="3089"/>
      <c r="R51" s="3089"/>
      <c r="S51" s="3089"/>
      <c r="T51" s="3090"/>
    </row>
    <row r="52" spans="1:20" ht="16">
      <c r="A52" s="3085"/>
      <c r="B52" s="3086"/>
      <c r="C52" s="3086"/>
      <c r="D52" s="3086"/>
      <c r="E52" s="3086"/>
      <c r="F52" s="3086"/>
      <c r="G52" s="3086"/>
      <c r="H52" s="3086"/>
      <c r="I52" s="3086"/>
      <c r="J52" s="3086"/>
      <c r="K52" s="3086"/>
      <c r="L52" s="3086"/>
      <c r="M52" s="3086"/>
      <c r="N52" s="3086"/>
      <c r="O52" s="3086"/>
      <c r="P52" s="3086"/>
      <c r="Q52" s="3086"/>
      <c r="R52" s="3086"/>
      <c r="S52" s="3086"/>
      <c r="T52" s="3087"/>
    </row>
    <row r="53" spans="1:20" ht="16">
      <c r="A53" s="3085"/>
      <c r="B53" s="3086"/>
      <c r="C53" s="3086"/>
      <c r="D53" s="3086"/>
      <c r="E53" s="3086"/>
      <c r="F53" s="3086"/>
      <c r="G53" s="3086"/>
      <c r="H53" s="3086"/>
      <c r="I53" s="3086"/>
      <c r="J53" s="3086"/>
      <c r="K53" s="3086"/>
      <c r="L53" s="3086"/>
      <c r="M53" s="3086"/>
      <c r="N53" s="3086"/>
      <c r="O53" s="3086"/>
      <c r="P53" s="3086"/>
      <c r="Q53" s="3086"/>
      <c r="R53" s="3086"/>
      <c r="S53" s="3086"/>
      <c r="T53" s="3087"/>
    </row>
    <row r="54" spans="1:20" ht="16">
      <c r="A54" s="3085"/>
      <c r="B54" s="3086"/>
      <c r="C54" s="3086"/>
      <c r="D54" s="3086"/>
      <c r="E54" s="3086"/>
      <c r="F54" s="3086"/>
      <c r="G54" s="3086"/>
      <c r="H54" s="3086"/>
      <c r="I54" s="3086"/>
      <c r="J54" s="3086"/>
      <c r="K54" s="3086"/>
      <c r="L54" s="3086"/>
      <c r="M54" s="3086"/>
      <c r="N54" s="3086"/>
      <c r="O54" s="3086"/>
      <c r="P54" s="3086"/>
      <c r="Q54" s="3086"/>
      <c r="R54" s="3086"/>
      <c r="S54" s="3086"/>
      <c r="T54" s="3087"/>
    </row>
    <row r="55" spans="1:20" ht="16">
      <c r="A55" s="3085"/>
      <c r="B55" s="3086"/>
      <c r="C55" s="3086"/>
      <c r="D55" s="3086"/>
      <c r="E55" s="3086"/>
      <c r="F55" s="3086"/>
      <c r="G55" s="3086"/>
      <c r="H55" s="3086"/>
      <c r="I55" s="3086"/>
      <c r="J55" s="3086"/>
      <c r="K55" s="3086"/>
      <c r="L55" s="3086"/>
      <c r="M55" s="3086"/>
      <c r="N55" s="3086"/>
      <c r="O55" s="3086"/>
      <c r="P55" s="3086"/>
      <c r="Q55" s="3086"/>
      <c r="R55" s="3086"/>
      <c r="S55" s="3086"/>
      <c r="T55" s="3087"/>
    </row>
    <row r="56" spans="1:20" ht="16">
      <c r="A56" s="3085"/>
      <c r="B56" s="3086"/>
      <c r="C56" s="3086"/>
      <c r="D56" s="3086"/>
      <c r="E56" s="3086"/>
      <c r="F56" s="3086"/>
      <c r="G56" s="3086"/>
      <c r="H56" s="3086"/>
      <c r="I56" s="3086"/>
      <c r="J56" s="3086"/>
      <c r="K56" s="3086"/>
      <c r="L56" s="3086"/>
      <c r="M56" s="3086"/>
      <c r="N56" s="3086"/>
      <c r="O56" s="3086"/>
      <c r="P56" s="3086"/>
      <c r="Q56" s="3086"/>
      <c r="R56" s="3086"/>
      <c r="S56" s="3086"/>
      <c r="T56" s="3087"/>
    </row>
    <row r="57" spans="1:20" ht="16">
      <c r="A57" s="3085"/>
      <c r="B57" s="3086"/>
      <c r="C57" s="3086"/>
      <c r="D57" s="3086"/>
      <c r="E57" s="3086"/>
      <c r="F57" s="3086"/>
      <c r="G57" s="3086"/>
      <c r="H57" s="3086"/>
      <c r="I57" s="3086"/>
      <c r="J57" s="3086"/>
      <c r="K57" s="3086"/>
      <c r="L57" s="3086"/>
      <c r="M57" s="3086"/>
      <c r="N57" s="3086"/>
      <c r="O57" s="3086"/>
      <c r="P57" s="3086"/>
      <c r="Q57" s="3086"/>
      <c r="R57" s="3086"/>
      <c r="S57" s="3086"/>
      <c r="T57" s="3087"/>
    </row>
    <row r="58" spans="1:20" ht="16">
      <c r="A58" s="3085"/>
      <c r="B58" s="3086"/>
      <c r="C58" s="3086"/>
      <c r="D58" s="3086"/>
      <c r="E58" s="3086"/>
      <c r="F58" s="3086"/>
      <c r="G58" s="3086"/>
      <c r="H58" s="3086"/>
      <c r="I58" s="3086"/>
      <c r="J58" s="3086"/>
      <c r="K58" s="3086"/>
      <c r="L58" s="3086"/>
      <c r="M58" s="3086"/>
      <c r="N58" s="3086"/>
      <c r="O58" s="3086"/>
      <c r="P58" s="3086"/>
      <c r="Q58" s="3086"/>
      <c r="R58" s="3086"/>
      <c r="S58" s="3086"/>
      <c r="T58" s="3087"/>
    </row>
    <row r="59" spans="1:20" ht="16">
      <c r="A59" s="3085"/>
      <c r="B59" s="3086"/>
      <c r="C59" s="3086"/>
      <c r="D59" s="3086"/>
      <c r="E59" s="3086"/>
      <c r="F59" s="3086"/>
      <c r="G59" s="3086"/>
      <c r="H59" s="3086"/>
      <c r="I59" s="3086"/>
      <c r="J59" s="3086"/>
      <c r="K59" s="3086"/>
      <c r="L59" s="3086"/>
      <c r="M59" s="3086"/>
      <c r="N59" s="3086"/>
      <c r="O59" s="3086"/>
      <c r="P59" s="3086"/>
      <c r="Q59" s="3086"/>
      <c r="R59" s="3086"/>
      <c r="S59" s="3086"/>
      <c r="T59" s="3087"/>
    </row>
    <row r="60" spans="1:20" ht="16">
      <c r="A60" s="3085"/>
      <c r="B60" s="3086"/>
      <c r="C60" s="3086"/>
      <c r="D60" s="3086"/>
      <c r="E60" s="3086"/>
      <c r="F60" s="3086"/>
      <c r="G60" s="3086"/>
      <c r="H60" s="3086"/>
      <c r="I60" s="3086"/>
      <c r="J60" s="3086"/>
      <c r="K60" s="3086"/>
      <c r="L60" s="3086"/>
      <c r="M60" s="3086"/>
      <c r="N60" s="3086"/>
      <c r="O60" s="3086"/>
      <c r="P60" s="3086"/>
      <c r="Q60" s="3086"/>
      <c r="R60" s="3086"/>
      <c r="S60" s="3086"/>
      <c r="T60" s="3087"/>
    </row>
    <row r="61" spans="1:20" ht="16">
      <c r="A61" s="3085"/>
      <c r="B61" s="3086"/>
      <c r="C61" s="3086"/>
      <c r="D61" s="3086"/>
      <c r="E61" s="3086"/>
      <c r="F61" s="3086"/>
      <c r="G61" s="3086"/>
      <c r="H61" s="3086"/>
      <c r="I61" s="3086"/>
      <c r="J61" s="3086"/>
      <c r="K61" s="3086"/>
      <c r="L61" s="3086"/>
      <c r="M61" s="3086"/>
      <c r="N61" s="3086"/>
      <c r="O61" s="3086"/>
      <c r="P61" s="3086"/>
      <c r="Q61" s="3086"/>
      <c r="R61" s="3086"/>
      <c r="S61" s="3086"/>
      <c r="T61" s="3087"/>
    </row>
    <row r="62" spans="1:20" ht="16">
      <c r="A62" s="3085"/>
      <c r="B62" s="3086"/>
      <c r="C62" s="3086"/>
      <c r="D62" s="3086"/>
      <c r="E62" s="3086"/>
      <c r="F62" s="3086"/>
      <c r="G62" s="3086"/>
      <c r="H62" s="3086"/>
      <c r="I62" s="3086"/>
      <c r="J62" s="3086"/>
      <c r="K62" s="3086"/>
      <c r="L62" s="3086"/>
      <c r="M62" s="3086"/>
      <c r="N62" s="3086"/>
      <c r="O62" s="3086"/>
      <c r="P62" s="3086"/>
      <c r="Q62" s="3086"/>
      <c r="R62" s="3086"/>
      <c r="S62" s="3086"/>
      <c r="T62" s="3087"/>
    </row>
    <row r="63" spans="1:20" ht="16">
      <c r="A63" s="3085"/>
      <c r="B63" s="3086"/>
      <c r="C63" s="3086"/>
      <c r="D63" s="3086"/>
      <c r="E63" s="3086"/>
      <c r="F63" s="3086"/>
      <c r="G63" s="3086"/>
      <c r="H63" s="3086"/>
      <c r="I63" s="3086"/>
      <c r="J63" s="3086"/>
      <c r="K63" s="3086"/>
      <c r="L63" s="3086"/>
      <c r="M63" s="3086"/>
      <c r="N63" s="3086"/>
      <c r="O63" s="3086"/>
      <c r="P63" s="3086"/>
      <c r="Q63" s="3086"/>
      <c r="R63" s="3086"/>
      <c r="S63" s="3086"/>
      <c r="T63" s="3087"/>
    </row>
    <row r="64" spans="1:20" ht="16">
      <c r="A64" s="3085"/>
      <c r="B64" s="3086"/>
      <c r="C64" s="3086"/>
      <c r="D64" s="3086"/>
      <c r="E64" s="3086"/>
      <c r="F64" s="3086"/>
      <c r="G64" s="3086"/>
      <c r="H64" s="3086"/>
      <c r="I64" s="3086"/>
      <c r="J64" s="3086"/>
      <c r="K64" s="3086"/>
      <c r="L64" s="3086"/>
      <c r="M64" s="3086"/>
      <c r="N64" s="3086"/>
      <c r="O64" s="3086"/>
      <c r="P64" s="3086"/>
      <c r="Q64" s="3086"/>
      <c r="R64" s="3086"/>
      <c r="S64" s="3086"/>
      <c r="T64" s="3087"/>
    </row>
    <row r="65" spans="1:20" ht="16">
      <c r="A65" s="3085"/>
      <c r="B65" s="3086"/>
      <c r="C65" s="3086"/>
      <c r="D65" s="3086"/>
      <c r="E65" s="3086"/>
      <c r="F65" s="3086"/>
      <c r="G65" s="3086"/>
      <c r="H65" s="3086"/>
      <c r="I65" s="3086"/>
      <c r="J65" s="3086"/>
      <c r="K65" s="3086"/>
      <c r="L65" s="3086"/>
      <c r="M65" s="3086"/>
      <c r="N65" s="3086"/>
      <c r="O65" s="3086"/>
      <c r="P65" s="3086"/>
      <c r="Q65" s="3086"/>
      <c r="R65" s="3086"/>
      <c r="S65" s="3086"/>
      <c r="T65" s="3087"/>
    </row>
    <row r="66" spans="1:20" ht="17" thickBot="1">
      <c r="A66" s="3082"/>
      <c r="B66" s="3083"/>
      <c r="C66" s="3083"/>
      <c r="D66" s="3083"/>
      <c r="E66" s="3083"/>
      <c r="F66" s="3083"/>
      <c r="G66" s="3083"/>
      <c r="H66" s="3083"/>
      <c r="I66" s="3083"/>
      <c r="J66" s="3083"/>
      <c r="K66" s="3083"/>
      <c r="L66" s="3083"/>
      <c r="M66" s="3083"/>
      <c r="N66" s="3083"/>
      <c r="O66" s="3083"/>
      <c r="P66" s="3083"/>
      <c r="Q66" s="3083"/>
      <c r="R66" s="3083"/>
      <c r="S66" s="3083"/>
      <c r="T66" s="3084"/>
    </row>
  </sheetData>
  <sheetProtection algorithmName="SHA-512" hashValue="o1zAym0mhmLOFve175qh6z13ZH7lLjwXtu6ng1GAQTChL3q6PBDzLNVNu18UlLnEBowCV/LQtVe4K38uVjboXA==" saltValue="c3UWpy0AklyVMd3wQuMQ3g==" spinCount="100000" sheet="1" scenarios="1" formatCells="0" formatColumns="0" formatRows="0"/>
  <customSheetViews>
    <customSheetView guid="{EDC0EC15-0264-48C8-A990-093960AE8EF3}" scale="85" showPageBreaks="1" showGridLines="0" printArea="1">
      <selection activeCell="A6" sqref="A6:A7"/>
      <pageMargins left="0" right="0" top="0" bottom="0" header="0" footer="0"/>
      <printOptions horizontalCentered="1"/>
      <pageSetup scale="77" orientation="landscape" r:id="rId1"/>
      <headerFooter differentFirst="1">
        <firstHeader>&amp;L&amp;G&amp;C&amp;8
&amp;18Credit Memo</firstHeader>
      </headerFooter>
    </customSheetView>
    <customSheetView guid="{6E1FDEE6-49D0-4876-8C7C-09893145D2CE}" scale="85" showPageBreaks="1" showGridLines="0" printArea="1" state="hidden">
      <selection activeCell="U1" sqref="U1:W1"/>
      <pageMargins left="0" right="0" top="0" bottom="0" header="0" footer="0"/>
      <printOptions horizontalCentered="1"/>
      <pageSetup scale="77" orientation="landscape" r:id="rId2"/>
      <headerFooter differentFirst="1">
        <firstHeader>&amp;L&amp;G&amp;C&amp;8
&amp;18Credit Memo</firstHeader>
      </headerFooter>
    </customSheetView>
    <customSheetView guid="{DB1F6E98-7FCC-445F-9DA6-47D8BF8BE969}" scale="85" showPageBreaks="1" showGridLines="0" printArea="1" state="hidden">
      <selection activeCell="U1" sqref="U1:W1"/>
      <pageMargins left="0" right="0" top="0" bottom="0" header="0" footer="0"/>
      <printOptions horizontalCentered="1"/>
      <pageSetup scale="77" orientation="landscape" r:id="rId3"/>
      <headerFooter differentFirst="1">
        <firstHeader>&amp;L&amp;G&amp;C&amp;8
&amp;18Credit Memo</firstHeader>
      </headerFooter>
    </customSheetView>
    <customSheetView guid="{C02CA8E5-5D4C-45E5-BC4A-4C9BE481059B}" scale="85" showPageBreaks="1" showGridLines="0" printArea="1" state="hidden">
      <selection activeCell="U1" sqref="U1:W1"/>
      <pageMargins left="0" right="0" top="0" bottom="0" header="0" footer="0"/>
      <printOptions horizontalCentered="1"/>
      <pageSetup scale="77" orientation="landscape" r:id="rId4"/>
      <headerFooter differentFirst="1">
        <firstHeader>&amp;L&amp;G&amp;C&amp;8
&amp;18Credit Memo</firstHeader>
      </headerFooter>
    </customSheetView>
  </customSheetViews>
  <mergeCells count="229">
    <mergeCell ref="D4:E4"/>
    <mergeCell ref="G4:H4"/>
    <mergeCell ref="D6:E6"/>
    <mergeCell ref="D5:E5"/>
    <mergeCell ref="G5:H5"/>
    <mergeCell ref="J5:K5"/>
    <mergeCell ref="M5:N5"/>
    <mergeCell ref="P5:Q5"/>
    <mergeCell ref="S5:T5"/>
    <mergeCell ref="G6:H6"/>
    <mergeCell ref="J6:K6"/>
    <mergeCell ref="M6:N6"/>
    <mergeCell ref="P6:Q6"/>
    <mergeCell ref="S6:T6"/>
    <mergeCell ref="J4:K4"/>
    <mergeCell ref="M4:N4"/>
    <mergeCell ref="P4:Q4"/>
    <mergeCell ref="S4:T4"/>
    <mergeCell ref="S7:T7"/>
    <mergeCell ref="D8:E8"/>
    <mergeCell ref="G8:H8"/>
    <mergeCell ref="J8:K8"/>
    <mergeCell ref="M8:N8"/>
    <mergeCell ref="P8:Q8"/>
    <mergeCell ref="S8:T8"/>
    <mergeCell ref="D7:E7"/>
    <mergeCell ref="G7:H7"/>
    <mergeCell ref="J7:K7"/>
    <mergeCell ref="M7:N7"/>
    <mergeCell ref="P7:Q7"/>
    <mergeCell ref="D10:E10"/>
    <mergeCell ref="G10:H10"/>
    <mergeCell ref="J10:K10"/>
    <mergeCell ref="M10:N10"/>
    <mergeCell ref="P10:Q10"/>
    <mergeCell ref="S10:T10"/>
    <mergeCell ref="D9:E9"/>
    <mergeCell ref="G9:H9"/>
    <mergeCell ref="J9:K9"/>
    <mergeCell ref="M9:N9"/>
    <mergeCell ref="P9:Q9"/>
    <mergeCell ref="S9:T9"/>
    <mergeCell ref="J12:K12"/>
    <mergeCell ref="M12:N12"/>
    <mergeCell ref="P12:Q12"/>
    <mergeCell ref="S12:T12"/>
    <mergeCell ref="D13:E13"/>
    <mergeCell ref="G13:H13"/>
    <mergeCell ref="J13:K13"/>
    <mergeCell ref="M13:N13"/>
    <mergeCell ref="P13:Q13"/>
    <mergeCell ref="S13:T13"/>
    <mergeCell ref="D12:E12"/>
    <mergeCell ref="G12:H12"/>
    <mergeCell ref="J15:K15"/>
    <mergeCell ref="M15:N15"/>
    <mergeCell ref="P15:Q15"/>
    <mergeCell ref="S15:T15"/>
    <mergeCell ref="D16:E16"/>
    <mergeCell ref="G16:H16"/>
    <mergeCell ref="J16:K16"/>
    <mergeCell ref="M16:N16"/>
    <mergeCell ref="P16:Q16"/>
    <mergeCell ref="S16:T16"/>
    <mergeCell ref="D15:E15"/>
    <mergeCell ref="G15:H15"/>
    <mergeCell ref="J17:K17"/>
    <mergeCell ref="M17:N17"/>
    <mergeCell ref="P17:Q17"/>
    <mergeCell ref="S17:T17"/>
    <mergeCell ref="D19:E19"/>
    <mergeCell ref="G19:H19"/>
    <mergeCell ref="J19:K19"/>
    <mergeCell ref="M19:N19"/>
    <mergeCell ref="P19:Q19"/>
    <mergeCell ref="S19:T19"/>
    <mergeCell ref="D17:E17"/>
    <mergeCell ref="G17:H17"/>
    <mergeCell ref="J20:K20"/>
    <mergeCell ref="M20:N20"/>
    <mergeCell ref="P20:Q20"/>
    <mergeCell ref="S20:T20"/>
    <mergeCell ref="D21:E21"/>
    <mergeCell ref="G21:H21"/>
    <mergeCell ref="J21:K21"/>
    <mergeCell ref="M21:N21"/>
    <mergeCell ref="P21:Q21"/>
    <mergeCell ref="S21:T21"/>
    <mergeCell ref="D20:E20"/>
    <mergeCell ref="G20:H20"/>
    <mergeCell ref="J22:K22"/>
    <mergeCell ref="M22:N22"/>
    <mergeCell ref="P22:Q22"/>
    <mergeCell ref="S22:T22"/>
    <mergeCell ref="D23:E23"/>
    <mergeCell ref="G23:H23"/>
    <mergeCell ref="J23:K23"/>
    <mergeCell ref="M23:N23"/>
    <mergeCell ref="P23:Q23"/>
    <mergeCell ref="S23:T23"/>
    <mergeCell ref="D22:E22"/>
    <mergeCell ref="G22:H22"/>
    <mergeCell ref="J24:K24"/>
    <mergeCell ref="M24:N24"/>
    <mergeCell ref="P24:Q24"/>
    <mergeCell ref="S24:T24"/>
    <mergeCell ref="D26:E26"/>
    <mergeCell ref="G26:H26"/>
    <mergeCell ref="J26:K26"/>
    <mergeCell ref="M26:N26"/>
    <mergeCell ref="P26:Q26"/>
    <mergeCell ref="S26:T26"/>
    <mergeCell ref="D24:E24"/>
    <mergeCell ref="G24:H24"/>
    <mergeCell ref="S28:T28"/>
    <mergeCell ref="D30:E30"/>
    <mergeCell ref="G30:H30"/>
    <mergeCell ref="J30:K30"/>
    <mergeCell ref="M30:N30"/>
    <mergeCell ref="P30:Q30"/>
    <mergeCell ref="S30:T30"/>
    <mergeCell ref="D28:E28"/>
    <mergeCell ref="G28:H28"/>
    <mergeCell ref="J28:K28"/>
    <mergeCell ref="M28:N28"/>
    <mergeCell ref="P28:Q28"/>
    <mergeCell ref="S31:T31"/>
    <mergeCell ref="D32:E32"/>
    <mergeCell ref="G32:H32"/>
    <mergeCell ref="J32:K32"/>
    <mergeCell ref="M32:N32"/>
    <mergeCell ref="P32:Q32"/>
    <mergeCell ref="S32:T32"/>
    <mergeCell ref="D31:E31"/>
    <mergeCell ref="G31:H31"/>
    <mergeCell ref="J31:K31"/>
    <mergeCell ref="M31:N31"/>
    <mergeCell ref="P31:Q31"/>
    <mergeCell ref="S34:T34"/>
    <mergeCell ref="D37:E37"/>
    <mergeCell ref="G37:H37"/>
    <mergeCell ref="J37:K37"/>
    <mergeCell ref="M37:N37"/>
    <mergeCell ref="P37:Q37"/>
    <mergeCell ref="S37:T37"/>
    <mergeCell ref="D34:E34"/>
    <mergeCell ref="G34:H34"/>
    <mergeCell ref="J34:K34"/>
    <mergeCell ref="M34:N34"/>
    <mergeCell ref="P34:Q34"/>
    <mergeCell ref="S38:T38"/>
    <mergeCell ref="D39:E39"/>
    <mergeCell ref="G39:H39"/>
    <mergeCell ref="J39:K39"/>
    <mergeCell ref="M39:N39"/>
    <mergeCell ref="P39:Q39"/>
    <mergeCell ref="S39:T39"/>
    <mergeCell ref="D38:E38"/>
    <mergeCell ref="G38:H38"/>
    <mergeCell ref="J38:K38"/>
    <mergeCell ref="M38:N38"/>
    <mergeCell ref="P38:Q38"/>
    <mergeCell ref="S40:T40"/>
    <mergeCell ref="D41:E41"/>
    <mergeCell ref="G41:H41"/>
    <mergeCell ref="J41:K41"/>
    <mergeCell ref="M41:N41"/>
    <mergeCell ref="P41:Q41"/>
    <mergeCell ref="S41:T41"/>
    <mergeCell ref="D40:E40"/>
    <mergeCell ref="G40:H40"/>
    <mergeCell ref="J40:K40"/>
    <mergeCell ref="M40:N40"/>
    <mergeCell ref="P40:Q40"/>
    <mergeCell ref="S43:T43"/>
    <mergeCell ref="D44:E44"/>
    <mergeCell ref="G44:H44"/>
    <mergeCell ref="J44:K44"/>
    <mergeCell ref="M44:N44"/>
    <mergeCell ref="P44:Q44"/>
    <mergeCell ref="S44:T44"/>
    <mergeCell ref="D43:E43"/>
    <mergeCell ref="G43:H43"/>
    <mergeCell ref="J43:K43"/>
    <mergeCell ref="M43:N43"/>
    <mergeCell ref="P43:Q43"/>
    <mergeCell ref="P48:Q48"/>
    <mergeCell ref="S48:T48"/>
    <mergeCell ref="D47:E47"/>
    <mergeCell ref="G47:H47"/>
    <mergeCell ref="J47:K47"/>
    <mergeCell ref="M47:N47"/>
    <mergeCell ref="P47:Q47"/>
    <mergeCell ref="S45:T45"/>
    <mergeCell ref="D46:E46"/>
    <mergeCell ref="G46:H46"/>
    <mergeCell ref="J46:K46"/>
    <mergeCell ref="M46:N46"/>
    <mergeCell ref="P46:Q46"/>
    <mergeCell ref="S46:T46"/>
    <mergeCell ref="D45:E45"/>
    <mergeCell ref="G45:H45"/>
    <mergeCell ref="J45:K45"/>
    <mergeCell ref="M45:N45"/>
    <mergeCell ref="P45:Q45"/>
    <mergeCell ref="A65:T65"/>
    <mergeCell ref="A66:T66"/>
    <mergeCell ref="A1:T1"/>
    <mergeCell ref="D2:K2"/>
    <mergeCell ref="A60:T60"/>
    <mergeCell ref="A61:T61"/>
    <mergeCell ref="A62:T62"/>
    <mergeCell ref="A63:T63"/>
    <mergeCell ref="A64:T64"/>
    <mergeCell ref="A55:T55"/>
    <mergeCell ref="A56:T56"/>
    <mergeCell ref="A57:T57"/>
    <mergeCell ref="A58:T58"/>
    <mergeCell ref="A59:T59"/>
    <mergeCell ref="A50:T50"/>
    <mergeCell ref="A51:T51"/>
    <mergeCell ref="A52:T52"/>
    <mergeCell ref="A53:T53"/>
    <mergeCell ref="A54:T54"/>
    <mergeCell ref="S47:T47"/>
    <mergeCell ref="D48:E48"/>
    <mergeCell ref="G48:H48"/>
    <mergeCell ref="J48:K48"/>
    <mergeCell ref="M48:N48"/>
  </mergeCells>
  <hyperlinks>
    <hyperlink ref="V1" location="Index!A1" display="Index" xr:uid="{26D416CF-EA36-4D49-A52B-AA1195B2A457}"/>
  </hyperlinks>
  <printOptions horizontalCentered="1"/>
  <pageMargins left="0.7" right="0.7" top="0.75" bottom="0.75" header="0.3" footer="0.3"/>
  <pageSetup scale="49" orientation="landscape" r:id="rId5"/>
  <headerFooter differentFirst="1">
    <firstHeader>&amp;L&amp;G&amp;C&amp;8
&amp;18Credit Memo</first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39D921DF-F5A2-4193-ACAD-84EE5D78F5BF}">
          <x14:formula1>
            <xm:f>Lists!$B$39:$B$42</xm:f>
          </x14:formula1>
          <xm:sqref>D5:E5 G5:H5 J5:K5 M5:N5 P5:Q5 S5:T5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6C900-9809-40EE-BCBE-0B4CA542B00B}">
  <sheetPr codeName="Sheet52">
    <tabColor rgb="FFFFFF00"/>
    <pageSetUpPr autoPageBreaks="0"/>
  </sheetPr>
  <dimension ref="B1:T159"/>
  <sheetViews>
    <sheetView showGridLines="0" topLeftCell="A61" zoomScale="70" zoomScaleNormal="70" workbookViewId="0">
      <selection activeCell="T84" sqref="T84"/>
    </sheetView>
  </sheetViews>
  <sheetFormatPr baseColWidth="10" defaultColWidth="8.83203125" defaultRowHeight="19"/>
  <cols>
    <col min="1" max="1" width="8.83203125" style="128"/>
    <col min="2" max="2" width="3.33203125" style="28" customWidth="1"/>
    <col min="3" max="3" width="6" style="28" customWidth="1"/>
    <col min="4" max="4" width="3.33203125" style="28" customWidth="1"/>
    <col min="5" max="5" width="8.83203125" style="28"/>
    <col min="6" max="6" width="11.33203125" style="28" customWidth="1"/>
    <col min="7" max="7" width="8.83203125" style="28"/>
    <col min="8" max="8" width="10.6640625" style="28" customWidth="1"/>
    <col min="9" max="9" width="12" style="28" bestFit="1" customWidth="1"/>
    <col min="10" max="10" width="9" style="28" customWidth="1"/>
    <col min="11" max="11" width="10.1640625" style="28" bestFit="1" customWidth="1"/>
    <col min="12" max="12" width="13.1640625" style="28" customWidth="1"/>
    <col min="13" max="13" width="12.33203125" style="28" bestFit="1" customWidth="1"/>
    <col min="14" max="14" width="9.6640625" style="28" customWidth="1"/>
    <col min="15" max="16" width="8.83203125" style="28"/>
    <col min="17" max="17" width="9.83203125" style="28" customWidth="1"/>
    <col min="18" max="18" width="9" style="28" customWidth="1"/>
    <col min="19" max="19" width="13.83203125" style="28" bestFit="1" customWidth="1"/>
    <col min="20" max="20" width="8.83203125" style="28"/>
    <col min="21" max="16384" width="8.83203125" style="128"/>
  </cols>
  <sheetData>
    <row r="1" spans="2:20" ht="20" thickBot="1"/>
    <row r="2" spans="2:20">
      <c r="B2" s="3176" t="s">
        <v>1219</v>
      </c>
      <c r="C2" s="3177"/>
      <c r="D2" s="3177"/>
      <c r="E2" s="3177"/>
      <c r="F2" s="3177"/>
      <c r="G2" s="3177"/>
      <c r="H2" s="3177"/>
      <c r="I2" s="3177"/>
      <c r="J2" s="3177"/>
      <c r="K2" s="3177"/>
      <c r="L2" s="3177"/>
      <c r="M2" s="3177"/>
      <c r="N2" s="3177"/>
      <c r="O2" s="3177"/>
      <c r="P2" s="3177"/>
      <c r="Q2" s="3177"/>
      <c r="R2" s="3177"/>
      <c r="S2" s="3177"/>
      <c r="T2" s="3178"/>
    </row>
    <row r="3" spans="2:20" ht="20" customHeight="1" thickBot="1">
      <c r="B3" s="3179" t="s">
        <v>1220</v>
      </c>
      <c r="C3" s="3180"/>
      <c r="D3" s="3180"/>
      <c r="E3" s="3180"/>
      <c r="F3" s="3180"/>
      <c r="G3" s="3180"/>
      <c r="H3" s="3180"/>
      <c r="I3" s="3180"/>
      <c r="J3" s="3180"/>
      <c r="K3" s="3180"/>
      <c r="L3" s="3180"/>
      <c r="M3" s="3180"/>
      <c r="N3" s="3180"/>
      <c r="O3" s="3180"/>
      <c r="P3" s="3180"/>
      <c r="Q3" s="3180"/>
      <c r="R3" s="3180"/>
      <c r="S3" s="3180"/>
      <c r="T3" s="3181"/>
    </row>
    <row r="4" spans="2:20">
      <c r="B4" s="36"/>
      <c r="C4" s="3129" t="s">
        <v>1221</v>
      </c>
      <c r="D4" s="3129"/>
      <c r="E4" s="3129"/>
      <c r="F4" s="3129"/>
      <c r="G4" s="3129"/>
      <c r="H4" s="3129"/>
      <c r="I4" s="3129"/>
      <c r="J4" s="3129"/>
      <c r="K4" s="3129"/>
      <c r="L4" s="3129"/>
      <c r="M4" s="3129"/>
      <c r="N4" s="3129"/>
      <c r="O4" s="3129"/>
      <c r="P4" s="3129"/>
      <c r="Q4" s="3129"/>
      <c r="R4" s="34"/>
      <c r="S4" s="34"/>
      <c r="T4" s="37"/>
    </row>
    <row r="5" spans="2:20">
      <c r="B5" s="36"/>
      <c r="C5" s="3129" t="s">
        <v>1222</v>
      </c>
      <c r="D5" s="3129"/>
      <c r="E5" s="3129"/>
      <c r="F5" s="3129"/>
      <c r="G5" s="3129"/>
      <c r="H5" s="3129"/>
      <c r="I5" s="3129"/>
      <c r="J5" s="3129"/>
      <c r="K5" s="3129"/>
      <c r="L5" s="3129"/>
      <c r="M5" s="3129"/>
      <c r="N5" s="3129"/>
      <c r="O5" s="3129"/>
      <c r="P5" s="3129"/>
      <c r="Q5" s="3129"/>
      <c r="R5" s="3129"/>
      <c r="S5" s="3129"/>
      <c r="T5" s="37"/>
    </row>
    <row r="6" spans="2:20">
      <c r="B6" s="36"/>
      <c r="C6" s="683"/>
      <c r="D6" s="683"/>
      <c r="E6" s="683"/>
      <c r="F6" s="683"/>
      <c r="G6" s="3182"/>
      <c r="H6" s="3182"/>
      <c r="I6" s="3182"/>
      <c r="J6" s="3182"/>
      <c r="K6" s="3182"/>
      <c r="L6" s="3182"/>
      <c r="M6" s="3182"/>
      <c r="N6" s="3182"/>
      <c r="O6" s="3182"/>
      <c r="P6" s="3182"/>
      <c r="Q6" s="3182"/>
      <c r="R6" s="683"/>
      <c r="S6" s="683"/>
      <c r="T6" s="37"/>
    </row>
    <row r="7" spans="2:20">
      <c r="B7" s="36"/>
      <c r="C7" s="1102" t="s">
        <v>1223</v>
      </c>
      <c r="D7" s="34"/>
      <c r="E7" s="1103" t="s">
        <v>1224</v>
      </c>
      <c r="F7" s="1103"/>
      <c r="G7" s="1103"/>
      <c r="H7" s="1103"/>
      <c r="I7" s="1103"/>
      <c r="J7" s="1103"/>
      <c r="K7" s="1103"/>
      <c r="L7" s="1103"/>
      <c r="M7" s="1104"/>
      <c r="N7" s="689"/>
      <c r="O7" s="689"/>
      <c r="P7" s="689"/>
      <c r="Q7" s="689"/>
      <c r="R7" s="689"/>
      <c r="S7" s="689"/>
      <c r="T7" s="37"/>
    </row>
    <row r="8" spans="2:20">
      <c r="B8" s="36"/>
      <c r="C8" s="34"/>
      <c r="D8" s="1105"/>
      <c r="E8" s="3125" t="s">
        <v>1225</v>
      </c>
      <c r="F8" s="3125"/>
      <c r="G8" s="3125"/>
      <c r="H8" s="3125"/>
      <c r="I8" s="3125"/>
      <c r="J8" s="3125"/>
      <c r="K8" s="3125"/>
      <c r="L8" s="34"/>
      <c r="M8" s="34"/>
      <c r="N8" s="34"/>
      <c r="O8" s="34"/>
      <c r="P8" s="34"/>
      <c r="Q8" s="34"/>
      <c r="R8" s="34"/>
      <c r="S8" s="34"/>
      <c r="T8" s="37"/>
    </row>
    <row r="9" spans="2:20">
      <c r="B9" s="36"/>
      <c r="C9" s="1132"/>
      <c r="D9" s="34" t="s">
        <v>1226</v>
      </c>
      <c r="E9" s="3159" t="s">
        <v>1227</v>
      </c>
      <c r="F9" s="3159"/>
      <c r="G9" s="3159"/>
      <c r="H9" s="3159"/>
      <c r="I9" s="3159"/>
      <c r="J9" s="3159"/>
      <c r="K9" s="3159"/>
      <c r="L9" s="3159"/>
      <c r="M9" s="3159"/>
      <c r="N9" s="3159"/>
      <c r="O9" s="3159"/>
      <c r="P9" s="3159"/>
      <c r="Q9" s="3159"/>
      <c r="R9" s="34"/>
      <c r="S9" s="34"/>
      <c r="T9" s="37"/>
    </row>
    <row r="10" spans="2:20">
      <c r="B10" s="36"/>
      <c r="C10" s="34"/>
      <c r="D10" s="34"/>
      <c r="E10" s="3159"/>
      <c r="F10" s="3159"/>
      <c r="G10" s="3159"/>
      <c r="H10" s="3159"/>
      <c r="I10" s="3159"/>
      <c r="J10" s="3159"/>
      <c r="K10" s="3159"/>
      <c r="L10" s="3159"/>
      <c r="M10" s="3159"/>
      <c r="N10" s="3159"/>
      <c r="O10" s="3159"/>
      <c r="P10" s="3159"/>
      <c r="Q10" s="3159"/>
      <c r="R10" s="34"/>
      <c r="S10" s="34"/>
      <c r="T10" s="37"/>
    </row>
    <row r="11" spans="2:20">
      <c r="B11" s="36"/>
      <c r="C11" s="1132"/>
      <c r="D11" s="34" t="s">
        <v>1228</v>
      </c>
      <c r="E11" s="3159" t="s">
        <v>1229</v>
      </c>
      <c r="F11" s="3159"/>
      <c r="G11" s="3159"/>
      <c r="H11" s="3159"/>
      <c r="I11" s="3159"/>
      <c r="J11" s="3159"/>
      <c r="K11" s="3159"/>
      <c r="L11" s="3159"/>
      <c r="M11" s="3159"/>
      <c r="N11" s="3159"/>
      <c r="O11" s="3159"/>
      <c r="P11" s="3159"/>
      <c r="Q11" s="3159"/>
      <c r="R11" s="34"/>
      <c r="S11" s="34"/>
      <c r="T11" s="37"/>
    </row>
    <row r="12" spans="2:20">
      <c r="B12" s="36"/>
      <c r="C12" s="34"/>
      <c r="D12" s="34"/>
      <c r="E12" s="3159"/>
      <c r="F12" s="3159"/>
      <c r="G12" s="3159"/>
      <c r="H12" s="3159"/>
      <c r="I12" s="3159"/>
      <c r="J12" s="3159"/>
      <c r="K12" s="3159"/>
      <c r="L12" s="3159"/>
      <c r="M12" s="3159"/>
      <c r="N12" s="3159"/>
      <c r="O12" s="3159"/>
      <c r="P12" s="3159"/>
      <c r="Q12" s="3159"/>
      <c r="R12" s="34"/>
      <c r="S12" s="34"/>
      <c r="T12" s="37"/>
    </row>
    <row r="13" spans="2:20">
      <c r="B13" s="36"/>
      <c r="C13" s="1132"/>
      <c r="D13" s="34" t="s">
        <v>1230</v>
      </c>
      <c r="E13" s="3159" t="s">
        <v>1231</v>
      </c>
      <c r="F13" s="3159"/>
      <c r="G13" s="3159"/>
      <c r="H13" s="3159"/>
      <c r="I13" s="3159"/>
      <c r="J13" s="3159"/>
      <c r="K13" s="3159"/>
      <c r="L13" s="3159"/>
      <c r="M13" s="3159"/>
      <c r="N13" s="3159"/>
      <c r="O13" s="3159"/>
      <c r="P13" s="3159"/>
      <c r="Q13" s="3159"/>
      <c r="R13" s="34"/>
      <c r="S13" s="34"/>
      <c r="T13" s="37"/>
    </row>
    <row r="14" spans="2:20">
      <c r="B14" s="36"/>
      <c r="C14" s="34"/>
      <c r="D14" s="34"/>
      <c r="E14" s="3159"/>
      <c r="F14" s="3159"/>
      <c r="G14" s="3159"/>
      <c r="H14" s="3159"/>
      <c r="I14" s="3159"/>
      <c r="J14" s="3159"/>
      <c r="K14" s="3159"/>
      <c r="L14" s="3159"/>
      <c r="M14" s="3159"/>
      <c r="N14" s="3159"/>
      <c r="O14" s="3159"/>
      <c r="P14" s="3159"/>
      <c r="Q14" s="3159"/>
      <c r="R14" s="34"/>
      <c r="S14" s="34"/>
      <c r="T14" s="37"/>
    </row>
    <row r="15" spans="2:20">
      <c r="B15" s="36"/>
      <c r="C15" s="1132"/>
      <c r="D15" s="34" t="s">
        <v>1232</v>
      </c>
      <c r="E15" s="3159" t="s">
        <v>1233</v>
      </c>
      <c r="F15" s="3159"/>
      <c r="G15" s="3159"/>
      <c r="H15" s="3159"/>
      <c r="I15" s="3159"/>
      <c r="J15" s="3159"/>
      <c r="K15" s="3159"/>
      <c r="L15" s="3159"/>
      <c r="M15" s="3159"/>
      <c r="N15" s="3159"/>
      <c r="O15" s="3159"/>
      <c r="P15" s="3159"/>
      <c r="Q15" s="3159"/>
      <c r="R15" s="34"/>
      <c r="S15" s="34"/>
      <c r="T15" s="37"/>
    </row>
    <row r="16" spans="2:20">
      <c r="B16" s="36"/>
      <c r="C16" s="34"/>
      <c r="D16" s="34"/>
      <c r="E16" s="3159"/>
      <c r="F16" s="3159"/>
      <c r="G16" s="3159"/>
      <c r="H16" s="3159"/>
      <c r="I16" s="3159"/>
      <c r="J16" s="3159"/>
      <c r="K16" s="3159"/>
      <c r="L16" s="3159"/>
      <c r="M16" s="3159"/>
      <c r="N16" s="3159"/>
      <c r="O16" s="3159"/>
      <c r="P16" s="3159"/>
      <c r="Q16" s="3159"/>
      <c r="R16" s="34"/>
      <c r="S16" s="34"/>
      <c r="T16" s="37"/>
    </row>
    <row r="17" spans="2:20">
      <c r="B17" s="36"/>
      <c r="C17" s="1132"/>
      <c r="D17" s="34" t="s">
        <v>1234</v>
      </c>
      <c r="E17" s="3144" t="s">
        <v>1235</v>
      </c>
      <c r="F17" s="3144"/>
      <c r="G17" s="3144"/>
      <c r="H17" s="3144"/>
      <c r="I17" s="3144"/>
      <c r="J17" s="3144"/>
      <c r="K17" s="3144"/>
      <c r="L17" s="3144"/>
      <c r="M17" s="3144"/>
      <c r="N17" s="3144"/>
      <c r="O17" s="3144"/>
      <c r="P17" s="3144"/>
      <c r="Q17" s="3144"/>
      <c r="R17" s="34"/>
      <c r="S17" s="34"/>
      <c r="T17" s="37"/>
    </row>
    <row r="18" spans="2:20">
      <c r="B18" s="36"/>
      <c r="C18" s="34"/>
      <c r="D18" s="34"/>
      <c r="E18" s="3144"/>
      <c r="F18" s="3144"/>
      <c r="G18" s="3144"/>
      <c r="H18" s="3144"/>
      <c r="I18" s="3144"/>
      <c r="J18" s="3144"/>
      <c r="K18" s="3144"/>
      <c r="L18" s="3144"/>
      <c r="M18" s="3144"/>
      <c r="N18" s="3144"/>
      <c r="O18" s="3144"/>
      <c r="P18" s="3144"/>
      <c r="Q18" s="3144"/>
      <c r="R18" s="34"/>
      <c r="S18" s="34"/>
      <c r="T18" s="37"/>
    </row>
    <row r="19" spans="2:20">
      <c r="B19" s="36"/>
      <c r="C19" s="34"/>
      <c r="D19" s="34"/>
      <c r="E19" s="3145" t="s">
        <v>1236</v>
      </c>
      <c r="F19" s="3145"/>
      <c r="G19" s="1091"/>
      <c r="H19" s="1091"/>
      <c r="I19" s="1091"/>
      <c r="J19" s="1091"/>
      <c r="K19" s="1091"/>
      <c r="L19" s="1091"/>
      <c r="M19" s="1091"/>
      <c r="N19" s="1091"/>
      <c r="O19" s="1091"/>
      <c r="P19" s="1091"/>
      <c r="Q19" s="1091"/>
      <c r="R19" s="34"/>
      <c r="S19" s="34"/>
      <c r="T19" s="37"/>
    </row>
    <row r="20" spans="2:20">
      <c r="B20" s="36"/>
      <c r="C20" s="34"/>
      <c r="D20" s="34"/>
      <c r="E20" s="3183"/>
      <c r="F20" s="3184"/>
      <c r="G20" s="3184"/>
      <c r="H20" s="3184"/>
      <c r="I20" s="3184"/>
      <c r="J20" s="3184"/>
      <c r="K20" s="3184"/>
      <c r="L20" s="3184"/>
      <c r="M20" s="3184"/>
      <c r="N20" s="3184"/>
      <c r="O20" s="3184"/>
      <c r="P20" s="3184"/>
      <c r="Q20" s="3185"/>
      <c r="R20" s="34"/>
      <c r="S20" s="34"/>
      <c r="T20" s="37"/>
    </row>
    <row r="21" spans="2:20">
      <c r="B21" s="36"/>
      <c r="C21" s="34"/>
      <c r="D21" s="34"/>
      <c r="E21" s="3186"/>
      <c r="F21" s="3187"/>
      <c r="G21" s="3187"/>
      <c r="H21" s="3187"/>
      <c r="I21" s="3187"/>
      <c r="J21" s="3187"/>
      <c r="K21" s="3187"/>
      <c r="L21" s="3187"/>
      <c r="M21" s="3187"/>
      <c r="N21" s="3187"/>
      <c r="O21" s="3187"/>
      <c r="P21" s="3187"/>
      <c r="Q21" s="3188"/>
      <c r="R21" s="34"/>
      <c r="S21" s="34"/>
      <c r="T21" s="37"/>
    </row>
    <row r="22" spans="2:20">
      <c r="B22" s="36"/>
      <c r="C22" s="34"/>
      <c r="D22" s="34"/>
      <c r="E22" s="34"/>
      <c r="F22" s="34"/>
      <c r="G22" s="34"/>
      <c r="H22" s="34"/>
      <c r="I22" s="34"/>
      <c r="J22" s="34"/>
      <c r="K22" s="34"/>
      <c r="L22" s="34"/>
      <c r="M22" s="34"/>
      <c r="N22" s="34"/>
      <c r="O22" s="34"/>
      <c r="P22" s="34"/>
      <c r="Q22" s="34"/>
      <c r="R22" s="34"/>
      <c r="S22" s="34"/>
      <c r="T22" s="37"/>
    </row>
    <row r="23" spans="2:20">
      <c r="B23" s="36"/>
      <c r="C23" s="1102" t="s">
        <v>1237</v>
      </c>
      <c r="D23" s="34"/>
      <c r="E23" s="3127" t="s">
        <v>1238</v>
      </c>
      <c r="F23" s="3127"/>
      <c r="G23" s="3127"/>
      <c r="H23" s="3127"/>
      <c r="I23" s="3127"/>
      <c r="J23" s="3127"/>
      <c r="K23" s="3128"/>
      <c r="L23" s="1133"/>
      <c r="M23" s="34"/>
      <c r="N23" s="34"/>
      <c r="O23" s="34"/>
      <c r="P23" s="34"/>
      <c r="Q23" s="34"/>
      <c r="R23" s="34"/>
      <c r="S23" s="34"/>
      <c r="T23" s="37"/>
    </row>
    <row r="24" spans="2:20">
      <c r="B24" s="36"/>
      <c r="C24" s="34"/>
      <c r="D24" s="34" t="s">
        <v>1226</v>
      </c>
      <c r="E24" s="3173" t="s">
        <v>1239</v>
      </c>
      <c r="F24" s="3173"/>
      <c r="G24" s="3173"/>
      <c r="H24" s="3173"/>
      <c r="I24" s="3173"/>
      <c r="J24" s="3173"/>
      <c r="K24" s="3173"/>
      <c r="L24" s="3173"/>
      <c r="M24" s="3173"/>
      <c r="N24" s="3173"/>
      <c r="O24" s="3173"/>
      <c r="P24" s="3173"/>
      <c r="Q24" s="3173"/>
      <c r="R24" s="34"/>
      <c r="S24" s="34"/>
      <c r="T24" s="37"/>
    </row>
    <row r="25" spans="2:20">
      <c r="B25" s="36"/>
      <c r="C25" s="34"/>
      <c r="D25" s="34" t="s">
        <v>1228</v>
      </c>
      <c r="E25" s="3173" t="s">
        <v>1240</v>
      </c>
      <c r="F25" s="3173"/>
      <c r="G25" s="3173"/>
      <c r="H25" s="3173"/>
      <c r="I25" s="3173"/>
      <c r="J25" s="3173"/>
      <c r="K25" s="3173"/>
      <c r="L25" s="3173"/>
      <c r="M25" s="3173"/>
      <c r="N25" s="3173"/>
      <c r="O25" s="3173"/>
      <c r="P25" s="3173"/>
      <c r="Q25" s="3173"/>
      <c r="R25" s="3173"/>
      <c r="S25" s="34"/>
      <c r="T25" s="37"/>
    </row>
    <row r="26" spans="2:20" ht="36" customHeight="1">
      <c r="B26" s="36"/>
      <c r="C26" s="34"/>
      <c r="D26" s="1106" t="s">
        <v>1230</v>
      </c>
      <c r="E26" s="3144" t="s">
        <v>1241</v>
      </c>
      <c r="F26" s="3144"/>
      <c r="G26" s="3144"/>
      <c r="H26" s="3144"/>
      <c r="I26" s="3144"/>
      <c r="J26" s="3144"/>
      <c r="K26" s="3144"/>
      <c r="L26" s="3144"/>
      <c r="M26" s="3144"/>
      <c r="N26" s="3144"/>
      <c r="O26" s="3144"/>
      <c r="P26" s="3144"/>
      <c r="Q26" s="3144"/>
      <c r="R26" s="34"/>
      <c r="S26" s="34"/>
      <c r="T26" s="37"/>
    </row>
    <row r="27" spans="2:20">
      <c r="B27" s="36"/>
      <c r="C27" s="34"/>
      <c r="D27" s="34" t="s">
        <v>1232</v>
      </c>
      <c r="E27" s="3173" t="s">
        <v>1242</v>
      </c>
      <c r="F27" s="3173"/>
      <c r="G27" s="3173"/>
      <c r="H27" s="3173"/>
      <c r="I27" s="3173"/>
      <c r="J27" s="3173"/>
      <c r="K27" s="3173"/>
      <c r="L27" s="3173"/>
      <c r="M27" s="3173"/>
      <c r="N27" s="3173"/>
      <c r="O27" s="3173"/>
      <c r="P27" s="3173"/>
      <c r="Q27" s="3173"/>
      <c r="R27" s="34"/>
      <c r="S27" s="34"/>
      <c r="T27" s="37"/>
    </row>
    <row r="28" spans="2:20">
      <c r="B28" s="36"/>
      <c r="C28" s="34"/>
      <c r="D28" s="34" t="s">
        <v>1234</v>
      </c>
      <c r="E28" s="3173" t="s">
        <v>1243</v>
      </c>
      <c r="F28" s="3173"/>
      <c r="G28" s="3173"/>
      <c r="H28" s="3173"/>
      <c r="I28" s="3173"/>
      <c r="J28" s="3173"/>
      <c r="K28" s="3173"/>
      <c r="L28" s="3173"/>
      <c r="M28" s="3173"/>
      <c r="N28" s="3173"/>
      <c r="O28" s="3173"/>
      <c r="P28" s="3173"/>
      <c r="Q28" s="3173"/>
      <c r="R28" s="34"/>
      <c r="S28" s="34"/>
      <c r="T28" s="37"/>
    </row>
    <row r="29" spans="2:20">
      <c r="B29" s="36"/>
      <c r="C29" s="34"/>
      <c r="D29" s="34" t="s">
        <v>1244</v>
      </c>
      <c r="E29" s="3173" t="s">
        <v>1245</v>
      </c>
      <c r="F29" s="3173"/>
      <c r="G29" s="3173"/>
      <c r="H29" s="3173"/>
      <c r="I29" s="3173"/>
      <c r="J29" s="3173"/>
      <c r="K29" s="3173"/>
      <c r="L29" s="3173"/>
      <c r="M29" s="3173"/>
      <c r="N29" s="3173"/>
      <c r="O29" s="3173"/>
      <c r="P29" s="3173"/>
      <c r="Q29" s="3173"/>
      <c r="R29" s="34"/>
      <c r="S29" s="34"/>
      <c r="T29" s="37"/>
    </row>
    <row r="30" spans="2:20">
      <c r="B30" s="36"/>
      <c r="C30" s="34"/>
      <c r="D30" s="34" t="s">
        <v>1246</v>
      </c>
      <c r="E30" s="3173" t="s">
        <v>1247</v>
      </c>
      <c r="F30" s="3173"/>
      <c r="G30" s="3173"/>
      <c r="H30" s="3173"/>
      <c r="I30" s="3173"/>
      <c r="J30" s="3173"/>
      <c r="K30" s="3173"/>
      <c r="L30" s="3173"/>
      <c r="M30" s="3173"/>
      <c r="N30" s="3173"/>
      <c r="O30" s="3173"/>
      <c r="P30" s="3173"/>
      <c r="Q30" s="3173"/>
      <c r="R30" s="34"/>
      <c r="S30" s="34"/>
      <c r="T30" s="37"/>
    </row>
    <row r="31" spans="2:20">
      <c r="B31" s="36"/>
      <c r="C31" s="34"/>
      <c r="D31" s="34" t="s">
        <v>1248</v>
      </c>
      <c r="E31" s="3173" t="s">
        <v>1249</v>
      </c>
      <c r="F31" s="3173"/>
      <c r="G31" s="3173"/>
      <c r="H31" s="3173"/>
      <c r="I31" s="3173"/>
      <c r="J31" s="3173"/>
      <c r="K31" s="3173"/>
      <c r="L31" s="3173"/>
      <c r="M31" s="3173"/>
      <c r="N31" s="3173"/>
      <c r="O31" s="3173"/>
      <c r="P31" s="3173"/>
      <c r="Q31" s="3173"/>
      <c r="R31" s="34"/>
      <c r="S31" s="34"/>
      <c r="T31" s="37"/>
    </row>
    <row r="32" spans="2:20">
      <c r="B32" s="36"/>
      <c r="C32" s="34"/>
      <c r="D32" s="34" t="s">
        <v>1250</v>
      </c>
      <c r="E32" s="3173" t="s">
        <v>1251</v>
      </c>
      <c r="F32" s="3173"/>
      <c r="G32" s="3173"/>
      <c r="H32" s="3173"/>
      <c r="I32" s="3173"/>
      <c r="J32" s="3173"/>
      <c r="K32" s="3173"/>
      <c r="L32" s="3173"/>
      <c r="M32" s="3173"/>
      <c r="N32" s="3173"/>
      <c r="O32" s="3173"/>
      <c r="P32" s="3173"/>
      <c r="Q32" s="3173"/>
      <c r="R32" s="34"/>
      <c r="S32" s="34"/>
      <c r="T32" s="37"/>
    </row>
    <row r="33" spans="2:20">
      <c r="B33" s="36"/>
      <c r="C33" s="34"/>
      <c r="D33" s="34" t="s">
        <v>1252</v>
      </c>
      <c r="E33" s="3173" t="s">
        <v>1253</v>
      </c>
      <c r="F33" s="3173"/>
      <c r="G33" s="3173"/>
      <c r="H33" s="3173"/>
      <c r="I33" s="3173"/>
      <c r="J33" s="3173"/>
      <c r="K33" s="3173"/>
      <c r="L33" s="3173"/>
      <c r="M33" s="3173"/>
      <c r="N33" s="3173"/>
      <c r="O33" s="3173"/>
      <c r="P33" s="3173"/>
      <c r="Q33" s="3173"/>
      <c r="R33" s="34"/>
      <c r="S33" s="34"/>
      <c r="T33" s="37"/>
    </row>
    <row r="34" spans="2:20">
      <c r="B34" s="36"/>
      <c r="C34" s="34"/>
      <c r="D34" s="34" t="s">
        <v>1254</v>
      </c>
      <c r="E34" s="3173" t="s">
        <v>1255</v>
      </c>
      <c r="F34" s="3173"/>
      <c r="G34" s="3173"/>
      <c r="H34" s="3173"/>
      <c r="I34" s="3173"/>
      <c r="J34" s="3173"/>
      <c r="K34" s="3173"/>
      <c r="L34" s="3173"/>
      <c r="M34" s="3173"/>
      <c r="N34" s="3173"/>
      <c r="O34" s="3173"/>
      <c r="P34" s="3173"/>
      <c r="Q34" s="3173"/>
      <c r="R34" s="34"/>
      <c r="S34" s="34"/>
      <c r="T34" s="37"/>
    </row>
    <row r="35" spans="2:20" ht="36" customHeight="1">
      <c r="B35" s="36"/>
      <c r="C35" s="34"/>
      <c r="D35" s="1106" t="s">
        <v>1256</v>
      </c>
      <c r="E35" s="3144" t="s">
        <v>1257</v>
      </c>
      <c r="F35" s="3144"/>
      <c r="G35" s="3144"/>
      <c r="H35" s="3144"/>
      <c r="I35" s="3144"/>
      <c r="J35" s="3144"/>
      <c r="K35" s="3144"/>
      <c r="L35" s="3144"/>
      <c r="M35" s="3144"/>
      <c r="N35" s="3144"/>
      <c r="O35" s="3144"/>
      <c r="P35" s="3144"/>
      <c r="Q35" s="3144"/>
      <c r="R35" s="34"/>
      <c r="S35" s="34"/>
      <c r="T35" s="37"/>
    </row>
    <row r="36" spans="2:20">
      <c r="B36" s="36"/>
      <c r="C36" s="34"/>
      <c r="D36" s="34" t="s">
        <v>1258</v>
      </c>
      <c r="E36" s="3173" t="s">
        <v>1259</v>
      </c>
      <c r="F36" s="3173"/>
      <c r="G36" s="3173"/>
      <c r="H36" s="3173"/>
      <c r="I36" s="3173"/>
      <c r="J36" s="3173"/>
      <c r="K36" s="3173"/>
      <c r="L36" s="3173"/>
      <c r="M36" s="3173"/>
      <c r="N36" s="3173"/>
      <c r="O36" s="3173"/>
      <c r="P36" s="3173"/>
      <c r="Q36" s="3173"/>
      <c r="R36" s="34"/>
      <c r="S36" s="34"/>
      <c r="T36" s="37"/>
    </row>
    <row r="37" spans="2:20" ht="18.75" customHeight="1">
      <c r="B37" s="36"/>
      <c r="C37" s="34"/>
      <c r="D37" s="34" t="s">
        <v>1260</v>
      </c>
      <c r="E37" s="3144" t="s">
        <v>1261</v>
      </c>
      <c r="F37" s="3144"/>
      <c r="G37" s="3144"/>
      <c r="H37" s="3144"/>
      <c r="I37" s="3144"/>
      <c r="J37" s="3144"/>
      <c r="K37" s="3144"/>
      <c r="L37" s="3144"/>
      <c r="M37" s="3144"/>
      <c r="N37" s="3144"/>
      <c r="O37" s="3144"/>
      <c r="P37" s="3144"/>
      <c r="Q37" s="3144"/>
      <c r="R37" s="34"/>
      <c r="S37" s="34"/>
      <c r="T37" s="37"/>
    </row>
    <row r="38" spans="2:20" ht="18.75" customHeight="1">
      <c r="B38" s="36"/>
      <c r="C38" s="34"/>
      <c r="D38" s="34" t="s">
        <v>1262</v>
      </c>
      <c r="E38" s="3144" t="s">
        <v>1263</v>
      </c>
      <c r="F38" s="3144"/>
      <c r="G38" s="3144"/>
      <c r="H38" s="3144"/>
      <c r="I38" s="3144"/>
      <c r="J38" s="3144"/>
      <c r="K38" s="3144"/>
      <c r="L38" s="3144"/>
      <c r="M38" s="3144"/>
      <c r="N38" s="3144"/>
      <c r="O38" s="3144"/>
      <c r="P38" s="3144"/>
      <c r="Q38" s="3144"/>
      <c r="R38" s="34"/>
      <c r="S38" s="34"/>
      <c r="T38" s="37"/>
    </row>
    <row r="39" spans="2:20">
      <c r="B39" s="36"/>
      <c r="C39" s="34"/>
      <c r="D39" s="34" t="s">
        <v>1264</v>
      </c>
      <c r="E39" s="3173" t="s">
        <v>1265</v>
      </c>
      <c r="F39" s="3173"/>
      <c r="G39" s="3173"/>
      <c r="H39" s="3173"/>
      <c r="I39" s="3173"/>
      <c r="J39" s="3173"/>
      <c r="K39" s="3173"/>
      <c r="L39" s="3173"/>
      <c r="M39" s="3173"/>
      <c r="N39" s="3173"/>
      <c r="O39" s="3173"/>
      <c r="P39" s="3173"/>
      <c r="Q39" s="3173"/>
      <c r="R39" s="34"/>
      <c r="S39" s="34"/>
      <c r="T39" s="37"/>
    </row>
    <row r="40" spans="2:20">
      <c r="B40" s="36"/>
      <c r="C40" s="34"/>
      <c r="D40" s="34" t="s">
        <v>1266</v>
      </c>
      <c r="E40" s="3173" t="s">
        <v>1267</v>
      </c>
      <c r="F40" s="3173"/>
      <c r="G40" s="3173"/>
      <c r="H40" s="3173"/>
      <c r="I40" s="3173"/>
      <c r="J40" s="3173"/>
      <c r="K40" s="3173"/>
      <c r="L40" s="3173"/>
      <c r="M40" s="3173"/>
      <c r="N40" s="3173"/>
      <c r="O40" s="3173"/>
      <c r="P40" s="3173"/>
      <c r="Q40" s="3173"/>
      <c r="R40" s="34"/>
      <c r="S40" s="34"/>
      <c r="T40" s="37"/>
    </row>
    <row r="41" spans="2:20">
      <c r="B41" s="36"/>
      <c r="C41" s="34"/>
      <c r="D41" s="34" t="s">
        <v>1268</v>
      </c>
      <c r="E41" s="3173" t="s">
        <v>1269</v>
      </c>
      <c r="F41" s="3173"/>
      <c r="G41" s="3173"/>
      <c r="H41" s="3173"/>
      <c r="I41" s="3173"/>
      <c r="J41" s="3173"/>
      <c r="K41" s="3173"/>
      <c r="L41" s="3173"/>
      <c r="M41" s="3173"/>
      <c r="N41" s="3173"/>
      <c r="O41" s="3173"/>
      <c r="P41" s="3173"/>
      <c r="Q41" s="3173"/>
      <c r="R41" s="34"/>
      <c r="S41" s="34"/>
      <c r="T41" s="37"/>
    </row>
    <row r="42" spans="2:20">
      <c r="B42" s="36"/>
      <c r="C42" s="34"/>
      <c r="D42" s="34" t="s">
        <v>1270</v>
      </c>
      <c r="E42" s="3173" t="s">
        <v>1271</v>
      </c>
      <c r="F42" s="3173"/>
      <c r="G42" s="3173"/>
      <c r="H42" s="3173"/>
      <c r="I42" s="3173"/>
      <c r="J42" s="3173"/>
      <c r="K42" s="3173"/>
      <c r="L42" s="3173"/>
      <c r="M42" s="3173"/>
      <c r="N42" s="3173"/>
      <c r="O42" s="3173"/>
      <c r="P42" s="3173"/>
      <c r="Q42" s="3173"/>
      <c r="R42" s="34"/>
      <c r="S42" s="34"/>
      <c r="T42" s="37"/>
    </row>
    <row r="43" spans="2:20">
      <c r="B43" s="36"/>
      <c r="C43" s="34"/>
      <c r="D43" s="34"/>
      <c r="E43" s="34"/>
      <c r="F43" s="34"/>
      <c r="G43" s="34"/>
      <c r="H43" s="34"/>
      <c r="I43" s="34"/>
      <c r="J43" s="34"/>
      <c r="K43" s="34"/>
      <c r="L43" s="34"/>
      <c r="M43" s="34"/>
      <c r="N43" s="34"/>
      <c r="O43" s="34"/>
      <c r="P43" s="34"/>
      <c r="Q43" s="34"/>
      <c r="R43" s="34"/>
      <c r="S43" s="34"/>
      <c r="T43" s="37"/>
    </row>
    <row r="44" spans="2:20">
      <c r="B44" s="36"/>
      <c r="C44" s="1107" t="s">
        <v>1272</v>
      </c>
      <c r="D44" s="3127" t="s">
        <v>1273</v>
      </c>
      <c r="E44" s="3127"/>
      <c r="F44" s="3127"/>
      <c r="G44" s="3127"/>
      <c r="H44" s="3127"/>
      <c r="I44" s="3127"/>
      <c r="J44" s="3127"/>
      <c r="K44" s="34"/>
      <c r="L44" s="1133"/>
      <c r="M44" s="34"/>
      <c r="N44" s="34"/>
      <c r="O44" s="34"/>
      <c r="P44" s="34"/>
      <c r="Q44" s="34"/>
      <c r="R44" s="34"/>
      <c r="S44" s="34"/>
      <c r="T44" s="37"/>
    </row>
    <row r="45" spans="2:20">
      <c r="B45" s="36"/>
      <c r="C45" s="1107"/>
      <c r="D45" s="46"/>
      <c r="E45" s="46"/>
      <c r="F45" s="46"/>
      <c r="G45" s="46"/>
      <c r="H45" s="46"/>
      <c r="I45" s="34"/>
      <c r="J45" s="34"/>
      <c r="K45" s="34"/>
      <c r="L45" s="34"/>
      <c r="M45" s="34"/>
      <c r="N45" s="34"/>
      <c r="O45" s="34"/>
      <c r="P45" s="34"/>
      <c r="Q45" s="34"/>
      <c r="R45" s="34"/>
      <c r="S45" s="34"/>
      <c r="T45" s="37"/>
    </row>
    <row r="46" spans="2:20" ht="18" customHeight="1">
      <c r="B46" s="36"/>
      <c r="C46" s="1107" t="s">
        <v>1274</v>
      </c>
      <c r="D46" s="3127" t="s">
        <v>1275</v>
      </c>
      <c r="E46" s="3127"/>
      <c r="F46" s="3127"/>
      <c r="G46" s="3127"/>
      <c r="H46" s="3127"/>
      <c r="I46" s="3128"/>
      <c r="J46" s="1133"/>
      <c r="K46" s="34"/>
      <c r="L46" s="34"/>
      <c r="M46" s="34"/>
      <c r="N46" s="34"/>
      <c r="O46" s="34"/>
      <c r="P46" s="34"/>
      <c r="Q46" s="34"/>
      <c r="R46" s="34"/>
      <c r="S46" s="34"/>
      <c r="T46" s="37"/>
    </row>
    <row r="47" spans="2:20">
      <c r="B47" s="36"/>
      <c r="C47" s="34"/>
      <c r="D47" s="34"/>
      <c r="E47" s="34"/>
      <c r="F47" s="34"/>
      <c r="G47" s="34"/>
      <c r="H47" s="34"/>
      <c r="I47" s="34"/>
      <c r="J47" s="34"/>
      <c r="K47" s="34"/>
      <c r="L47" s="34"/>
      <c r="M47" s="34"/>
      <c r="N47" s="34"/>
      <c r="O47" s="34"/>
      <c r="P47" s="34"/>
      <c r="Q47" s="34"/>
      <c r="R47" s="34"/>
      <c r="S47" s="34"/>
      <c r="T47" s="37"/>
    </row>
    <row r="48" spans="2:20" ht="18" customHeight="1">
      <c r="B48" s="36"/>
      <c r="C48" s="1107" t="s">
        <v>1276</v>
      </c>
      <c r="D48" s="3127" t="s">
        <v>1277</v>
      </c>
      <c r="E48" s="3127"/>
      <c r="F48" s="3127"/>
      <c r="G48" s="3127"/>
      <c r="H48" s="3127"/>
      <c r="I48" s="3128"/>
      <c r="J48" s="1133"/>
      <c r="K48" s="34"/>
      <c r="L48" s="34"/>
      <c r="M48" s="34"/>
      <c r="N48" s="34"/>
      <c r="O48" s="34"/>
      <c r="P48" s="34"/>
      <c r="Q48" s="34"/>
      <c r="R48" s="34"/>
      <c r="S48" s="34"/>
      <c r="T48" s="37"/>
    </row>
    <row r="49" spans="2:20">
      <c r="B49" s="36"/>
      <c r="C49" s="34"/>
      <c r="D49" s="34"/>
      <c r="E49" s="34"/>
      <c r="F49" s="34"/>
      <c r="G49" s="34"/>
      <c r="H49" s="34"/>
      <c r="I49" s="34"/>
      <c r="J49" s="34"/>
      <c r="K49" s="34"/>
      <c r="L49" s="34"/>
      <c r="M49" s="34"/>
      <c r="N49" s="34"/>
      <c r="O49" s="34"/>
      <c r="P49" s="34"/>
      <c r="Q49" s="34"/>
      <c r="R49" s="34"/>
      <c r="S49" s="34"/>
      <c r="T49" s="37"/>
    </row>
    <row r="50" spans="2:20" ht="18" customHeight="1">
      <c r="B50" s="36"/>
      <c r="C50" s="1107" t="s">
        <v>1278</v>
      </c>
      <c r="D50" s="3124" t="s">
        <v>1279</v>
      </c>
      <c r="E50" s="3124"/>
      <c r="F50" s="3124"/>
      <c r="G50" s="3124"/>
      <c r="H50" s="3124"/>
      <c r="I50" s="3124"/>
      <c r="J50" s="3124"/>
      <c r="K50" s="3124"/>
      <c r="L50" s="3124"/>
      <c r="M50" s="3124"/>
      <c r="N50" s="3124"/>
      <c r="O50" s="3124"/>
      <c r="P50" s="3124"/>
      <c r="Q50" s="3124"/>
      <c r="R50" s="1133"/>
      <c r="S50" s="34"/>
      <c r="T50" s="37"/>
    </row>
    <row r="51" spans="2:20">
      <c r="B51" s="36"/>
      <c r="C51" s="34"/>
      <c r="D51" s="3124"/>
      <c r="E51" s="3124"/>
      <c r="F51" s="3124"/>
      <c r="G51" s="3124"/>
      <c r="H51" s="3124"/>
      <c r="I51" s="3124"/>
      <c r="J51" s="3124"/>
      <c r="K51" s="3124"/>
      <c r="L51" s="3124"/>
      <c r="M51" s="3124"/>
      <c r="N51" s="3124"/>
      <c r="O51" s="3124"/>
      <c r="P51" s="3124"/>
      <c r="Q51" s="3124"/>
      <c r="R51" s="34"/>
      <c r="S51" s="34"/>
      <c r="T51" s="37"/>
    </row>
    <row r="52" spans="2:20">
      <c r="B52" s="36"/>
      <c r="C52" s="34"/>
      <c r="D52" s="34"/>
      <c r="E52" s="34"/>
      <c r="F52" s="34"/>
      <c r="G52" s="34"/>
      <c r="H52" s="34"/>
      <c r="I52" s="34"/>
      <c r="J52" s="34"/>
      <c r="K52" s="34"/>
      <c r="L52" s="34"/>
      <c r="M52" s="34"/>
      <c r="N52" s="34"/>
      <c r="O52" s="34"/>
      <c r="P52" s="34"/>
      <c r="Q52" s="34"/>
      <c r="R52" s="34"/>
      <c r="S52" s="34"/>
      <c r="T52" s="37"/>
    </row>
    <row r="53" spans="2:20">
      <c r="B53" s="36"/>
      <c r="C53" s="1107" t="s">
        <v>1280</v>
      </c>
      <c r="D53" s="3127" t="s">
        <v>1281</v>
      </c>
      <c r="E53" s="3127"/>
      <c r="F53" s="3127"/>
      <c r="G53" s="3127"/>
      <c r="H53" s="3127"/>
      <c r="I53" s="3127"/>
      <c r="J53" s="3127"/>
      <c r="K53" s="3128"/>
      <c r="L53" s="1133"/>
      <c r="M53" s="3175" t="str">
        <f>IF(L53="True","See EPC/OC Addendum","")</f>
        <v/>
      </c>
      <c r="N53" s="3129"/>
      <c r="O53" s="3129"/>
      <c r="P53" s="34"/>
      <c r="Q53" s="34"/>
      <c r="R53" s="34"/>
      <c r="S53" s="34"/>
      <c r="T53" s="37"/>
    </row>
    <row r="54" spans="2:20">
      <c r="B54" s="36"/>
      <c r="C54" s="34"/>
      <c r="D54" s="34"/>
      <c r="E54" s="34"/>
      <c r="F54" s="34"/>
      <c r="G54" s="34"/>
      <c r="H54" s="34"/>
      <c r="I54" s="34"/>
      <c r="J54" s="34"/>
      <c r="K54" s="34"/>
      <c r="L54" s="34"/>
      <c r="M54" s="34"/>
      <c r="N54" s="34"/>
      <c r="O54" s="34"/>
      <c r="P54" s="34"/>
      <c r="Q54" s="34"/>
      <c r="R54" s="34"/>
      <c r="S54" s="34"/>
      <c r="T54" s="37"/>
    </row>
    <row r="55" spans="2:20" ht="76.5" customHeight="1">
      <c r="B55" s="36"/>
      <c r="C55" s="1107"/>
      <c r="D55" s="3124" t="s">
        <v>1282</v>
      </c>
      <c r="E55" s="3124"/>
      <c r="F55" s="3124"/>
      <c r="G55" s="3124"/>
      <c r="H55" s="3124"/>
      <c r="I55" s="3124"/>
      <c r="J55" s="3124"/>
      <c r="K55" s="3124"/>
      <c r="L55" s="3124"/>
      <c r="M55" s="3124"/>
      <c r="N55" s="3124"/>
      <c r="O55" s="3124"/>
      <c r="P55" s="3124"/>
      <c r="Q55" s="1133"/>
      <c r="R55" s="34"/>
      <c r="S55" s="34"/>
      <c r="T55" s="37"/>
    </row>
    <row r="56" spans="2:20">
      <c r="B56" s="36"/>
      <c r="C56" s="34"/>
      <c r="D56" s="34"/>
      <c r="E56" s="34"/>
      <c r="F56" s="34"/>
      <c r="G56" s="34"/>
      <c r="H56" s="34"/>
      <c r="I56" s="34"/>
      <c r="J56" s="34"/>
      <c r="K56" s="34"/>
      <c r="L56" s="34"/>
      <c r="M56" s="34"/>
      <c r="N56" s="34"/>
      <c r="O56" s="34"/>
      <c r="P56" s="34"/>
      <c r="Q56" s="34"/>
      <c r="R56" s="34"/>
      <c r="S56" s="34"/>
      <c r="T56" s="37"/>
    </row>
    <row r="57" spans="2:20">
      <c r="B57" s="36"/>
      <c r="C57" s="1107" t="s">
        <v>1283</v>
      </c>
      <c r="D57" s="3127" t="s">
        <v>1284</v>
      </c>
      <c r="E57" s="3127"/>
      <c r="F57" s="3127"/>
      <c r="G57" s="3127"/>
      <c r="H57" s="3127"/>
      <c r="I57" s="3127"/>
      <c r="J57" s="3127"/>
      <c r="K57" s="3128"/>
      <c r="L57" s="1133"/>
      <c r="M57" s="34"/>
      <c r="N57" s="34"/>
      <c r="O57" s="34"/>
      <c r="P57" s="34"/>
      <c r="Q57" s="34"/>
      <c r="R57" s="34"/>
      <c r="S57" s="34"/>
      <c r="T57" s="37"/>
    </row>
    <row r="58" spans="2:20">
      <c r="B58" s="36"/>
      <c r="C58" s="34"/>
      <c r="D58" s="34" t="s">
        <v>1226</v>
      </c>
      <c r="E58" s="3173" t="s">
        <v>1285</v>
      </c>
      <c r="F58" s="3173"/>
      <c r="G58" s="3173"/>
      <c r="H58" s="3173"/>
      <c r="I58" s="3173"/>
      <c r="J58" s="3173"/>
      <c r="K58" s="3173"/>
      <c r="L58" s="3173"/>
      <c r="M58" s="3173"/>
      <c r="N58" s="3173"/>
      <c r="O58" s="3173"/>
      <c r="P58" s="3173"/>
      <c r="Q58" s="3173"/>
      <c r="R58" s="34"/>
      <c r="S58" s="34"/>
      <c r="T58" s="37"/>
    </row>
    <row r="59" spans="2:20">
      <c r="B59" s="36"/>
      <c r="C59" s="34"/>
      <c r="D59" s="34" t="s">
        <v>1228</v>
      </c>
      <c r="E59" s="3144" t="s">
        <v>1286</v>
      </c>
      <c r="F59" s="3144"/>
      <c r="G59" s="3144"/>
      <c r="H59" s="3144"/>
      <c r="I59" s="3144"/>
      <c r="J59" s="3144"/>
      <c r="K59" s="3144"/>
      <c r="L59" s="3144"/>
      <c r="M59" s="3144"/>
      <c r="N59" s="3144"/>
      <c r="O59" s="3144"/>
      <c r="P59" s="3144"/>
      <c r="Q59" s="3144"/>
      <c r="R59" s="34"/>
      <c r="S59" s="34"/>
      <c r="T59" s="37"/>
    </row>
    <row r="60" spans="2:20" ht="46.5" customHeight="1">
      <c r="B60" s="36"/>
      <c r="C60" s="34"/>
      <c r="D60" s="34"/>
      <c r="E60" s="3144"/>
      <c r="F60" s="3144"/>
      <c r="G60" s="3144"/>
      <c r="H60" s="3144"/>
      <c r="I60" s="3144"/>
      <c r="J60" s="3144"/>
      <c r="K60" s="3144"/>
      <c r="L60" s="3144"/>
      <c r="M60" s="3144"/>
      <c r="N60" s="3144"/>
      <c r="O60" s="3144"/>
      <c r="P60" s="3144"/>
      <c r="Q60" s="3144"/>
      <c r="R60" s="34"/>
      <c r="S60" s="34"/>
      <c r="T60" s="37"/>
    </row>
    <row r="61" spans="2:20" ht="50.25" customHeight="1">
      <c r="B61" s="36"/>
      <c r="C61" s="34"/>
      <c r="D61" s="1106" t="s">
        <v>1230</v>
      </c>
      <c r="E61" s="3144" t="s">
        <v>1287</v>
      </c>
      <c r="F61" s="3144"/>
      <c r="G61" s="3144"/>
      <c r="H61" s="3144"/>
      <c r="I61" s="3144"/>
      <c r="J61" s="3144"/>
      <c r="K61" s="3144"/>
      <c r="L61" s="3144"/>
      <c r="M61" s="3144"/>
      <c r="N61" s="3144"/>
      <c r="O61" s="3144"/>
      <c r="P61" s="3144"/>
      <c r="Q61" s="3144"/>
      <c r="R61" s="34"/>
      <c r="S61" s="34"/>
      <c r="T61" s="37"/>
    </row>
    <row r="62" spans="2:20">
      <c r="B62" s="36"/>
      <c r="C62" s="34"/>
      <c r="D62" s="34" t="s">
        <v>1232</v>
      </c>
      <c r="E62" s="3144" t="s">
        <v>1288</v>
      </c>
      <c r="F62" s="3144"/>
      <c r="G62" s="3144"/>
      <c r="H62" s="3144"/>
      <c r="I62" s="3144"/>
      <c r="J62" s="3144"/>
      <c r="K62" s="3144"/>
      <c r="L62" s="3144"/>
      <c r="M62" s="3144"/>
      <c r="N62" s="3144"/>
      <c r="O62" s="3144"/>
      <c r="P62" s="3144"/>
      <c r="Q62" s="3144"/>
      <c r="R62" s="34"/>
      <c r="S62" s="34"/>
      <c r="T62" s="37"/>
    </row>
    <row r="63" spans="2:20" ht="66" customHeight="1">
      <c r="B63" s="36"/>
      <c r="C63" s="34"/>
      <c r="D63" s="34"/>
      <c r="E63" s="3144"/>
      <c r="F63" s="3144"/>
      <c r="G63" s="3144"/>
      <c r="H63" s="3144"/>
      <c r="I63" s="3144"/>
      <c r="J63" s="3144"/>
      <c r="K63" s="3144"/>
      <c r="L63" s="3144"/>
      <c r="M63" s="3144"/>
      <c r="N63" s="3144"/>
      <c r="O63" s="3144"/>
      <c r="P63" s="3144"/>
      <c r="Q63" s="3144"/>
      <c r="R63" s="34"/>
      <c r="S63" s="34"/>
      <c r="T63" s="37"/>
    </row>
    <row r="64" spans="2:20" ht="20" thickBot="1">
      <c r="B64" s="38"/>
      <c r="C64" s="39"/>
      <c r="D64" s="39"/>
      <c r="E64" s="1108"/>
      <c r="F64" s="1108"/>
      <c r="G64" s="1108"/>
      <c r="H64" s="1108"/>
      <c r="I64" s="1108"/>
      <c r="J64" s="1108"/>
      <c r="K64" s="1108"/>
      <c r="L64" s="1108"/>
      <c r="M64" s="1108"/>
      <c r="N64" s="1108"/>
      <c r="O64" s="1108"/>
      <c r="P64" s="1108"/>
      <c r="Q64" s="1108"/>
      <c r="R64" s="39"/>
      <c r="S64" s="39"/>
      <c r="T64" s="40"/>
    </row>
    <row r="65" spans="2:20">
      <c r="B65" s="1109"/>
      <c r="C65" s="1110" t="s">
        <v>1289</v>
      </c>
      <c r="D65" s="3174" t="s">
        <v>1290</v>
      </c>
      <c r="E65" s="3174"/>
      <c r="F65" s="3174"/>
      <c r="G65" s="3174"/>
      <c r="H65" s="3174"/>
      <c r="I65" s="3174"/>
      <c r="J65" s="3174"/>
      <c r="K65" s="3174"/>
      <c r="L65" s="3174"/>
      <c r="M65" s="3174"/>
      <c r="N65" s="3174"/>
      <c r="O65" s="3174"/>
      <c r="P65" s="3174"/>
      <c r="Q65" s="1111"/>
      <c r="R65" s="1111"/>
      <c r="S65" s="1111"/>
      <c r="T65" s="1112"/>
    </row>
    <row r="66" spans="2:20">
      <c r="B66" s="36"/>
      <c r="C66" s="34"/>
      <c r="D66" s="3125" t="s">
        <v>1291</v>
      </c>
      <c r="E66" s="3125"/>
      <c r="F66" s="3125"/>
      <c r="G66" s="3172"/>
      <c r="H66" s="3172"/>
      <c r="I66" s="3172"/>
      <c r="J66" s="3172"/>
      <c r="K66" s="3172"/>
      <c r="L66" s="3172"/>
      <c r="M66" s="3172"/>
      <c r="N66" s="3172"/>
      <c r="O66" s="3172"/>
      <c r="P66" s="3172"/>
      <c r="Q66" s="3172"/>
      <c r="R66" s="3172"/>
      <c r="S66" s="34"/>
      <c r="T66" s="37"/>
    </row>
    <row r="67" spans="2:20">
      <c r="B67" s="36"/>
      <c r="C67" s="34"/>
      <c r="D67" s="3125" t="s">
        <v>1292</v>
      </c>
      <c r="E67" s="3125"/>
      <c r="F67" s="3125"/>
      <c r="G67" s="3172"/>
      <c r="H67" s="3172"/>
      <c r="I67" s="3172"/>
      <c r="J67" s="3172"/>
      <c r="K67" s="3172"/>
      <c r="L67" s="3172"/>
      <c r="M67" s="3172"/>
      <c r="N67" s="3172"/>
      <c r="O67" s="3172"/>
      <c r="P67" s="3172"/>
      <c r="Q67" s="3172"/>
      <c r="R67" s="3172"/>
      <c r="S67" s="34"/>
      <c r="T67" s="37"/>
    </row>
    <row r="68" spans="2:20">
      <c r="B68" s="36"/>
      <c r="C68" s="34"/>
      <c r="D68" s="3125" t="s">
        <v>1293</v>
      </c>
      <c r="E68" s="3125"/>
      <c r="F68" s="3126"/>
      <c r="G68" s="3172"/>
      <c r="H68" s="3172"/>
      <c r="I68" s="3172"/>
      <c r="J68" s="3172"/>
      <c r="K68" s="3172"/>
      <c r="L68" s="3172"/>
      <c r="M68" s="3172"/>
      <c r="N68" s="3172"/>
      <c r="O68" s="3172"/>
      <c r="P68" s="3172"/>
      <c r="Q68" s="3172"/>
      <c r="R68" s="3172"/>
      <c r="S68" s="34"/>
      <c r="T68" s="37"/>
    </row>
    <row r="69" spans="2:20">
      <c r="B69" s="36"/>
      <c r="C69" s="34"/>
      <c r="D69" s="3125" t="s">
        <v>1294</v>
      </c>
      <c r="E69" s="3125"/>
      <c r="F69" s="3126"/>
      <c r="G69" s="3151"/>
      <c r="H69" s="3152"/>
      <c r="I69" s="3151"/>
      <c r="J69" s="3152"/>
      <c r="K69" s="3151"/>
      <c r="L69" s="3152"/>
      <c r="M69" s="3151"/>
      <c r="N69" s="3152"/>
      <c r="O69" s="3151"/>
      <c r="P69" s="3152"/>
      <c r="Q69" s="3151"/>
      <c r="R69" s="3152"/>
      <c r="S69" s="34"/>
      <c r="T69" s="37"/>
    </row>
    <row r="70" spans="2:20" hidden="1">
      <c r="B70" s="36"/>
      <c r="C70" s="34"/>
      <c r="D70" s="3125" t="s">
        <v>1295</v>
      </c>
      <c r="E70" s="3125"/>
      <c r="F70" s="3125"/>
      <c r="G70" s="3171"/>
      <c r="H70" s="3171"/>
      <c r="I70" s="3171"/>
      <c r="J70" s="3171"/>
      <c r="K70" s="3171"/>
      <c r="L70" s="3171"/>
      <c r="M70" s="3171"/>
      <c r="N70" s="3171"/>
      <c r="O70" s="3171"/>
      <c r="P70" s="3171"/>
      <c r="Q70" s="3171"/>
      <c r="R70" s="3171"/>
      <c r="S70" s="34"/>
      <c r="T70" s="37"/>
    </row>
    <row r="71" spans="2:20" hidden="1">
      <c r="B71" s="36"/>
      <c r="C71" s="34"/>
      <c r="D71" s="3125" t="s">
        <v>1296</v>
      </c>
      <c r="E71" s="3125"/>
      <c r="F71" s="3125"/>
      <c r="G71" s="3171"/>
      <c r="H71" s="3171"/>
      <c r="I71" s="3171"/>
      <c r="J71" s="3171"/>
      <c r="K71" s="3171"/>
      <c r="L71" s="3171"/>
      <c r="M71" s="3171"/>
      <c r="N71" s="3171"/>
      <c r="O71" s="3171"/>
      <c r="P71" s="3171"/>
      <c r="Q71" s="3171"/>
      <c r="R71" s="3171"/>
      <c r="S71" s="1113">
        <f>SUM(G71:R71)</f>
        <v>0</v>
      </c>
      <c r="T71" s="37"/>
    </row>
    <row r="72" spans="2:20" hidden="1">
      <c r="B72" s="36"/>
      <c r="C72" s="34"/>
      <c r="D72" s="46"/>
      <c r="E72" s="46"/>
      <c r="F72" s="46"/>
      <c r="G72" s="3170" t="str">
        <f>IF(G71&lt;=G70,"Eligible","Ineligible")</f>
        <v>Eligible</v>
      </c>
      <c r="H72" s="3170"/>
      <c r="I72" s="3170" t="str">
        <f>IF(I71&lt;=I70,"Eligible","Ineligible")</f>
        <v>Eligible</v>
      </c>
      <c r="J72" s="3170"/>
      <c r="K72" s="3170" t="str">
        <f>IF(K71&lt;=K70,"Eligible","Ineligible")</f>
        <v>Eligible</v>
      </c>
      <c r="L72" s="3170"/>
      <c r="M72" s="3170" t="str">
        <f>IF(M71&lt;=M70,"Eligible","Ineligible")</f>
        <v>Eligible</v>
      </c>
      <c r="N72" s="3170"/>
      <c r="O72" s="3170" t="str">
        <f>IF(O71&lt;=O70,"Eligible","Ineligible")</f>
        <v>Eligible</v>
      </c>
      <c r="P72" s="3170"/>
      <c r="Q72" s="3170" t="str">
        <f>IF(Q71&lt;=Q70,"Eligible","Ineligible")</f>
        <v>Eligible</v>
      </c>
      <c r="R72" s="3170"/>
      <c r="S72" s="34"/>
      <c r="T72" s="37"/>
    </row>
    <row r="73" spans="2:20" hidden="1">
      <c r="B73" s="36"/>
      <c r="C73" s="34"/>
      <c r="D73" s="3125" t="s">
        <v>1297</v>
      </c>
      <c r="E73" s="3125"/>
      <c r="F73" s="3125"/>
      <c r="G73" s="3169"/>
      <c r="H73" s="3169"/>
      <c r="I73" s="3169"/>
      <c r="J73" s="3169"/>
      <c r="K73" s="3169"/>
      <c r="L73" s="3169"/>
      <c r="M73" s="3169"/>
      <c r="N73" s="3169"/>
      <c r="O73" s="3169"/>
      <c r="P73" s="3169"/>
      <c r="Q73" s="3169"/>
      <c r="R73" s="3169"/>
      <c r="S73" s="34"/>
      <c r="T73" s="37"/>
    </row>
    <row r="74" spans="2:20" hidden="1">
      <c r="B74" s="36"/>
      <c r="C74" s="34"/>
      <c r="D74" s="3125" t="s">
        <v>1298</v>
      </c>
      <c r="E74" s="3125"/>
      <c r="F74" s="3125"/>
      <c r="G74" s="3169"/>
      <c r="H74" s="3169"/>
      <c r="I74" s="3169"/>
      <c r="J74" s="3169"/>
      <c r="K74" s="3169"/>
      <c r="L74" s="3169"/>
      <c r="M74" s="3169"/>
      <c r="N74" s="3169"/>
      <c r="O74" s="3169"/>
      <c r="P74" s="3169"/>
      <c r="Q74" s="3169"/>
      <c r="R74" s="3169"/>
      <c r="S74" s="1114">
        <f>SUM(G74:R74)</f>
        <v>0</v>
      </c>
      <c r="T74" s="37"/>
    </row>
    <row r="75" spans="2:20">
      <c r="B75" s="36"/>
      <c r="C75" s="34"/>
      <c r="D75" s="46"/>
      <c r="E75" s="46"/>
      <c r="F75" s="46"/>
      <c r="G75" s="3166" t="str">
        <f>IF(G74&lt;=G73,"Eligible","Ineligible")</f>
        <v>Eligible</v>
      </c>
      <c r="H75" s="3166"/>
      <c r="I75" s="3166" t="str">
        <f>IF(I74&lt;=I73,"Eligible","Ineligible")</f>
        <v>Eligible</v>
      </c>
      <c r="J75" s="3166"/>
      <c r="K75" s="3166" t="str">
        <f>IF(K74&lt;=K73,"Eligible","Ineligible")</f>
        <v>Eligible</v>
      </c>
      <c r="L75" s="3166"/>
      <c r="M75" s="3166" t="str">
        <f>IF(M74&lt;=M73,"Eligible","Ineligible")</f>
        <v>Eligible</v>
      </c>
      <c r="N75" s="3166"/>
      <c r="O75" s="3166" t="str">
        <f>IF(O74&lt;=O73,"Eligible","Ineligible")</f>
        <v>Eligible</v>
      </c>
      <c r="P75" s="3166"/>
      <c r="Q75" s="3166" t="str">
        <f>IF(Q74&lt;=Q73,"Eligible","Ineligible")</f>
        <v>Eligible</v>
      </c>
      <c r="R75" s="3166"/>
      <c r="S75" s="34"/>
      <c r="T75" s="37"/>
    </row>
    <row r="76" spans="2:20">
      <c r="B76" s="36"/>
      <c r="C76" s="34"/>
      <c r="D76" s="3125" t="s">
        <v>1299</v>
      </c>
      <c r="E76" s="3125"/>
      <c r="F76" s="3125"/>
      <c r="G76" s="3168">
        <v>20000000</v>
      </c>
      <c r="H76" s="3157"/>
      <c r="I76" s="3157"/>
      <c r="J76" s="3157"/>
      <c r="K76" s="3157"/>
      <c r="L76" s="3157"/>
      <c r="M76" s="3157"/>
      <c r="N76" s="3157"/>
      <c r="O76" s="3157"/>
      <c r="P76" s="3157"/>
      <c r="Q76" s="3157"/>
      <c r="R76" s="3158"/>
      <c r="S76" s="34"/>
      <c r="T76" s="37"/>
    </row>
    <row r="77" spans="2:20">
      <c r="B77" s="36"/>
      <c r="C77" s="34"/>
      <c r="D77" s="3125" t="s">
        <v>1300</v>
      </c>
      <c r="E77" s="3125"/>
      <c r="F77" s="3125"/>
      <c r="G77" s="3168">
        <v>6500000</v>
      </c>
      <c r="H77" s="3157"/>
      <c r="I77" s="3157"/>
      <c r="J77" s="3157"/>
      <c r="K77" s="3157"/>
      <c r="L77" s="3157"/>
      <c r="M77" s="3157"/>
      <c r="N77" s="3157"/>
      <c r="O77" s="3157"/>
      <c r="P77" s="3157"/>
      <c r="Q77" s="3157"/>
      <c r="R77" s="3158"/>
      <c r="S77" s="34"/>
      <c r="T77" s="37"/>
    </row>
    <row r="78" spans="2:20">
      <c r="B78" s="36"/>
      <c r="C78" s="34"/>
      <c r="D78" s="3125" t="s">
        <v>1301</v>
      </c>
      <c r="E78" s="3125"/>
      <c r="F78" s="3125"/>
      <c r="G78" s="3167"/>
      <c r="H78" s="3167"/>
      <c r="I78" s="3167"/>
      <c r="J78" s="3167"/>
      <c r="K78" s="3167"/>
      <c r="L78" s="3167"/>
      <c r="M78" s="3167"/>
      <c r="N78" s="3167"/>
      <c r="O78" s="3167"/>
      <c r="P78" s="3167"/>
      <c r="Q78" s="3167"/>
      <c r="R78" s="3167"/>
      <c r="S78" s="1134"/>
      <c r="T78" s="37"/>
    </row>
    <row r="79" spans="2:20">
      <c r="B79" s="36"/>
      <c r="C79" s="34"/>
      <c r="D79" s="34" t="s">
        <v>1302</v>
      </c>
      <c r="E79" s="34"/>
      <c r="F79" s="34"/>
      <c r="G79" s="3167"/>
      <c r="H79" s="3167"/>
      <c r="I79" s="3167"/>
      <c r="J79" s="3167"/>
      <c r="K79" s="3167"/>
      <c r="L79" s="3167"/>
      <c r="M79" s="3167"/>
      <c r="N79" s="3167"/>
      <c r="O79" s="3167"/>
      <c r="P79" s="3167"/>
      <c r="Q79" s="3167"/>
      <c r="R79" s="3167"/>
      <c r="S79" s="1134"/>
      <c r="T79" s="37"/>
    </row>
    <row r="80" spans="2:20">
      <c r="B80" s="36"/>
      <c r="C80" s="34"/>
      <c r="D80" s="34"/>
      <c r="E80" s="34"/>
      <c r="F80" s="34"/>
      <c r="G80" s="3166" t="str">
        <f>IF(AND(G78&lt;=$G76,G79&lt;=$G77),"Eligible","Ineligible")</f>
        <v>Eligible</v>
      </c>
      <c r="H80" s="3166"/>
      <c r="I80" s="3166" t="str">
        <f>IF(AND(I78&lt;=$G76,I79&lt;=$G77),"Eligible","Ineligible")</f>
        <v>Eligible</v>
      </c>
      <c r="J80" s="3166"/>
      <c r="K80" s="3166" t="str">
        <f>IF(AND(K78&lt;=$G76,K79&lt;=$G77),"Eligible","Ineligible")</f>
        <v>Eligible</v>
      </c>
      <c r="L80" s="3166"/>
      <c r="M80" s="3166" t="str">
        <f>IF(AND(M78&lt;=$G76,M79&lt;=$G77),"Eligible","Ineligible")</f>
        <v>Eligible</v>
      </c>
      <c r="N80" s="3166"/>
      <c r="O80" s="3166" t="str">
        <f>IF(AND(O78&lt;=$G76,O79&lt;=$G77),"Eligible","Ineligible")</f>
        <v>Eligible</v>
      </c>
      <c r="P80" s="3166"/>
      <c r="Q80" s="3166" t="str">
        <f>IF(AND(Q78&lt;=$G76,Q79&lt;=$G77),"Eligible","Ineligible")</f>
        <v>Eligible</v>
      </c>
      <c r="R80" s="3166"/>
      <c r="S80" s="1135" t="str">
        <f>IF(AND(S78&lt;=$G76,S79&lt;=$G77),"Eligible","Ineligible")</f>
        <v>Eligible</v>
      </c>
      <c r="T80" s="1115"/>
    </row>
    <row r="81" spans="2:20">
      <c r="B81" s="36"/>
      <c r="C81" s="3129" t="s">
        <v>1303</v>
      </c>
      <c r="D81" s="3129"/>
      <c r="E81" s="3129"/>
      <c r="F81" s="3129"/>
      <c r="G81" s="34"/>
      <c r="H81" s="34"/>
      <c r="I81" s="34"/>
      <c r="J81" s="34"/>
      <c r="K81" s="34"/>
      <c r="L81" s="34"/>
      <c r="M81" s="34"/>
      <c r="N81" s="34"/>
      <c r="O81" s="34"/>
      <c r="P81" s="34"/>
      <c r="Q81" s="34"/>
      <c r="R81" s="34"/>
      <c r="S81" s="34"/>
      <c r="T81" s="37"/>
    </row>
    <row r="82" spans="2:20">
      <c r="B82" s="36"/>
      <c r="C82" s="34"/>
      <c r="D82" s="34"/>
      <c r="E82" s="34"/>
      <c r="F82" s="34"/>
      <c r="G82" s="3146"/>
      <c r="H82" s="3146"/>
      <c r="I82" s="3146"/>
      <c r="J82" s="3146"/>
      <c r="K82" s="3146"/>
      <c r="L82" s="3146"/>
      <c r="M82" s="3146"/>
      <c r="N82" s="3146"/>
      <c r="O82" s="3146"/>
      <c r="P82" s="3146"/>
      <c r="Q82" s="3146"/>
      <c r="R82" s="3146"/>
      <c r="S82" s="34"/>
      <c r="T82" s="37"/>
    </row>
    <row r="83" spans="2:20">
      <c r="B83" s="36"/>
      <c r="C83" s="34"/>
      <c r="D83" s="34"/>
      <c r="E83" s="34"/>
      <c r="F83" s="34"/>
      <c r="G83" s="3146"/>
      <c r="H83" s="3146"/>
      <c r="I83" s="3146"/>
      <c r="J83" s="3146"/>
      <c r="K83" s="3146"/>
      <c r="L83" s="3146"/>
      <c r="M83" s="3146"/>
      <c r="N83" s="3146"/>
      <c r="O83" s="3146"/>
      <c r="P83" s="3146"/>
      <c r="Q83" s="3146"/>
      <c r="R83" s="3146"/>
      <c r="S83" s="34"/>
      <c r="T83" s="37"/>
    </row>
    <row r="84" spans="2:20">
      <c r="B84" s="36"/>
      <c r="C84" s="34"/>
      <c r="D84" s="34"/>
      <c r="E84" s="34"/>
      <c r="F84" s="34"/>
      <c r="G84" s="34"/>
      <c r="H84" s="34"/>
      <c r="I84" s="34"/>
      <c r="J84" s="34"/>
      <c r="K84" s="34"/>
      <c r="L84" s="34"/>
      <c r="M84" s="34"/>
      <c r="N84" s="34"/>
      <c r="O84" s="34"/>
      <c r="P84" s="34"/>
      <c r="Q84" s="34"/>
      <c r="R84" s="34"/>
      <c r="S84" s="34"/>
      <c r="T84" s="37"/>
    </row>
    <row r="85" spans="2:20">
      <c r="B85" s="36"/>
      <c r="C85" s="34"/>
      <c r="D85" s="3165" t="s">
        <v>1304</v>
      </c>
      <c r="E85" s="3165"/>
      <c r="F85" s="3165"/>
      <c r="G85" s="34"/>
      <c r="H85" s="34"/>
      <c r="I85" s="34"/>
      <c r="J85" s="34"/>
      <c r="K85" s="34"/>
      <c r="L85" s="34"/>
      <c r="M85" s="34"/>
      <c r="N85" s="34"/>
      <c r="O85" s="34"/>
      <c r="P85" s="34"/>
      <c r="Q85" s="34"/>
      <c r="R85" s="34"/>
      <c r="S85" s="34"/>
      <c r="T85" s="37"/>
    </row>
    <row r="86" spans="2:20" ht="73.25" customHeight="1">
      <c r="B86" s="36"/>
      <c r="C86" s="34"/>
      <c r="D86" s="34"/>
      <c r="E86" s="34"/>
      <c r="F86" s="3124" t="s">
        <v>1305</v>
      </c>
      <c r="G86" s="3125"/>
      <c r="H86" s="3125"/>
      <c r="I86" s="3125"/>
      <c r="J86" s="3125"/>
      <c r="K86" s="3125"/>
      <c r="L86" s="3125"/>
      <c r="M86" s="3125"/>
      <c r="N86" s="3125"/>
      <c r="O86" s="3125"/>
      <c r="P86" s="3125"/>
      <c r="Q86" s="3125"/>
      <c r="R86" s="3125"/>
      <c r="S86" s="34"/>
      <c r="T86" s="37"/>
    </row>
    <row r="87" spans="2:20" ht="54" customHeight="1">
      <c r="B87" s="36"/>
      <c r="C87" s="34"/>
      <c r="D87" s="34"/>
      <c r="E87" s="34"/>
      <c r="F87" s="3124" t="s">
        <v>1306</v>
      </c>
      <c r="G87" s="3125"/>
      <c r="H87" s="3125"/>
      <c r="I87" s="3125"/>
      <c r="J87" s="3125"/>
      <c r="K87" s="3125"/>
      <c r="L87" s="3125"/>
      <c r="M87" s="3125"/>
      <c r="N87" s="3125"/>
      <c r="O87" s="3125"/>
      <c r="P87" s="3125"/>
      <c r="Q87" s="3125"/>
      <c r="R87" s="3125"/>
      <c r="S87" s="34"/>
      <c r="T87" s="37"/>
    </row>
    <row r="88" spans="2:20" ht="36" customHeight="1">
      <c r="B88" s="36"/>
      <c r="C88" s="34"/>
      <c r="D88" s="34"/>
      <c r="E88" s="34"/>
      <c r="F88" s="34"/>
      <c r="G88" s="3124" t="s">
        <v>1307</v>
      </c>
      <c r="H88" s="3124"/>
      <c r="I88" s="3124"/>
      <c r="J88" s="3124"/>
      <c r="K88" s="3124"/>
      <c r="L88" s="3124"/>
      <c r="M88" s="3124"/>
      <c r="N88" s="3124"/>
      <c r="O88" s="3124"/>
      <c r="P88" s="3124"/>
      <c r="Q88" s="3124"/>
      <c r="R88" s="3124"/>
      <c r="S88" s="34"/>
      <c r="T88" s="37"/>
    </row>
    <row r="89" spans="2:20" ht="34.25" customHeight="1">
      <c r="B89" s="36"/>
      <c r="C89" s="34"/>
      <c r="D89" s="34"/>
      <c r="E89" s="34"/>
      <c r="F89" s="34"/>
      <c r="G89" s="3124" t="s">
        <v>1308</v>
      </c>
      <c r="H89" s="3125"/>
      <c r="I89" s="3125"/>
      <c r="J89" s="3125"/>
      <c r="K89" s="3125"/>
      <c r="L89" s="3125"/>
      <c r="M89" s="3125"/>
      <c r="N89" s="3125"/>
      <c r="O89" s="3125"/>
      <c r="P89" s="3125"/>
      <c r="Q89" s="3125"/>
      <c r="R89" s="3125"/>
      <c r="S89" s="34"/>
      <c r="T89" s="37"/>
    </row>
    <row r="90" spans="2:20">
      <c r="B90" s="36"/>
      <c r="C90" s="34"/>
      <c r="D90" s="34"/>
      <c r="E90" s="34"/>
      <c r="F90" s="34"/>
      <c r="G90" s="34"/>
      <c r="H90" s="34"/>
      <c r="I90" s="34"/>
      <c r="J90" s="34"/>
      <c r="K90" s="34"/>
      <c r="L90" s="34"/>
      <c r="M90" s="34"/>
      <c r="N90" s="34"/>
      <c r="O90" s="34"/>
      <c r="P90" s="34"/>
      <c r="Q90" s="34"/>
      <c r="R90" s="34"/>
      <c r="S90" s="34"/>
      <c r="T90" s="37"/>
    </row>
    <row r="91" spans="2:20" s="60" customFormat="1">
      <c r="B91" s="61"/>
      <c r="C91" s="1107" t="s">
        <v>1309</v>
      </c>
      <c r="D91" s="666"/>
      <c r="E91" s="666" t="s">
        <v>1310</v>
      </c>
      <c r="F91" s="666"/>
      <c r="G91" s="666"/>
      <c r="H91" s="666"/>
      <c r="I91" s="666"/>
      <c r="J91" s="666"/>
      <c r="K91" s="666"/>
      <c r="L91" s="666"/>
      <c r="M91" s="666"/>
      <c r="N91" s="666"/>
      <c r="O91" s="666"/>
      <c r="P91" s="666"/>
      <c r="Q91" s="65"/>
      <c r="R91" s="65"/>
      <c r="S91" s="1133"/>
      <c r="T91" s="63"/>
    </row>
    <row r="92" spans="2:20" s="60" customFormat="1">
      <c r="B92" s="61"/>
      <c r="C92" s="1107"/>
      <c r="D92" s="666"/>
      <c r="E92" s="666"/>
      <c r="F92" s="666"/>
      <c r="G92" s="666"/>
      <c r="H92" s="666"/>
      <c r="I92" s="666"/>
      <c r="J92" s="666"/>
      <c r="K92" s="666"/>
      <c r="L92" s="666"/>
      <c r="M92" s="666"/>
      <c r="N92" s="666"/>
      <c r="O92" s="666"/>
      <c r="P92" s="666"/>
      <c r="Q92" s="65"/>
      <c r="R92" s="65"/>
      <c r="S92" s="65"/>
      <c r="T92" s="63"/>
    </row>
    <row r="93" spans="2:20">
      <c r="B93" s="36"/>
      <c r="C93" s="1107" t="s">
        <v>1311</v>
      </c>
      <c r="D93" s="3127" t="s">
        <v>1312</v>
      </c>
      <c r="E93" s="3127"/>
      <c r="F93" s="3127"/>
      <c r="G93" s="3127"/>
      <c r="H93" s="3127"/>
      <c r="I93" s="3127"/>
      <c r="J93" s="3127"/>
      <c r="K93" s="34"/>
      <c r="L93" s="34"/>
      <c r="M93" s="1133"/>
      <c r="N93" s="46"/>
      <c r="O93" s="46"/>
      <c r="P93" s="46"/>
      <c r="Q93" s="34"/>
      <c r="R93" s="34"/>
      <c r="S93" s="34"/>
      <c r="T93" s="37"/>
    </row>
    <row r="94" spans="2:20">
      <c r="B94" s="36"/>
      <c r="C94" s="1107"/>
      <c r="D94" s="46" t="s">
        <v>1226</v>
      </c>
      <c r="E94" s="3125" t="s">
        <v>1313</v>
      </c>
      <c r="F94" s="3125"/>
      <c r="G94" s="3125"/>
      <c r="H94" s="3125"/>
      <c r="I94" s="3125"/>
      <c r="J94" s="3125"/>
      <c r="K94" s="3125"/>
      <c r="L94" s="3126"/>
      <c r="M94" s="3149">
        <v>0</v>
      </c>
      <c r="N94" s="3153"/>
      <c r="O94" s="3153"/>
      <c r="P94" s="3150"/>
      <c r="Q94" s="34"/>
      <c r="R94" s="34"/>
      <c r="S94" s="34"/>
      <c r="T94" s="37"/>
    </row>
    <row r="95" spans="2:20" ht="81.75" customHeight="1">
      <c r="B95" s="36"/>
      <c r="C95" s="1107"/>
      <c r="D95" s="1106" t="s">
        <v>1228</v>
      </c>
      <c r="E95" s="3124" t="s">
        <v>1314</v>
      </c>
      <c r="F95" s="3125"/>
      <c r="G95" s="3125"/>
      <c r="H95" s="3125"/>
      <c r="I95" s="3125"/>
      <c r="J95" s="3125"/>
      <c r="K95" s="3125"/>
      <c r="L95" s="3126"/>
      <c r="M95" s="1133"/>
      <c r="N95" s="46"/>
      <c r="O95" s="46"/>
      <c r="P95" s="46"/>
      <c r="Q95" s="34"/>
      <c r="R95" s="34"/>
      <c r="S95" s="34"/>
      <c r="T95" s="37"/>
    </row>
    <row r="96" spans="2:20" ht="64.5" customHeight="1">
      <c r="B96" s="36"/>
      <c r="C96" s="1107"/>
      <c r="D96" s="1106" t="s">
        <v>1228</v>
      </c>
      <c r="E96" s="3124" t="s">
        <v>1315</v>
      </c>
      <c r="F96" s="3125"/>
      <c r="G96" s="3125"/>
      <c r="H96" s="3125"/>
      <c r="I96" s="3125"/>
      <c r="J96" s="3125"/>
      <c r="K96" s="3125"/>
      <c r="L96" s="3126"/>
      <c r="M96" s="1133"/>
      <c r="N96" s="46"/>
      <c r="O96" s="46"/>
      <c r="P96" s="46"/>
      <c r="Q96" s="34"/>
      <c r="R96" s="34"/>
      <c r="S96" s="34"/>
      <c r="T96" s="37"/>
    </row>
    <row r="97" spans="2:20">
      <c r="B97" s="36"/>
      <c r="C97" s="34"/>
      <c r="D97" s="34"/>
      <c r="E97" s="35" t="s">
        <v>447</v>
      </c>
      <c r="F97" s="3163"/>
      <c r="G97" s="3163"/>
      <c r="H97" s="3163"/>
      <c r="I97" s="3163"/>
      <c r="J97" s="3163"/>
      <c r="K97" s="3163"/>
      <c r="L97" s="3163"/>
      <c r="M97" s="3163"/>
      <c r="N97" s="3163"/>
      <c r="O97" s="3163"/>
      <c r="P97" s="3163"/>
      <c r="Q97" s="3163"/>
      <c r="R97" s="3163"/>
      <c r="S97" s="34"/>
      <c r="T97" s="37"/>
    </row>
    <row r="98" spans="2:20">
      <c r="B98" s="36"/>
      <c r="C98" s="34"/>
      <c r="D98" s="34"/>
      <c r="E98" s="689"/>
      <c r="F98" s="34"/>
      <c r="G98" s="34"/>
      <c r="H98" s="34"/>
      <c r="I98" s="34"/>
      <c r="J98" s="34"/>
      <c r="K98" s="34"/>
      <c r="L98" s="34"/>
      <c r="M98" s="34"/>
      <c r="N98" s="34"/>
      <c r="O98" s="34"/>
      <c r="P98" s="34"/>
      <c r="Q98" s="34"/>
      <c r="R98" s="34"/>
      <c r="S98" s="34"/>
      <c r="T98" s="37"/>
    </row>
    <row r="99" spans="2:20">
      <c r="B99" s="36"/>
      <c r="C99" s="1107"/>
      <c r="D99" s="34"/>
      <c r="E99" s="34"/>
      <c r="F99" s="34"/>
      <c r="G99" s="34"/>
      <c r="H99" s="34"/>
      <c r="I99" s="34"/>
      <c r="J99" s="34"/>
      <c r="K99" s="34"/>
      <c r="L99" s="34"/>
      <c r="M99" s="34"/>
      <c r="N99" s="34"/>
      <c r="O99" s="34"/>
      <c r="P99" s="34"/>
      <c r="Q99" s="34"/>
      <c r="R99" s="34"/>
      <c r="S99" s="34"/>
      <c r="T99" s="37"/>
    </row>
    <row r="100" spans="2:20">
      <c r="B100" s="36"/>
      <c r="C100" s="1107" t="s">
        <v>1316</v>
      </c>
      <c r="D100" s="3164" t="s">
        <v>1317</v>
      </c>
      <c r="E100" s="3164"/>
      <c r="F100" s="3164"/>
      <c r="G100" s="3164"/>
      <c r="H100" s="3164"/>
      <c r="I100" s="3164"/>
      <c r="J100" s="3164"/>
      <c r="K100" s="3164"/>
      <c r="L100" s="3164"/>
      <c r="M100" s="3164"/>
      <c r="N100" s="3164"/>
      <c r="O100" s="3164"/>
      <c r="P100" s="3164"/>
      <c r="Q100" s="3164"/>
      <c r="R100" s="3164"/>
      <c r="S100" s="34"/>
      <c r="T100" s="37"/>
    </row>
    <row r="101" spans="2:20" ht="62.75" customHeight="1">
      <c r="B101" s="36"/>
      <c r="C101" s="34"/>
      <c r="D101" s="34"/>
      <c r="E101" s="3124" t="s">
        <v>1318</v>
      </c>
      <c r="F101" s="3124"/>
      <c r="G101" s="3124"/>
      <c r="H101" s="3124"/>
      <c r="I101" s="3124"/>
      <c r="J101" s="3124"/>
      <c r="K101" s="3124"/>
      <c r="L101" s="3124"/>
      <c r="M101" s="3124"/>
      <c r="N101" s="3124"/>
      <c r="O101" s="3124"/>
      <c r="P101" s="34"/>
      <c r="Q101" s="1133"/>
      <c r="R101" s="34"/>
      <c r="S101" s="34"/>
      <c r="T101" s="37"/>
    </row>
    <row r="102" spans="2:20">
      <c r="B102" s="36"/>
      <c r="C102" s="34"/>
      <c r="D102" s="34"/>
      <c r="E102" s="35" t="s">
        <v>447</v>
      </c>
      <c r="F102" s="3163"/>
      <c r="G102" s="3163"/>
      <c r="H102" s="3163"/>
      <c r="I102" s="3163"/>
      <c r="J102" s="3163"/>
      <c r="K102" s="3163"/>
      <c r="L102" s="3163"/>
      <c r="M102" s="3163"/>
      <c r="N102" s="3163"/>
      <c r="O102" s="3163"/>
      <c r="P102" s="3163"/>
      <c r="Q102" s="3163"/>
      <c r="R102" s="3163"/>
      <c r="S102" s="34"/>
      <c r="T102" s="37"/>
    </row>
    <row r="103" spans="2:20">
      <c r="B103" s="36"/>
      <c r="C103" s="34"/>
      <c r="D103" s="34"/>
      <c r="E103" s="34"/>
      <c r="F103" s="34"/>
      <c r="G103" s="34"/>
      <c r="H103" s="34"/>
      <c r="I103" s="34"/>
      <c r="J103" s="34"/>
      <c r="K103" s="34"/>
      <c r="L103" s="34"/>
      <c r="M103" s="34"/>
      <c r="N103" s="34"/>
      <c r="O103" s="34"/>
      <c r="P103" s="34"/>
      <c r="Q103" s="34"/>
      <c r="R103" s="34"/>
      <c r="S103" s="34"/>
      <c r="T103" s="37"/>
    </row>
    <row r="104" spans="2:20" ht="62.25" customHeight="1">
      <c r="B104" s="36"/>
      <c r="C104" s="34"/>
      <c r="D104" s="34"/>
      <c r="E104" s="3124" t="s">
        <v>1319</v>
      </c>
      <c r="F104" s="3124"/>
      <c r="G104" s="3124"/>
      <c r="H104" s="3124"/>
      <c r="I104" s="3124"/>
      <c r="J104" s="3124"/>
      <c r="K104" s="3124"/>
      <c r="L104" s="3124"/>
      <c r="M104" s="3124"/>
      <c r="N104" s="3124"/>
      <c r="O104" s="3124"/>
      <c r="P104" s="34"/>
      <c r="Q104" s="1133"/>
      <c r="R104" s="34"/>
      <c r="S104" s="34"/>
      <c r="T104" s="37"/>
    </row>
    <row r="105" spans="2:20">
      <c r="B105" s="36"/>
      <c r="C105" s="34"/>
      <c r="D105" s="34"/>
      <c r="E105" s="127"/>
      <c r="F105" s="127"/>
      <c r="G105" s="127"/>
      <c r="H105" s="127"/>
      <c r="I105" s="127"/>
      <c r="J105" s="127"/>
      <c r="K105" s="127"/>
      <c r="L105" s="127"/>
      <c r="M105" s="127"/>
      <c r="N105" s="127"/>
      <c r="O105" s="127"/>
      <c r="P105" s="34"/>
      <c r="Q105" s="34"/>
      <c r="R105" s="34"/>
      <c r="S105" s="34"/>
      <c r="T105" s="37"/>
    </row>
    <row r="106" spans="2:20">
      <c r="B106" s="36"/>
      <c r="C106" s="1107" t="s">
        <v>1320</v>
      </c>
      <c r="D106" s="3164" t="s">
        <v>1321</v>
      </c>
      <c r="E106" s="3164"/>
      <c r="F106" s="3164"/>
      <c r="G106" s="3164"/>
      <c r="H106" s="3164"/>
      <c r="I106" s="3164"/>
      <c r="J106" s="3164"/>
      <c r="K106" s="3164"/>
      <c r="L106" s="3164"/>
      <c r="M106" s="3164"/>
      <c r="N106" s="3164"/>
      <c r="O106" s="3164"/>
      <c r="P106" s="3164"/>
      <c r="Q106" s="3164"/>
      <c r="R106" s="3164"/>
      <c r="S106" s="34"/>
      <c r="T106" s="37"/>
    </row>
    <row r="107" spans="2:20" ht="94.5" customHeight="1">
      <c r="B107" s="36"/>
      <c r="C107" s="34"/>
      <c r="D107" s="34"/>
      <c r="E107" s="3124" t="s">
        <v>1322</v>
      </c>
      <c r="F107" s="3124"/>
      <c r="G107" s="3124"/>
      <c r="H107" s="3124"/>
      <c r="I107" s="3124"/>
      <c r="J107" s="3124"/>
      <c r="K107" s="3124"/>
      <c r="L107" s="3124"/>
      <c r="M107" s="3124"/>
      <c r="N107" s="3124"/>
      <c r="O107" s="3124"/>
      <c r="P107" s="34"/>
      <c r="Q107" s="1133"/>
      <c r="R107" s="34"/>
      <c r="S107" s="34"/>
      <c r="T107" s="37"/>
    </row>
    <row r="108" spans="2:20" ht="94.5" customHeight="1">
      <c r="B108" s="36"/>
      <c r="C108" s="34"/>
      <c r="D108" s="34"/>
      <c r="E108" s="3124" t="s">
        <v>1323</v>
      </c>
      <c r="F108" s="3124"/>
      <c r="G108" s="3124"/>
      <c r="H108" s="3124"/>
      <c r="I108" s="3124"/>
      <c r="J108" s="3124"/>
      <c r="K108" s="3124"/>
      <c r="L108" s="3124"/>
      <c r="M108" s="3124"/>
      <c r="N108" s="3124"/>
      <c r="O108" s="3124"/>
      <c r="P108" s="34"/>
      <c r="Q108" s="1133"/>
      <c r="R108" s="34"/>
      <c r="S108" s="34"/>
      <c r="T108" s="37"/>
    </row>
    <row r="109" spans="2:20" ht="18.75" customHeight="1">
      <c r="B109" s="36"/>
      <c r="C109" s="34"/>
      <c r="D109" s="34"/>
      <c r="E109" s="127"/>
      <c r="F109" s="127"/>
      <c r="G109" s="127"/>
      <c r="H109" s="127"/>
      <c r="I109" s="127"/>
      <c r="J109" s="127"/>
      <c r="K109" s="127"/>
      <c r="L109" s="127"/>
      <c r="M109" s="127"/>
      <c r="N109" s="127"/>
      <c r="O109" s="127"/>
      <c r="P109" s="34"/>
      <c r="Q109" s="34"/>
      <c r="R109" s="34"/>
      <c r="S109" s="34"/>
      <c r="T109" s="37"/>
    </row>
    <row r="110" spans="2:20">
      <c r="B110" s="36"/>
      <c r="C110" s="1107" t="s">
        <v>1324</v>
      </c>
      <c r="D110" s="3164" t="s">
        <v>1325</v>
      </c>
      <c r="E110" s="3164"/>
      <c r="F110" s="3164"/>
      <c r="G110" s="3164"/>
      <c r="H110" s="3164"/>
      <c r="I110" s="3164"/>
      <c r="J110" s="3164"/>
      <c r="K110" s="3164"/>
      <c r="L110" s="3164"/>
      <c r="M110" s="3164"/>
      <c r="N110" s="3164"/>
      <c r="O110" s="3164"/>
      <c r="P110" s="3164"/>
      <c r="Q110" s="3164"/>
      <c r="R110" s="3164"/>
      <c r="S110" s="34"/>
      <c r="T110" s="37"/>
    </row>
    <row r="111" spans="2:20" ht="27" customHeight="1">
      <c r="B111" s="36"/>
      <c r="C111" s="34"/>
      <c r="D111" s="34"/>
      <c r="E111" s="3159" t="s">
        <v>1326</v>
      </c>
      <c r="F111" s="3159"/>
      <c r="G111" s="3159"/>
      <c r="H111" s="3159"/>
      <c r="I111" s="3159"/>
      <c r="J111" s="3159"/>
      <c r="K111" s="3159"/>
      <c r="L111" s="3159"/>
      <c r="M111" s="3159"/>
      <c r="N111" s="3159"/>
      <c r="O111" s="3159"/>
      <c r="P111" s="34"/>
      <c r="Q111" s="1133"/>
      <c r="R111" s="34"/>
      <c r="S111" s="34"/>
      <c r="T111" s="37"/>
    </row>
    <row r="112" spans="2:20" ht="34.5" customHeight="1">
      <c r="B112" s="36"/>
      <c r="C112" s="34"/>
      <c r="D112" s="34"/>
      <c r="E112" s="3124" t="s">
        <v>1327</v>
      </c>
      <c r="F112" s="3124"/>
      <c r="G112" s="3124"/>
      <c r="H112" s="3124"/>
      <c r="I112" s="3124"/>
      <c r="J112" s="3124"/>
      <c r="K112" s="3124"/>
      <c r="L112" s="3124"/>
      <c r="M112" s="3124"/>
      <c r="N112" s="3124"/>
      <c r="O112" s="3124"/>
      <c r="P112" s="34"/>
      <c r="Q112" s="1133"/>
      <c r="R112" s="34"/>
      <c r="S112" s="34"/>
      <c r="T112" s="37"/>
    </row>
    <row r="113" spans="2:20" ht="34.5" customHeight="1">
      <c r="B113" s="36"/>
      <c r="C113" s="34"/>
      <c r="D113" s="34"/>
      <c r="E113" s="127"/>
      <c r="F113" s="127"/>
      <c r="G113" s="127"/>
      <c r="H113" s="127"/>
      <c r="I113" s="127"/>
      <c r="J113" s="127"/>
      <c r="K113" s="127"/>
      <c r="L113" s="127"/>
      <c r="M113" s="127"/>
      <c r="N113" s="127"/>
      <c r="O113" s="127"/>
      <c r="P113" s="34"/>
      <c r="Q113" s="34"/>
      <c r="R113" s="34"/>
      <c r="S113" s="34"/>
      <c r="T113" s="37"/>
    </row>
    <row r="114" spans="2:20" ht="23.25" customHeight="1">
      <c r="B114" s="36"/>
      <c r="C114" s="1107" t="s">
        <v>1328</v>
      </c>
      <c r="D114" s="34"/>
      <c r="E114" s="3160" t="s">
        <v>1329</v>
      </c>
      <c r="F114" s="3160"/>
      <c r="G114" s="3160"/>
      <c r="H114" s="3160"/>
      <c r="I114" s="3160"/>
      <c r="J114" s="127"/>
      <c r="K114" s="127"/>
      <c r="L114" s="127"/>
      <c r="M114" s="127"/>
      <c r="N114" s="127"/>
      <c r="O114" s="127"/>
      <c r="P114" s="34"/>
      <c r="Q114" s="34"/>
      <c r="R114" s="34"/>
      <c r="S114" s="34"/>
      <c r="T114" s="37"/>
    </row>
    <row r="115" spans="2:20" ht="18" customHeight="1">
      <c r="B115" s="36"/>
      <c r="C115" s="34"/>
      <c r="D115" s="1116" t="s">
        <v>1330</v>
      </c>
      <c r="E115" s="3161" t="s">
        <v>1331</v>
      </c>
      <c r="F115" s="3161"/>
      <c r="G115" s="3161"/>
      <c r="H115" s="3161"/>
      <c r="I115" s="3162"/>
      <c r="J115" s="1133"/>
      <c r="K115" s="34"/>
      <c r="L115" s="34"/>
      <c r="M115" s="34"/>
      <c r="N115" s="34"/>
      <c r="O115" s="34"/>
      <c r="P115" s="34"/>
      <c r="Q115" s="34"/>
      <c r="R115" s="34"/>
      <c r="S115" s="34"/>
      <c r="T115" s="37"/>
    </row>
    <row r="116" spans="2:20" ht="18" customHeight="1">
      <c r="B116" s="36"/>
      <c r="C116" s="34"/>
      <c r="D116" s="1117"/>
      <c r="E116" s="3154" t="s">
        <v>1332</v>
      </c>
      <c r="F116" s="3155"/>
      <c r="G116" s="3156"/>
      <c r="H116" s="3157"/>
      <c r="I116" s="3157"/>
      <c r="J116" s="3157"/>
      <c r="K116" s="3158"/>
      <c r="L116" s="1118" t="s">
        <v>1333</v>
      </c>
      <c r="M116" s="3154" t="s">
        <v>1332</v>
      </c>
      <c r="N116" s="3155"/>
      <c r="O116" s="3156"/>
      <c r="P116" s="3157"/>
      <c r="Q116" s="3157"/>
      <c r="R116" s="3157"/>
      <c r="S116" s="3158"/>
      <c r="T116" s="37"/>
    </row>
    <row r="117" spans="2:20" ht="36" customHeight="1">
      <c r="B117" s="36"/>
      <c r="C117" s="34"/>
      <c r="D117" s="1117"/>
      <c r="E117" s="3147" t="s">
        <v>1334</v>
      </c>
      <c r="F117" s="3148"/>
      <c r="G117" s="3149"/>
      <c r="H117" s="3153"/>
      <c r="I117" s="3153"/>
      <c r="J117" s="3153"/>
      <c r="K117" s="3150"/>
      <c r="L117" s="1119"/>
      <c r="M117" s="3147" t="s">
        <v>1334</v>
      </c>
      <c r="N117" s="3148"/>
      <c r="O117" s="3149"/>
      <c r="P117" s="3153"/>
      <c r="Q117" s="3153"/>
      <c r="R117" s="3153"/>
      <c r="S117" s="3150"/>
      <c r="T117" s="37"/>
    </row>
    <row r="118" spans="2:20" ht="18" customHeight="1">
      <c r="B118" s="36"/>
      <c r="C118" s="34"/>
      <c r="D118" s="1117"/>
      <c r="E118" s="3147" t="s">
        <v>1335</v>
      </c>
      <c r="F118" s="3148"/>
      <c r="G118" s="3149"/>
      <c r="H118" s="3150"/>
      <c r="I118" s="1120" t="s">
        <v>1336</v>
      </c>
      <c r="J118" s="3149"/>
      <c r="K118" s="3150"/>
      <c r="L118" s="1119"/>
      <c r="M118" s="3147" t="s">
        <v>1335</v>
      </c>
      <c r="N118" s="3148"/>
      <c r="O118" s="3149"/>
      <c r="P118" s="3150"/>
      <c r="Q118" s="1120" t="s">
        <v>1336</v>
      </c>
      <c r="R118" s="3149"/>
      <c r="S118" s="3150"/>
      <c r="T118" s="37"/>
    </row>
    <row r="119" spans="2:20" ht="18.5" customHeight="1">
      <c r="B119" s="36"/>
      <c r="C119" s="34"/>
      <c r="D119" s="1117"/>
      <c r="E119" s="3147" t="s">
        <v>264</v>
      </c>
      <c r="F119" s="3148"/>
      <c r="G119" s="3149"/>
      <c r="H119" s="3150"/>
      <c r="I119" s="1120" t="s">
        <v>1337</v>
      </c>
      <c r="J119" s="3151"/>
      <c r="K119" s="3152"/>
      <c r="L119" s="1119"/>
      <c r="M119" s="3147" t="s">
        <v>264</v>
      </c>
      <c r="N119" s="3148"/>
      <c r="O119" s="3149"/>
      <c r="P119" s="3150"/>
      <c r="Q119" s="1120" t="s">
        <v>1337</v>
      </c>
      <c r="R119" s="3151"/>
      <c r="S119" s="3152"/>
      <c r="T119" s="37"/>
    </row>
    <row r="120" spans="2:20" ht="18" customHeight="1">
      <c r="B120" s="36"/>
      <c r="C120" s="34"/>
      <c r="D120" s="1121" t="s">
        <v>1338</v>
      </c>
      <c r="E120" s="1122"/>
      <c r="F120" s="1123"/>
      <c r="G120" s="1124"/>
      <c r="H120" s="1124"/>
      <c r="I120" s="1125"/>
      <c r="J120" s="1126"/>
      <c r="K120" s="34"/>
      <c r="L120" s="1119"/>
      <c r="M120" s="1122"/>
      <c r="N120" s="1123"/>
      <c r="O120" s="1124"/>
      <c r="P120" s="1124"/>
      <c r="Q120" s="1125"/>
      <c r="R120" s="1126"/>
      <c r="S120" s="34"/>
      <c r="T120" s="37"/>
    </row>
    <row r="121" spans="2:20" ht="18" customHeight="1">
      <c r="B121" s="36"/>
      <c r="C121" s="34"/>
      <c r="D121" s="1117"/>
      <c r="E121" s="3154" t="s">
        <v>1332</v>
      </c>
      <c r="F121" s="3155"/>
      <c r="G121" s="3156"/>
      <c r="H121" s="3157"/>
      <c r="I121" s="3157"/>
      <c r="J121" s="3157"/>
      <c r="K121" s="3158"/>
      <c r="L121" s="1118" t="s">
        <v>1339</v>
      </c>
      <c r="M121" s="3154" t="s">
        <v>1332</v>
      </c>
      <c r="N121" s="3155"/>
      <c r="O121" s="3156"/>
      <c r="P121" s="3157"/>
      <c r="Q121" s="3157"/>
      <c r="R121" s="3157"/>
      <c r="S121" s="3158"/>
      <c r="T121" s="37"/>
    </row>
    <row r="122" spans="2:20" ht="36" customHeight="1">
      <c r="B122" s="36"/>
      <c r="C122" s="34"/>
      <c r="D122" s="1117"/>
      <c r="E122" s="3147" t="s">
        <v>1334</v>
      </c>
      <c r="F122" s="3148"/>
      <c r="G122" s="3149"/>
      <c r="H122" s="3153"/>
      <c r="I122" s="3153"/>
      <c r="J122" s="3153"/>
      <c r="K122" s="3150"/>
      <c r="L122" s="1117"/>
      <c r="M122" s="3147" t="s">
        <v>1334</v>
      </c>
      <c r="N122" s="3148"/>
      <c r="O122" s="3149"/>
      <c r="P122" s="3153"/>
      <c r="Q122" s="3153"/>
      <c r="R122" s="3153"/>
      <c r="S122" s="3150"/>
      <c r="T122" s="37"/>
    </row>
    <row r="123" spans="2:20" ht="18" customHeight="1">
      <c r="B123" s="36"/>
      <c r="C123" s="34"/>
      <c r="D123" s="1117"/>
      <c r="E123" s="3147" t="s">
        <v>1335</v>
      </c>
      <c r="F123" s="3148"/>
      <c r="G123" s="3149"/>
      <c r="H123" s="3150"/>
      <c r="I123" s="1120" t="s">
        <v>1336</v>
      </c>
      <c r="J123" s="3149"/>
      <c r="K123" s="3150"/>
      <c r="L123" s="1117"/>
      <c r="M123" s="3147" t="s">
        <v>1335</v>
      </c>
      <c r="N123" s="3148"/>
      <c r="O123" s="3149"/>
      <c r="P123" s="3150"/>
      <c r="Q123" s="1120" t="s">
        <v>1336</v>
      </c>
      <c r="R123" s="3149"/>
      <c r="S123" s="3150"/>
      <c r="T123" s="37"/>
    </row>
    <row r="124" spans="2:20" ht="18" customHeight="1">
      <c r="B124" s="36"/>
      <c r="C124" s="34"/>
      <c r="D124" s="34"/>
      <c r="E124" s="3147" t="s">
        <v>264</v>
      </c>
      <c r="F124" s="3148"/>
      <c r="G124" s="3149"/>
      <c r="H124" s="3150"/>
      <c r="I124" s="1120" t="s">
        <v>1337</v>
      </c>
      <c r="J124" s="3151"/>
      <c r="K124" s="3152"/>
      <c r="L124" s="1117"/>
      <c r="M124" s="3147" t="s">
        <v>264</v>
      </c>
      <c r="N124" s="3148"/>
      <c r="O124" s="3149"/>
      <c r="P124" s="3150"/>
      <c r="Q124" s="1120" t="s">
        <v>1337</v>
      </c>
      <c r="R124" s="3151"/>
      <c r="S124" s="3152"/>
      <c r="T124" s="37"/>
    </row>
    <row r="125" spans="2:20">
      <c r="B125" s="36"/>
      <c r="C125" s="34"/>
      <c r="D125" s="34"/>
      <c r="E125" s="34"/>
      <c r="F125" s="34"/>
      <c r="G125" s="34"/>
      <c r="H125" s="34"/>
      <c r="I125" s="34"/>
      <c r="J125" s="34"/>
      <c r="K125" s="34"/>
      <c r="L125" s="34"/>
      <c r="M125" s="34"/>
      <c r="N125" s="34"/>
      <c r="O125" s="34"/>
      <c r="P125" s="34"/>
      <c r="Q125" s="34"/>
      <c r="R125" s="34"/>
      <c r="S125" s="34"/>
      <c r="T125" s="37"/>
    </row>
    <row r="126" spans="2:20">
      <c r="B126" s="36"/>
      <c r="C126" s="34"/>
      <c r="D126" s="34"/>
      <c r="E126" s="34"/>
      <c r="F126" s="34"/>
      <c r="G126" s="34"/>
      <c r="H126" s="34"/>
      <c r="I126" s="1127" t="s">
        <v>1340</v>
      </c>
      <c r="J126" s="1127"/>
      <c r="K126" s="1127"/>
      <c r="L126" s="46"/>
      <c r="M126" s="46"/>
      <c r="N126" s="46"/>
      <c r="O126" s="34"/>
      <c r="P126" s="34"/>
      <c r="Q126" s="34"/>
      <c r="R126" s="34"/>
      <c r="S126" s="34"/>
      <c r="T126" s="37"/>
    </row>
    <row r="127" spans="2:20">
      <c r="B127" s="36"/>
      <c r="C127" s="34"/>
      <c r="D127" s="34"/>
      <c r="E127" s="34"/>
      <c r="F127" s="34"/>
      <c r="G127" s="34"/>
      <c r="H127" s="34"/>
      <c r="I127" s="3122" t="s">
        <v>1341</v>
      </c>
      <c r="J127" s="3122"/>
      <c r="K127" s="3122"/>
      <c r="L127" s="3123">
        <f>G119+G124+O119+O124</f>
        <v>0</v>
      </c>
      <c r="M127" s="3123"/>
      <c r="N127" s="34"/>
      <c r="O127" s="34"/>
      <c r="P127" s="34"/>
      <c r="Q127" s="34"/>
      <c r="R127" s="34"/>
      <c r="S127" s="34"/>
      <c r="T127" s="37"/>
    </row>
    <row r="128" spans="2:20">
      <c r="B128" s="36"/>
      <c r="C128" s="34"/>
      <c r="D128" s="34"/>
      <c r="E128" s="34"/>
      <c r="F128" s="34"/>
      <c r="G128" s="34"/>
      <c r="H128" s="34"/>
      <c r="I128" s="3122" t="s">
        <v>1342</v>
      </c>
      <c r="J128" s="3122"/>
      <c r="K128" s="3122"/>
      <c r="L128" s="3123">
        <f>L127*0.75</f>
        <v>0</v>
      </c>
      <c r="M128" s="3123"/>
      <c r="N128" s="34" t="s">
        <v>1343</v>
      </c>
      <c r="O128" s="34"/>
      <c r="P128" s="34"/>
      <c r="Q128" s="34"/>
      <c r="R128" s="34"/>
      <c r="S128" s="34"/>
      <c r="T128" s="37"/>
    </row>
    <row r="129" spans="2:20">
      <c r="B129" s="36"/>
      <c r="C129" s="34"/>
      <c r="D129" s="34"/>
      <c r="E129" s="34"/>
      <c r="F129" s="34"/>
      <c r="G129" s="34"/>
      <c r="H129" s="34"/>
      <c r="I129" s="3122" t="s">
        <v>1344</v>
      </c>
      <c r="J129" s="3122"/>
      <c r="K129" s="3122"/>
      <c r="L129" s="3123">
        <v>3750000</v>
      </c>
      <c r="M129" s="3123"/>
      <c r="N129" s="34"/>
      <c r="O129" s="34"/>
      <c r="P129" s="34"/>
      <c r="Q129" s="34"/>
      <c r="R129" s="34"/>
      <c r="S129" s="34"/>
      <c r="T129" s="37"/>
    </row>
    <row r="130" spans="2:20">
      <c r="B130" s="36"/>
      <c r="C130" s="34"/>
      <c r="D130" s="34"/>
      <c r="E130" s="34"/>
      <c r="F130" s="34"/>
      <c r="G130" s="34"/>
      <c r="H130" s="34"/>
      <c r="I130" s="3122" t="s">
        <v>1345</v>
      </c>
      <c r="J130" s="3122"/>
      <c r="K130" s="3122"/>
      <c r="L130" s="3123">
        <f>L129-L128</f>
        <v>3750000</v>
      </c>
      <c r="M130" s="3123"/>
      <c r="N130" s="34"/>
      <c r="O130" s="34"/>
      <c r="P130" s="34"/>
      <c r="Q130" s="34"/>
      <c r="R130" s="34"/>
      <c r="S130" s="34"/>
      <c r="T130" s="37"/>
    </row>
    <row r="131" spans="2:20">
      <c r="B131" s="36"/>
      <c r="C131" s="34"/>
      <c r="D131" s="34"/>
      <c r="E131" s="34"/>
      <c r="F131" s="34"/>
      <c r="G131" s="34"/>
      <c r="H131" s="34"/>
      <c r="I131" s="3122" t="s">
        <v>1346</v>
      </c>
      <c r="J131" s="3122"/>
      <c r="K131" s="3122"/>
      <c r="L131" s="3123">
        <v>0</v>
      </c>
      <c r="M131" s="3123"/>
      <c r="N131" s="34"/>
      <c r="O131" s="34"/>
      <c r="P131" s="34"/>
      <c r="Q131" s="34"/>
      <c r="R131" s="34"/>
      <c r="S131" s="34"/>
      <c r="T131" s="37"/>
    </row>
    <row r="132" spans="2:20" ht="51.75" customHeight="1">
      <c r="B132" s="36"/>
      <c r="C132" s="34"/>
      <c r="D132" s="34"/>
      <c r="E132" s="34"/>
      <c r="F132" s="34"/>
      <c r="G132" s="34"/>
      <c r="H132" s="34"/>
      <c r="I132" s="1128"/>
      <c r="J132" s="1128"/>
      <c r="K132" s="1128"/>
      <c r="L132" s="34"/>
      <c r="M132" s="34"/>
      <c r="N132" s="34"/>
      <c r="O132" s="34"/>
      <c r="P132" s="34"/>
      <c r="Q132" s="34"/>
      <c r="R132" s="34"/>
      <c r="S132" s="34"/>
      <c r="T132" s="37"/>
    </row>
    <row r="133" spans="2:20" ht="51.75" customHeight="1">
      <c r="B133" s="36"/>
      <c r="C133" s="34"/>
      <c r="D133" s="34"/>
      <c r="E133" s="34"/>
      <c r="F133" s="34"/>
      <c r="G133" s="34"/>
      <c r="H133" s="34"/>
      <c r="I133" s="1128"/>
      <c r="J133" s="1128"/>
      <c r="K133" s="1128"/>
      <c r="L133" s="34"/>
      <c r="M133" s="34"/>
      <c r="N133" s="34"/>
      <c r="O133" s="34"/>
      <c r="P133" s="34"/>
      <c r="Q133" s="34"/>
      <c r="R133" s="34"/>
      <c r="S133" s="34"/>
      <c r="T133" s="37"/>
    </row>
    <row r="134" spans="2:20">
      <c r="B134" s="36"/>
      <c r="C134" s="34"/>
      <c r="D134" s="34"/>
      <c r="E134" s="3124" t="s">
        <v>1347</v>
      </c>
      <c r="F134" s="3124"/>
      <c r="G134" s="3124"/>
      <c r="H134" s="3124"/>
      <c r="I134" s="3124"/>
      <c r="J134" s="3124"/>
      <c r="K134" s="3124"/>
      <c r="L134" s="3124"/>
      <c r="M134" s="3124"/>
      <c r="N134" s="3124"/>
      <c r="O134" s="3124"/>
      <c r="P134" s="34"/>
      <c r="Q134" s="1133"/>
      <c r="R134" s="34"/>
      <c r="S134" s="34"/>
      <c r="T134" s="37"/>
    </row>
    <row r="135" spans="2:20" ht="18.75" customHeight="1">
      <c r="B135" s="36"/>
      <c r="C135" s="1107"/>
      <c r="D135" s="34"/>
      <c r="E135" s="34"/>
      <c r="F135" s="34"/>
      <c r="G135" s="34"/>
      <c r="H135" s="34"/>
      <c r="I135" s="34"/>
      <c r="J135" s="34"/>
      <c r="K135" s="34"/>
      <c r="L135" s="34"/>
      <c r="M135" s="34"/>
      <c r="N135" s="34"/>
      <c r="O135" s="34"/>
      <c r="P135" s="34"/>
      <c r="Q135" s="34"/>
      <c r="R135" s="34"/>
      <c r="S135" s="34"/>
      <c r="T135" s="37"/>
    </row>
    <row r="136" spans="2:20" ht="60.75" customHeight="1">
      <c r="B136" s="36"/>
      <c r="C136" s="1107"/>
      <c r="D136" s="34"/>
      <c r="E136" s="3124" t="s">
        <v>1348</v>
      </c>
      <c r="F136" s="3125"/>
      <c r="G136" s="3125"/>
      <c r="H136" s="3125"/>
      <c r="I136" s="3125"/>
      <c r="J136" s="3125"/>
      <c r="K136" s="3125"/>
      <c r="L136" s="3126"/>
      <c r="M136" s="1133"/>
      <c r="N136" s="34"/>
      <c r="O136" s="34"/>
      <c r="P136" s="34"/>
      <c r="Q136" s="34"/>
      <c r="R136" s="34"/>
      <c r="S136" s="34"/>
      <c r="T136" s="37"/>
    </row>
    <row r="137" spans="2:20" ht="60.75" customHeight="1">
      <c r="B137" s="36"/>
      <c r="C137" s="1107"/>
      <c r="D137" s="34"/>
      <c r="E137" s="3124" t="s">
        <v>1349</v>
      </c>
      <c r="F137" s="3124"/>
      <c r="G137" s="3124"/>
      <c r="H137" s="3124"/>
      <c r="I137" s="3124"/>
      <c r="J137" s="3124"/>
      <c r="K137" s="3124"/>
      <c r="L137" s="3124"/>
      <c r="M137" s="3124"/>
      <c r="N137" s="3124"/>
      <c r="O137" s="3124"/>
      <c r="P137" s="3124"/>
      <c r="Q137" s="3124"/>
      <c r="R137" s="3124"/>
      <c r="S137" s="3124"/>
      <c r="T137" s="37"/>
    </row>
    <row r="138" spans="2:20" ht="87.75" customHeight="1">
      <c r="B138" s="36"/>
      <c r="C138" s="1107"/>
      <c r="D138" s="34"/>
      <c r="E138" s="3124" t="s">
        <v>1350</v>
      </c>
      <c r="F138" s="3124"/>
      <c r="G138" s="3124"/>
      <c r="H138" s="3124"/>
      <c r="I138" s="3124"/>
      <c r="J138" s="3124"/>
      <c r="K138" s="3124"/>
      <c r="L138" s="3124"/>
      <c r="M138" s="3124"/>
      <c r="N138" s="3124"/>
      <c r="O138" s="3124"/>
      <c r="P138" s="3124"/>
      <c r="Q138" s="3124"/>
      <c r="R138" s="3124"/>
      <c r="S138" s="3124"/>
      <c r="T138" s="37"/>
    </row>
    <row r="139" spans="2:20" ht="35.25" customHeight="1">
      <c r="B139" s="36"/>
      <c r="C139" s="1107"/>
      <c r="D139" s="34"/>
      <c r="E139" s="3124" t="s">
        <v>1351</v>
      </c>
      <c r="F139" s="3124"/>
      <c r="G139" s="3124"/>
      <c r="H139" s="3124"/>
      <c r="I139" s="3124"/>
      <c r="J139" s="3124"/>
      <c r="K139" s="3124"/>
      <c r="L139" s="3124"/>
      <c r="M139" s="3124"/>
      <c r="N139" s="3124"/>
      <c r="O139" s="3124"/>
      <c r="P139" s="3124"/>
      <c r="Q139" s="3124"/>
      <c r="R139" s="3124"/>
      <c r="S139" s="3124"/>
      <c r="T139" s="37"/>
    </row>
    <row r="140" spans="2:20">
      <c r="B140" s="36"/>
      <c r="C140" s="34"/>
      <c r="D140" s="34"/>
      <c r="E140" s="1092"/>
      <c r="F140" s="1092"/>
      <c r="G140" s="1092"/>
      <c r="H140" s="1092"/>
      <c r="I140" s="1092"/>
      <c r="J140" s="1092"/>
      <c r="K140" s="1092"/>
      <c r="L140" s="1092"/>
      <c r="M140" s="1092"/>
      <c r="N140" s="34"/>
      <c r="O140" s="34"/>
      <c r="P140" s="34"/>
      <c r="Q140" s="34"/>
      <c r="R140" s="34"/>
      <c r="S140" s="34"/>
      <c r="T140" s="37"/>
    </row>
    <row r="141" spans="2:20">
      <c r="B141" s="36"/>
      <c r="C141" s="34"/>
      <c r="D141" s="34"/>
      <c r="E141" s="34" t="s">
        <v>1352</v>
      </c>
      <c r="F141" s="34"/>
      <c r="G141" s="34"/>
      <c r="H141" s="34"/>
      <c r="I141" s="34"/>
      <c r="J141" s="34"/>
      <c r="K141" s="34"/>
      <c r="L141" s="1129"/>
      <c r="M141" s="1130"/>
      <c r="N141" s="34"/>
      <c r="O141" s="34"/>
      <c r="P141" s="34"/>
      <c r="Q141" s="1133"/>
      <c r="R141" s="34"/>
      <c r="S141" s="34"/>
      <c r="T141" s="37"/>
    </row>
    <row r="142" spans="2:20">
      <c r="B142" s="36"/>
      <c r="C142" s="34"/>
      <c r="D142" s="34"/>
      <c r="E142" s="46"/>
      <c r="F142" s="46"/>
      <c r="G142" s="46"/>
      <c r="H142" s="46"/>
      <c r="I142" s="46"/>
      <c r="J142" s="46"/>
      <c r="K142" s="46"/>
      <c r="L142" s="46"/>
      <c r="M142" s="34"/>
      <c r="N142" s="34"/>
      <c r="O142" s="34"/>
      <c r="P142" s="34"/>
      <c r="Q142" s="34"/>
      <c r="R142" s="34"/>
      <c r="S142" s="34"/>
      <c r="T142" s="37"/>
    </row>
    <row r="143" spans="2:20">
      <c r="B143" s="36"/>
      <c r="C143" s="1107" t="s">
        <v>1353</v>
      </c>
      <c r="D143" s="34"/>
      <c r="E143" s="31" t="s">
        <v>1354</v>
      </c>
      <c r="F143" s="34"/>
      <c r="G143" s="34"/>
      <c r="H143" s="34"/>
      <c r="I143" s="34"/>
      <c r="J143" s="34"/>
      <c r="K143" s="34"/>
      <c r="L143" s="34"/>
      <c r="M143" s="34"/>
      <c r="N143" s="34"/>
      <c r="O143" s="34"/>
      <c r="P143" s="34"/>
      <c r="Q143" s="34"/>
      <c r="R143" s="34"/>
      <c r="S143" s="34"/>
      <c r="T143" s="37"/>
    </row>
    <row r="144" spans="2:20" ht="43.5" customHeight="1">
      <c r="B144" s="36"/>
      <c r="C144" s="34"/>
      <c r="D144" s="34"/>
      <c r="E144" s="3124" t="s">
        <v>1355</v>
      </c>
      <c r="F144" s="3124"/>
      <c r="G144" s="3124"/>
      <c r="H144" s="3124"/>
      <c r="I144" s="3124"/>
      <c r="J144" s="3124"/>
      <c r="K144" s="3124"/>
      <c r="L144" s="3124"/>
      <c r="M144" s="3124"/>
      <c r="N144" s="3143"/>
      <c r="O144" s="1133"/>
      <c r="P144" s="34"/>
      <c r="Q144" s="34"/>
      <c r="R144" s="34"/>
      <c r="S144" s="34"/>
      <c r="T144" s="37"/>
    </row>
    <row r="145" spans="2:20">
      <c r="B145" s="36"/>
      <c r="C145" s="34"/>
      <c r="D145" s="34"/>
      <c r="E145" s="34"/>
      <c r="F145" s="3144" t="s">
        <v>1356</v>
      </c>
      <c r="G145" s="3144"/>
      <c r="H145" s="3144"/>
      <c r="I145" s="3144"/>
      <c r="J145" s="3144"/>
      <c r="K145" s="3144"/>
      <c r="L145" s="3144"/>
      <c r="M145" s="3144"/>
      <c r="N145" s="3144"/>
      <c r="O145" s="3144"/>
      <c r="P145" s="3144"/>
      <c r="Q145" s="3144"/>
      <c r="R145" s="34"/>
      <c r="S145" s="34"/>
      <c r="T145" s="37"/>
    </row>
    <row r="146" spans="2:20">
      <c r="B146" s="36"/>
      <c r="C146" s="34"/>
      <c r="D146" s="34"/>
      <c r="E146" s="34"/>
      <c r="F146" s="3145"/>
      <c r="G146" s="3145"/>
      <c r="H146" s="3145"/>
      <c r="I146" s="3145"/>
      <c r="J146" s="3145"/>
      <c r="K146" s="3145"/>
      <c r="L146" s="3145"/>
      <c r="M146" s="3145"/>
      <c r="N146" s="3145"/>
      <c r="O146" s="3145"/>
      <c r="P146" s="3145"/>
      <c r="Q146" s="3145"/>
      <c r="R146" s="34"/>
      <c r="S146" s="34"/>
      <c r="T146" s="37"/>
    </row>
    <row r="147" spans="2:20">
      <c r="B147" s="36"/>
      <c r="C147" s="34"/>
      <c r="D147" s="34"/>
      <c r="E147" s="34"/>
      <c r="F147" s="3146"/>
      <c r="G147" s="3146"/>
      <c r="H147" s="3146"/>
      <c r="I147" s="3146"/>
      <c r="J147" s="3146"/>
      <c r="K147" s="3146"/>
      <c r="L147" s="3146"/>
      <c r="M147" s="3146"/>
      <c r="N147" s="3146"/>
      <c r="O147" s="3146"/>
      <c r="P147" s="3146"/>
      <c r="Q147" s="3146"/>
      <c r="R147" s="3146"/>
      <c r="S147" s="3146"/>
      <c r="T147" s="37"/>
    </row>
    <row r="148" spans="2:20">
      <c r="B148" s="36"/>
      <c r="C148" s="34"/>
      <c r="D148" s="34"/>
      <c r="E148" s="34"/>
      <c r="F148" s="3146"/>
      <c r="G148" s="3146"/>
      <c r="H148" s="3146"/>
      <c r="I148" s="3146"/>
      <c r="J148" s="3146"/>
      <c r="K148" s="3146"/>
      <c r="L148" s="3146"/>
      <c r="M148" s="3146"/>
      <c r="N148" s="3146"/>
      <c r="O148" s="3146"/>
      <c r="P148" s="3146"/>
      <c r="Q148" s="3146"/>
      <c r="R148" s="3146"/>
      <c r="S148" s="3146"/>
      <c r="T148" s="37"/>
    </row>
    <row r="149" spans="2:20">
      <c r="B149" s="36"/>
      <c r="C149" s="34"/>
      <c r="D149" s="34"/>
      <c r="E149" s="34"/>
      <c r="F149" s="3146"/>
      <c r="G149" s="3146"/>
      <c r="H149" s="3146"/>
      <c r="I149" s="3146"/>
      <c r="J149" s="3146"/>
      <c r="K149" s="3146"/>
      <c r="L149" s="3146"/>
      <c r="M149" s="3146"/>
      <c r="N149" s="3146"/>
      <c r="O149" s="3146"/>
      <c r="P149" s="3146"/>
      <c r="Q149" s="3146"/>
      <c r="R149" s="3146"/>
      <c r="S149" s="3146"/>
      <c r="T149" s="37"/>
    </row>
    <row r="150" spans="2:20">
      <c r="B150" s="36"/>
      <c r="C150" s="1130"/>
      <c r="D150" s="1107"/>
      <c r="E150" s="34"/>
      <c r="F150" s="127"/>
      <c r="G150" s="127"/>
      <c r="H150" s="127"/>
      <c r="I150" s="127"/>
      <c r="J150" s="127"/>
      <c r="K150" s="127"/>
      <c r="L150" s="127"/>
      <c r="M150" s="127"/>
      <c r="N150" s="127"/>
      <c r="O150" s="127"/>
      <c r="P150" s="127"/>
      <c r="Q150" s="127"/>
      <c r="R150" s="127"/>
      <c r="S150" s="127"/>
      <c r="T150" s="37"/>
    </row>
    <row r="151" spans="2:20">
      <c r="B151" s="36"/>
      <c r="C151" s="1107" t="s">
        <v>1357</v>
      </c>
      <c r="D151" s="34"/>
      <c r="E151" s="3127" t="s">
        <v>1358</v>
      </c>
      <c r="F151" s="3127"/>
      <c r="G151" s="3127"/>
      <c r="H151" s="3127"/>
      <c r="I151" s="3127"/>
      <c r="J151" s="3127"/>
      <c r="K151" s="3127"/>
      <c r="L151" s="3127"/>
      <c r="M151" s="3127"/>
      <c r="N151" s="3128"/>
      <c r="O151" s="1133"/>
      <c r="P151" s="127"/>
      <c r="Q151" s="127"/>
      <c r="R151" s="127"/>
      <c r="S151" s="127"/>
      <c r="T151" s="37"/>
    </row>
    <row r="152" spans="2:20">
      <c r="B152" s="36"/>
      <c r="C152" s="1107"/>
      <c r="D152" s="34"/>
      <c r="E152" s="46"/>
      <c r="F152" s="3129" t="s">
        <v>1359</v>
      </c>
      <c r="G152" s="3129"/>
      <c r="H152" s="3130"/>
      <c r="I152" s="3131"/>
      <c r="J152" s="3131"/>
      <c r="K152" s="3131"/>
      <c r="L152" s="3131"/>
      <c r="M152" s="3131"/>
      <c r="N152" s="3131"/>
      <c r="O152" s="3131"/>
      <c r="P152" s="3131"/>
      <c r="Q152" s="3131"/>
      <c r="R152" s="3131"/>
      <c r="S152" s="3132"/>
      <c r="T152" s="37"/>
    </row>
    <row r="153" spans="2:20">
      <c r="B153" s="36"/>
      <c r="C153" s="1107"/>
      <c r="D153" s="34"/>
      <c r="E153" s="46"/>
      <c r="F153" s="46"/>
      <c r="G153" s="46"/>
      <c r="H153" s="3133"/>
      <c r="I153" s="3134"/>
      <c r="J153" s="3134"/>
      <c r="K153" s="3134"/>
      <c r="L153" s="3134"/>
      <c r="M153" s="3134"/>
      <c r="N153" s="3134"/>
      <c r="O153" s="3134"/>
      <c r="P153" s="3134"/>
      <c r="Q153" s="3134"/>
      <c r="R153" s="3134"/>
      <c r="S153" s="3135"/>
      <c r="T153" s="37"/>
    </row>
    <row r="154" spans="2:20">
      <c r="B154" s="36"/>
      <c r="C154" s="1107"/>
      <c r="D154" s="34"/>
      <c r="E154" s="46"/>
      <c r="F154" s="46"/>
      <c r="G154" s="46"/>
      <c r="H154" s="3136"/>
      <c r="I154" s="3137"/>
      <c r="J154" s="3137"/>
      <c r="K154" s="3137"/>
      <c r="L154" s="3137"/>
      <c r="M154" s="3137"/>
      <c r="N154" s="3137"/>
      <c r="O154" s="3137"/>
      <c r="P154" s="3137"/>
      <c r="Q154" s="3137"/>
      <c r="R154" s="3137"/>
      <c r="S154" s="3138"/>
      <c r="T154" s="37"/>
    </row>
    <row r="155" spans="2:20">
      <c r="B155" s="36"/>
      <c r="C155" s="1107"/>
      <c r="D155" s="34"/>
      <c r="E155" s="46"/>
      <c r="F155" s="46"/>
      <c r="G155" s="46"/>
      <c r="H155" s="46"/>
      <c r="I155" s="46"/>
      <c r="J155" s="46"/>
      <c r="K155" s="46"/>
      <c r="L155" s="46"/>
      <c r="M155" s="46"/>
      <c r="N155" s="46"/>
      <c r="O155" s="46"/>
      <c r="P155" s="46"/>
      <c r="Q155" s="46"/>
      <c r="R155" s="46"/>
      <c r="S155" s="46"/>
      <c r="T155" s="37"/>
    </row>
    <row r="156" spans="2:20">
      <c r="B156" s="36"/>
      <c r="C156" s="1107"/>
      <c r="D156" s="34"/>
      <c r="E156" s="3139" t="s">
        <v>1360</v>
      </c>
      <c r="F156" s="3139"/>
      <c r="G156" s="3139"/>
      <c r="H156" s="3139"/>
      <c r="I156" s="3139"/>
      <c r="J156" s="3140"/>
      <c r="K156" s="3141"/>
      <c r="L156" s="46"/>
      <c r="M156" s="46"/>
      <c r="N156" s="46"/>
      <c r="O156" s="46"/>
      <c r="P156" s="46"/>
      <c r="Q156" s="46"/>
      <c r="R156" s="46"/>
      <c r="S156" s="46"/>
      <c r="T156" s="37"/>
    </row>
    <row r="157" spans="2:20">
      <c r="B157" s="36"/>
      <c r="C157" s="34"/>
      <c r="D157" s="34"/>
      <c r="E157" s="3139" t="s">
        <v>1361</v>
      </c>
      <c r="F157" s="3139"/>
      <c r="G157" s="3142"/>
      <c r="H157" s="3142"/>
      <c r="I157" s="3142"/>
      <c r="J157" s="3142"/>
      <c r="K157" s="3142"/>
      <c r="L157" s="46"/>
      <c r="M157" s="46"/>
      <c r="N157" s="46"/>
      <c r="O157" s="46"/>
      <c r="P157" s="46"/>
      <c r="Q157" s="46"/>
      <c r="R157" s="46"/>
      <c r="S157" s="46"/>
      <c r="T157" s="37"/>
    </row>
    <row r="158" spans="2:20">
      <c r="B158" s="36"/>
      <c r="C158" s="34"/>
      <c r="D158" s="34"/>
      <c r="E158" s="684"/>
      <c r="F158" s="34"/>
      <c r="G158" s="34"/>
      <c r="H158" s="34"/>
      <c r="I158" s="34"/>
      <c r="J158" s="34"/>
      <c r="K158" s="34"/>
      <c r="L158" s="46"/>
      <c r="M158" s="46"/>
      <c r="N158" s="46"/>
      <c r="O158" s="46"/>
      <c r="P158" s="46"/>
      <c r="Q158" s="34"/>
      <c r="R158" s="34"/>
      <c r="S158" s="34"/>
      <c r="T158" s="37"/>
    </row>
    <row r="159" spans="2:20" ht="20" thickBot="1">
      <c r="B159" s="38"/>
      <c r="C159" s="39"/>
      <c r="D159" s="39"/>
      <c r="E159" s="1131"/>
      <c r="F159" s="39"/>
      <c r="G159" s="39"/>
      <c r="H159" s="39"/>
      <c r="I159" s="39"/>
      <c r="J159" s="39"/>
      <c r="K159" s="39"/>
      <c r="L159" s="39"/>
      <c r="M159" s="39"/>
      <c r="N159" s="39"/>
      <c r="O159" s="39"/>
      <c r="P159" s="39"/>
      <c r="Q159" s="39"/>
      <c r="R159" s="39"/>
      <c r="S159" s="39"/>
      <c r="T159" s="40"/>
    </row>
  </sheetData>
  <sheetProtection algorithmName="SHA-512" hashValue="RQxsoQOZKxZhTNfB15ZvciR5FCv1QDrUo7mdbuVtlmoFa+zRgz2ZkD/cLX6fVS2hLX6imIvy+kRIOI5IX2y5qQ==" saltValue="h9ac7xh2+3IvqKbcVT42Ng==" spinCount="100000" sheet="1" scenarios="1" formatCells="0" formatColumns="0" formatRows="0"/>
  <mergeCells count="227">
    <mergeCell ref="B2:T2"/>
    <mergeCell ref="B3:T3"/>
    <mergeCell ref="C4:Q4"/>
    <mergeCell ref="C5:S5"/>
    <mergeCell ref="G6:Q6"/>
    <mergeCell ref="E19:F19"/>
    <mergeCell ref="E20:Q21"/>
    <mergeCell ref="E23:K23"/>
    <mergeCell ref="E24:Q24"/>
    <mergeCell ref="E25:R25"/>
    <mergeCell ref="E26:Q26"/>
    <mergeCell ref="E8:K8"/>
    <mergeCell ref="E9:Q10"/>
    <mergeCell ref="E11:Q12"/>
    <mergeCell ref="E13:Q14"/>
    <mergeCell ref="E15:Q16"/>
    <mergeCell ref="E17:Q18"/>
    <mergeCell ref="E33:Q33"/>
    <mergeCell ref="E34:Q34"/>
    <mergeCell ref="E35:Q35"/>
    <mergeCell ref="E36:Q36"/>
    <mergeCell ref="E37:Q37"/>
    <mergeCell ref="E38:Q38"/>
    <mergeCell ref="E27:Q27"/>
    <mergeCell ref="E28:Q28"/>
    <mergeCell ref="E29:Q29"/>
    <mergeCell ref="E30:Q30"/>
    <mergeCell ref="E31:Q31"/>
    <mergeCell ref="E32:Q32"/>
    <mergeCell ref="D48:I48"/>
    <mergeCell ref="D50:Q51"/>
    <mergeCell ref="D53:K53"/>
    <mergeCell ref="M53:O53"/>
    <mergeCell ref="D55:P55"/>
    <mergeCell ref="D57:K57"/>
    <mergeCell ref="E39:Q39"/>
    <mergeCell ref="E40:Q40"/>
    <mergeCell ref="E41:Q41"/>
    <mergeCell ref="E42:Q42"/>
    <mergeCell ref="D44:J44"/>
    <mergeCell ref="D46:I46"/>
    <mergeCell ref="E58:Q58"/>
    <mergeCell ref="E59:Q60"/>
    <mergeCell ref="E61:Q61"/>
    <mergeCell ref="E62:Q63"/>
    <mergeCell ref="D65:P65"/>
    <mergeCell ref="D66:F66"/>
    <mergeCell ref="G66:H66"/>
    <mergeCell ref="I66:J66"/>
    <mergeCell ref="K66:L66"/>
    <mergeCell ref="M66:N66"/>
    <mergeCell ref="O66:P66"/>
    <mergeCell ref="Q66:R66"/>
    <mergeCell ref="D67:F67"/>
    <mergeCell ref="G67:H67"/>
    <mergeCell ref="I67:J67"/>
    <mergeCell ref="K67:L67"/>
    <mergeCell ref="M67:N67"/>
    <mergeCell ref="O67:P67"/>
    <mergeCell ref="Q67:R67"/>
    <mergeCell ref="Q68:R68"/>
    <mergeCell ref="D69:F69"/>
    <mergeCell ref="G69:H69"/>
    <mergeCell ref="I69:J69"/>
    <mergeCell ref="K69:L69"/>
    <mergeCell ref="M69:N69"/>
    <mergeCell ref="O69:P69"/>
    <mergeCell ref="Q69:R69"/>
    <mergeCell ref="D68:F68"/>
    <mergeCell ref="G68:H68"/>
    <mergeCell ref="I68:J68"/>
    <mergeCell ref="K68:L68"/>
    <mergeCell ref="M68:N68"/>
    <mergeCell ref="O68:P68"/>
    <mergeCell ref="G72:H72"/>
    <mergeCell ref="I72:J72"/>
    <mergeCell ref="K72:L72"/>
    <mergeCell ref="M72:N72"/>
    <mergeCell ref="O72:P72"/>
    <mergeCell ref="Q72:R72"/>
    <mergeCell ref="Q70:R70"/>
    <mergeCell ref="D71:F71"/>
    <mergeCell ref="G71:H71"/>
    <mergeCell ref="I71:J71"/>
    <mergeCell ref="K71:L71"/>
    <mergeCell ref="M71:N71"/>
    <mergeCell ref="O71:P71"/>
    <mergeCell ref="Q71:R71"/>
    <mergeCell ref="D70:F70"/>
    <mergeCell ref="G70:H70"/>
    <mergeCell ref="I70:J70"/>
    <mergeCell ref="K70:L70"/>
    <mergeCell ref="M70:N70"/>
    <mergeCell ref="O70:P70"/>
    <mergeCell ref="G75:H75"/>
    <mergeCell ref="I75:J75"/>
    <mergeCell ref="K75:L75"/>
    <mergeCell ref="M75:N75"/>
    <mergeCell ref="O75:P75"/>
    <mergeCell ref="Q75:R75"/>
    <mergeCell ref="Q73:R73"/>
    <mergeCell ref="D74:F74"/>
    <mergeCell ref="G74:H74"/>
    <mergeCell ref="I74:J74"/>
    <mergeCell ref="K74:L74"/>
    <mergeCell ref="M74:N74"/>
    <mergeCell ref="O74:P74"/>
    <mergeCell ref="Q74:R74"/>
    <mergeCell ref="D73:F73"/>
    <mergeCell ref="G73:H73"/>
    <mergeCell ref="I73:J73"/>
    <mergeCell ref="K73:L73"/>
    <mergeCell ref="M73:N73"/>
    <mergeCell ref="O73:P73"/>
    <mergeCell ref="Q78:R78"/>
    <mergeCell ref="G79:H79"/>
    <mergeCell ref="I79:J79"/>
    <mergeCell ref="K79:L79"/>
    <mergeCell ref="M79:N79"/>
    <mergeCell ref="O79:P79"/>
    <mergeCell ref="Q79:R79"/>
    <mergeCell ref="D76:F76"/>
    <mergeCell ref="G76:R76"/>
    <mergeCell ref="D77:F77"/>
    <mergeCell ref="G77:R77"/>
    <mergeCell ref="D78:F78"/>
    <mergeCell ref="G78:H78"/>
    <mergeCell ref="I78:J78"/>
    <mergeCell ref="K78:L78"/>
    <mergeCell ref="M78:N78"/>
    <mergeCell ref="O78:P78"/>
    <mergeCell ref="C81:F81"/>
    <mergeCell ref="G82:R83"/>
    <mergeCell ref="D85:F85"/>
    <mergeCell ref="F86:R86"/>
    <mergeCell ref="F87:R87"/>
    <mergeCell ref="G88:R88"/>
    <mergeCell ref="G80:H80"/>
    <mergeCell ref="I80:J80"/>
    <mergeCell ref="K80:L80"/>
    <mergeCell ref="M80:N80"/>
    <mergeCell ref="O80:P80"/>
    <mergeCell ref="Q80:R80"/>
    <mergeCell ref="F97:R97"/>
    <mergeCell ref="D100:R100"/>
    <mergeCell ref="E101:O101"/>
    <mergeCell ref="G89:R89"/>
    <mergeCell ref="D93:J93"/>
    <mergeCell ref="E94:L94"/>
    <mergeCell ref="M94:P94"/>
    <mergeCell ref="E95:L95"/>
    <mergeCell ref="E96:L96"/>
    <mergeCell ref="E111:O111"/>
    <mergeCell ref="E112:O112"/>
    <mergeCell ref="E114:I114"/>
    <mergeCell ref="E115:I115"/>
    <mergeCell ref="E116:F116"/>
    <mergeCell ref="M116:N116"/>
    <mergeCell ref="O116:S116"/>
    <mergeCell ref="F102:R102"/>
    <mergeCell ref="E104:O104"/>
    <mergeCell ref="D106:R106"/>
    <mergeCell ref="E107:O107"/>
    <mergeCell ref="E108:O108"/>
    <mergeCell ref="D110:R110"/>
    <mergeCell ref="G116:K116"/>
    <mergeCell ref="E117:F117"/>
    <mergeCell ref="G117:K117"/>
    <mergeCell ref="M117:N117"/>
    <mergeCell ref="O117:S117"/>
    <mergeCell ref="E118:F118"/>
    <mergeCell ref="G118:H118"/>
    <mergeCell ref="J118:K118"/>
    <mergeCell ref="M118:N118"/>
    <mergeCell ref="O118:P118"/>
    <mergeCell ref="E121:F121"/>
    <mergeCell ref="M121:N121"/>
    <mergeCell ref="R118:S118"/>
    <mergeCell ref="E119:F119"/>
    <mergeCell ref="G119:H119"/>
    <mergeCell ref="J119:K119"/>
    <mergeCell ref="M119:N119"/>
    <mergeCell ref="O119:P119"/>
    <mergeCell ref="R119:S119"/>
    <mergeCell ref="G121:K121"/>
    <mergeCell ref="O121:S121"/>
    <mergeCell ref="E124:F124"/>
    <mergeCell ref="G124:H124"/>
    <mergeCell ref="J124:K124"/>
    <mergeCell ref="M124:N124"/>
    <mergeCell ref="O124:P124"/>
    <mergeCell ref="R124:S124"/>
    <mergeCell ref="E122:F122"/>
    <mergeCell ref="G122:K122"/>
    <mergeCell ref="M122:N122"/>
    <mergeCell ref="O122:S122"/>
    <mergeCell ref="E123:F123"/>
    <mergeCell ref="G123:H123"/>
    <mergeCell ref="J123:K123"/>
    <mergeCell ref="M123:N123"/>
    <mergeCell ref="O123:P123"/>
    <mergeCell ref="R123:S123"/>
    <mergeCell ref="F152:G152"/>
    <mergeCell ref="H152:S154"/>
    <mergeCell ref="E156:I156"/>
    <mergeCell ref="J156:K156"/>
    <mergeCell ref="E157:F157"/>
    <mergeCell ref="G157:K157"/>
    <mergeCell ref="E137:S137"/>
    <mergeCell ref="E138:S138"/>
    <mergeCell ref="E139:S139"/>
    <mergeCell ref="E144:N144"/>
    <mergeCell ref="F145:Q146"/>
    <mergeCell ref="F147:S149"/>
    <mergeCell ref="I130:K130"/>
    <mergeCell ref="L130:M130"/>
    <mergeCell ref="I131:K131"/>
    <mergeCell ref="L131:M131"/>
    <mergeCell ref="E134:O134"/>
    <mergeCell ref="E136:L136"/>
    <mergeCell ref="I127:K127"/>
    <mergeCell ref="L127:M127"/>
    <mergeCell ref="E151:N151"/>
    <mergeCell ref="I128:K128"/>
    <mergeCell ref="L128:M128"/>
    <mergeCell ref="I129:K129"/>
    <mergeCell ref="L129:M129"/>
  </mergeCells>
  <conditionalFormatting sqref="G80:H80">
    <cfRule type="expression" dxfId="20" priority="4">
      <formula>AND($G$78="",$G$79="")</formula>
    </cfRule>
  </conditionalFormatting>
  <conditionalFormatting sqref="G72:R72">
    <cfRule type="expression" dxfId="19" priority="2">
      <formula>AND(G70="",G71="")</formula>
    </cfRule>
  </conditionalFormatting>
  <conditionalFormatting sqref="G75:R75">
    <cfRule type="expression" dxfId="18" priority="1">
      <formula>AND(G73="",G74="")</formula>
    </cfRule>
  </conditionalFormatting>
  <conditionalFormatting sqref="I80:T80">
    <cfRule type="expression" dxfId="17" priority="3">
      <formula>AND(I78="",I79="")</formula>
    </cfRule>
  </conditionalFormatting>
  <printOptions horizontalCentered="1"/>
  <pageMargins left="0.7" right="0.7" top="0.75" bottom="0.75" header="0.3" footer="0.3"/>
  <pageSetup scale="50" fitToHeight="4" orientation="portrait" r:id="rId1"/>
  <rowBreaks count="2" manualBreakCount="2">
    <brk id="64" min="1" max="19" man="1"/>
    <brk id="109" min="1" max="19" man="1"/>
  </rowBreaks>
  <extLst>
    <ext xmlns:x14="http://schemas.microsoft.com/office/spreadsheetml/2009/9/main" uri="{78C0D931-6437-407d-A8EE-F0AAD7539E65}">
      <x14:conditionalFormattings>
        <x14:conditionalFormatting xmlns:xm="http://schemas.microsoft.com/office/excel/2006/main">
          <x14:cfRule type="containsText" priority="5" operator="containsText" id="{8669BDA0-A85F-4B9E-B81D-F0F12475A8C3}">
            <xm:f>NOT(ISERROR(SEARCH($M$53,M53)))</xm:f>
            <xm:f>$M$53</xm:f>
            <x14:dxf>
              <font>
                <color rgb="FF006100"/>
              </font>
              <fill>
                <patternFill>
                  <bgColor rgb="FFC6EFCE"/>
                </patternFill>
              </fill>
            </x14:dxf>
          </x14:cfRule>
          <xm:sqref>M53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63A488C-D588-4D15-BEC0-1E4468BEBBB6}">
          <x14:formula1>
            <xm:f>Lists!$D$11:$D$13</xm:f>
          </x14:formula1>
          <xm:sqref>L23 L44 J46 J48 R50 L53 Q55 L57 S91 M93 M95:M96 Q101 Q104 Q107:Q108 Q111:Q112 J115 Q134 M136 Q141 O144 O151</xm:sqref>
        </x14:dataValidation>
        <x14:dataValidation type="list" allowBlank="1" showInputMessage="1" showErrorMessage="1" xr:uid="{CD0B01AF-F139-48B5-8662-5F55203938EB}">
          <x14:formula1>
            <xm:f>Lists!$C$2:$C$4</xm:f>
          </x14:formula1>
          <xm:sqref>J119:K119 R119:S119 J124:K124 R124:S124</xm:sqref>
        </x14:dataValidation>
        <x14:dataValidation type="list" allowBlank="1" showInputMessage="1" showErrorMessage="1" xr:uid="{2F97716F-7B83-4877-9EA8-3E5364A5CA0F}">
          <x14:formula1>
            <xm:f>Lists!$E$2:$E$11</xm:f>
          </x14:formula1>
          <xm:sqref>G157:K157</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CE6C-4C3E-4B34-9C59-126F4BB551C8}">
  <sheetPr codeName="Sheet53">
    <tabColor rgb="FFFFFF00"/>
  </sheetPr>
  <dimension ref="B1:T89"/>
  <sheetViews>
    <sheetView showGridLines="0" zoomScale="70" zoomScaleNormal="70" workbookViewId="0">
      <selection activeCell="D18" sqref="D18:J18"/>
    </sheetView>
  </sheetViews>
  <sheetFormatPr baseColWidth="10" defaultColWidth="8.83203125" defaultRowHeight="15"/>
  <cols>
    <col min="16" max="16" width="9.1640625" customWidth="1"/>
  </cols>
  <sheetData>
    <row r="1" spans="2:20" ht="16" thickBot="1"/>
    <row r="2" spans="2:20" s="128" customFormat="1" ht="20" thickBot="1">
      <c r="B2" s="3200" t="s">
        <v>1362</v>
      </c>
      <c r="C2" s="3201"/>
      <c r="D2" s="3201"/>
      <c r="E2" s="3201"/>
      <c r="F2" s="3201"/>
      <c r="G2" s="3201"/>
      <c r="H2" s="3201"/>
      <c r="I2" s="3201"/>
      <c r="J2" s="3201"/>
      <c r="K2" s="3201"/>
      <c r="L2" s="3201"/>
      <c r="M2" s="3201"/>
      <c r="N2" s="3201"/>
      <c r="O2" s="3201"/>
      <c r="P2" s="3201"/>
      <c r="Q2" s="3201"/>
      <c r="R2" s="3201"/>
      <c r="S2" s="3201"/>
      <c r="T2" s="3202"/>
    </row>
    <row r="3" spans="2:20" s="128" customFormat="1" ht="19">
      <c r="B3" s="3203" t="s">
        <v>1363</v>
      </c>
      <c r="C3" s="3129"/>
      <c r="D3" s="3129"/>
      <c r="E3" s="3129"/>
      <c r="F3" s="3129"/>
      <c r="G3" s="3129"/>
      <c r="H3" s="3129"/>
      <c r="I3" s="3129"/>
      <c r="J3" s="3129"/>
      <c r="K3" s="3129"/>
      <c r="L3" s="3129"/>
      <c r="M3" s="3129"/>
      <c r="N3" s="3129"/>
      <c r="O3" s="3129"/>
      <c r="P3" s="3129"/>
      <c r="Q3" s="3129"/>
      <c r="R3" s="3129"/>
      <c r="S3" s="3129"/>
      <c r="T3" s="3204"/>
    </row>
    <row r="4" spans="2:20" s="128" customFormat="1" ht="19">
      <c r="B4" s="32"/>
      <c r="C4" s="683"/>
      <c r="D4" s="683"/>
      <c r="E4" s="683"/>
      <c r="F4" s="683"/>
      <c r="G4" s="683"/>
      <c r="H4" s="683"/>
      <c r="I4" s="683"/>
      <c r="J4" s="683"/>
      <c r="K4" s="683"/>
      <c r="L4" s="683"/>
      <c r="M4" s="683"/>
      <c r="N4" s="683"/>
      <c r="O4" s="683"/>
      <c r="P4" s="683"/>
      <c r="Q4" s="683"/>
      <c r="R4" s="683"/>
      <c r="S4" s="683"/>
      <c r="T4" s="33"/>
    </row>
    <row r="5" spans="2:20" s="128" customFormat="1" ht="18" customHeight="1">
      <c r="B5" s="3205" t="s">
        <v>1364</v>
      </c>
      <c r="C5" s="3206"/>
      <c r="D5" s="3206"/>
      <c r="E5" s="3206"/>
      <c r="F5" s="3206"/>
      <c r="G5" s="3206"/>
      <c r="H5" s="3206"/>
      <c r="I5" s="3206"/>
      <c r="J5" s="3206"/>
      <c r="K5" s="3206"/>
      <c r="L5" s="3206"/>
      <c r="M5" s="3206"/>
      <c r="N5" s="3206"/>
      <c r="O5" s="3206"/>
      <c r="P5" s="3206"/>
      <c r="Q5" s="3206"/>
      <c r="R5" s="3206"/>
      <c r="S5" s="3206"/>
      <c r="T5" s="3207"/>
    </row>
    <row r="6" spans="2:20" s="128" customFormat="1" ht="18" customHeight="1">
      <c r="B6" s="3205"/>
      <c r="C6" s="3206"/>
      <c r="D6" s="3206"/>
      <c r="E6" s="3206"/>
      <c r="F6" s="3206"/>
      <c r="G6" s="3206"/>
      <c r="H6" s="3206"/>
      <c r="I6" s="3206"/>
      <c r="J6" s="3206"/>
      <c r="K6" s="3206"/>
      <c r="L6" s="3206"/>
      <c r="M6" s="3206"/>
      <c r="N6" s="3206"/>
      <c r="O6" s="3206"/>
      <c r="P6" s="3206"/>
      <c r="Q6" s="3206"/>
      <c r="R6" s="3206"/>
      <c r="S6" s="3206"/>
      <c r="T6" s="3207"/>
    </row>
    <row r="7" spans="2:20" s="128" customFormat="1" ht="19">
      <c r="B7" s="36"/>
      <c r="C7" s="34"/>
      <c r="D7" s="34"/>
      <c r="E7" s="34"/>
      <c r="F7" s="34"/>
      <c r="G7" s="34"/>
      <c r="H7" s="34"/>
      <c r="I7" s="34"/>
      <c r="J7" s="34"/>
      <c r="K7" s="34"/>
      <c r="L7" s="34"/>
      <c r="M7" s="34"/>
      <c r="N7" s="34"/>
      <c r="O7" s="34"/>
      <c r="P7" s="34"/>
      <c r="Q7" s="34"/>
      <c r="R7" s="34"/>
      <c r="S7" s="34"/>
      <c r="T7" s="37"/>
    </row>
    <row r="8" spans="2:20" s="128" customFormat="1" ht="19">
      <c r="B8" s="36"/>
      <c r="C8" s="3189" t="s">
        <v>1365</v>
      </c>
      <c r="D8" s="3189"/>
      <c r="E8" s="3189"/>
      <c r="F8" s="3189"/>
      <c r="G8" s="3189"/>
      <c r="H8" s="3189"/>
      <c r="I8" s="3189"/>
      <c r="J8" s="3189"/>
      <c r="K8" s="3189"/>
      <c r="L8" s="3189"/>
      <c r="M8" s="3189"/>
      <c r="N8" s="3189"/>
      <c r="O8" s="3189"/>
      <c r="P8" s="3189"/>
      <c r="Q8" s="3189"/>
      <c r="R8" s="34"/>
      <c r="S8" s="34"/>
      <c r="T8" s="37"/>
    </row>
    <row r="9" spans="2:20" s="128" customFormat="1" ht="19">
      <c r="B9" s="36"/>
      <c r="C9" s="684"/>
      <c r="D9" s="34"/>
      <c r="E9" s="34"/>
      <c r="F9" s="34"/>
      <c r="G9" s="34"/>
      <c r="H9" s="34"/>
      <c r="I9" s="34"/>
      <c r="J9" s="34"/>
      <c r="K9" s="34"/>
      <c r="L9" s="34"/>
      <c r="M9" s="34"/>
      <c r="N9" s="34"/>
      <c r="O9" s="34"/>
      <c r="P9" s="34"/>
      <c r="Q9" s="34"/>
      <c r="R9" s="34"/>
      <c r="S9" s="34"/>
      <c r="T9" s="37"/>
    </row>
    <row r="10" spans="2:20" s="128" customFormat="1" ht="27" customHeight="1">
      <c r="B10" s="36"/>
      <c r="C10" s="34"/>
      <c r="D10" s="3193" t="s">
        <v>1366</v>
      </c>
      <c r="E10" s="3193"/>
      <c r="F10" s="3193"/>
      <c r="G10" s="3193"/>
      <c r="H10" s="3193"/>
      <c r="I10" s="3193"/>
      <c r="J10" s="3193"/>
      <c r="K10" s="3193"/>
      <c r="L10" s="3193"/>
      <c r="M10" s="3193"/>
      <c r="N10" s="3193"/>
      <c r="O10" s="3193"/>
      <c r="P10" s="3193"/>
      <c r="Q10" s="3193"/>
      <c r="R10" s="3193"/>
      <c r="S10" s="34"/>
      <c r="T10" s="37"/>
    </row>
    <row r="11" spans="2:20" s="128" customFormat="1" ht="27" customHeight="1">
      <c r="B11" s="36"/>
      <c r="C11" s="686"/>
      <c r="D11" s="3193"/>
      <c r="E11" s="3193"/>
      <c r="F11" s="3193"/>
      <c r="G11" s="3193"/>
      <c r="H11" s="3193"/>
      <c r="I11" s="3193"/>
      <c r="J11" s="3193"/>
      <c r="K11" s="3193"/>
      <c r="L11" s="3193"/>
      <c r="M11" s="3193"/>
      <c r="N11" s="3193"/>
      <c r="O11" s="3193"/>
      <c r="P11" s="3193"/>
      <c r="Q11" s="3193"/>
      <c r="R11" s="3193"/>
      <c r="S11" s="34"/>
      <c r="T11" s="37"/>
    </row>
    <row r="12" spans="2:20" s="128" customFormat="1" ht="19">
      <c r="B12" s="36"/>
      <c r="C12" s="686"/>
      <c r="D12" s="685"/>
      <c r="E12" s="3189" t="s">
        <v>1367</v>
      </c>
      <c r="F12" s="3189"/>
      <c r="G12" s="3189"/>
      <c r="H12" s="3189"/>
      <c r="I12" s="3189"/>
      <c r="J12" s="3189"/>
      <c r="K12" s="3189"/>
      <c r="L12" s="3189"/>
      <c r="M12" s="3189"/>
      <c r="N12" s="3189"/>
      <c r="O12" s="3189"/>
      <c r="P12" s="3189"/>
      <c r="Q12" s="3189"/>
      <c r="R12" s="3189"/>
      <c r="S12" s="34"/>
      <c r="T12" s="37"/>
    </row>
    <row r="13" spans="2:20" s="128" customFormat="1" ht="36" customHeight="1">
      <c r="B13" s="36"/>
      <c r="C13" s="686"/>
      <c r="D13" s="685"/>
      <c r="E13" s="3192" t="s">
        <v>1368</v>
      </c>
      <c r="F13" s="3192"/>
      <c r="G13" s="3192"/>
      <c r="H13" s="3192"/>
      <c r="I13" s="3192"/>
      <c r="J13" s="3192"/>
      <c r="K13" s="3192"/>
      <c r="L13" s="3192"/>
      <c r="M13" s="3192"/>
      <c r="N13" s="3192"/>
      <c r="O13" s="3192"/>
      <c r="P13" s="3192"/>
      <c r="Q13" s="3192"/>
      <c r="R13" s="3192"/>
      <c r="S13" s="34"/>
      <c r="T13" s="37"/>
    </row>
    <row r="14" spans="2:20" s="128" customFormat="1" ht="36" customHeight="1">
      <c r="B14" s="36"/>
      <c r="C14" s="34"/>
      <c r="D14" s="3193" t="s">
        <v>1369</v>
      </c>
      <c r="E14" s="3193"/>
      <c r="F14" s="3193"/>
      <c r="G14" s="3193"/>
      <c r="H14" s="3193"/>
      <c r="I14" s="3193"/>
      <c r="J14" s="3193"/>
      <c r="K14" s="3193"/>
      <c r="L14" s="3193"/>
      <c r="M14" s="3193"/>
      <c r="N14" s="3193"/>
      <c r="O14" s="3193"/>
      <c r="P14" s="3193"/>
      <c r="Q14" s="3193"/>
      <c r="R14" s="3193"/>
      <c r="S14" s="34"/>
      <c r="T14" s="37"/>
    </row>
    <row r="15" spans="2:20" s="128" customFormat="1" ht="68.25" customHeight="1">
      <c r="B15" s="36"/>
      <c r="C15" s="34"/>
      <c r="D15" s="3193"/>
      <c r="E15" s="3193"/>
      <c r="F15" s="3193"/>
      <c r="G15" s="3193"/>
      <c r="H15" s="3193"/>
      <c r="I15" s="3193"/>
      <c r="J15" s="3193"/>
      <c r="K15" s="3193"/>
      <c r="L15" s="3193"/>
      <c r="M15" s="3193"/>
      <c r="N15" s="3193"/>
      <c r="O15" s="3193"/>
      <c r="P15" s="3193"/>
      <c r="Q15" s="3193"/>
      <c r="R15" s="3193"/>
      <c r="S15" s="34"/>
      <c r="T15" s="37"/>
    </row>
    <row r="16" spans="2:20" s="128" customFormat="1" ht="19">
      <c r="B16" s="36"/>
      <c r="C16" s="34"/>
      <c r="D16" s="34"/>
      <c r="E16" s="34"/>
      <c r="F16" s="34"/>
      <c r="G16" s="34"/>
      <c r="H16" s="34"/>
      <c r="I16" s="34"/>
      <c r="J16" s="34"/>
      <c r="K16" s="34"/>
      <c r="L16" s="34"/>
      <c r="M16" s="34"/>
      <c r="N16" s="34"/>
      <c r="O16" s="34"/>
      <c r="P16" s="34"/>
      <c r="Q16" s="34"/>
      <c r="R16" s="34"/>
      <c r="S16" s="34"/>
      <c r="T16" s="37"/>
    </row>
    <row r="17" spans="2:20" s="128" customFormat="1" ht="19">
      <c r="B17" s="36"/>
      <c r="C17" s="684" t="s">
        <v>1370</v>
      </c>
      <c r="D17" s="34"/>
      <c r="E17" s="34"/>
      <c r="F17" s="34"/>
      <c r="G17" s="34"/>
      <c r="H17" s="34"/>
      <c r="I17" s="34"/>
      <c r="J17" s="34"/>
      <c r="K17" s="34"/>
      <c r="L17" s="34"/>
      <c r="M17" s="34"/>
      <c r="N17" s="34"/>
      <c r="O17" s="34"/>
      <c r="P17" s="34"/>
      <c r="Q17" s="34"/>
      <c r="R17" s="34"/>
      <c r="S17" s="34"/>
      <c r="T17" s="37"/>
    </row>
    <row r="18" spans="2:20" s="128" customFormat="1" ht="19">
      <c r="B18" s="36"/>
      <c r="C18" s="34"/>
      <c r="D18" s="3191" t="s">
        <v>1371</v>
      </c>
      <c r="E18" s="3191"/>
      <c r="F18" s="3191"/>
      <c r="G18" s="3191"/>
      <c r="H18" s="3191"/>
      <c r="I18" s="3191"/>
      <c r="J18" s="3208"/>
      <c r="K18" s="1133"/>
      <c r="L18" s="34"/>
      <c r="M18" s="34"/>
      <c r="N18" s="34"/>
      <c r="O18" s="34"/>
      <c r="P18" s="34"/>
      <c r="Q18" s="34"/>
      <c r="R18" s="34"/>
      <c r="S18" s="34"/>
      <c r="T18" s="37"/>
    </row>
    <row r="19" spans="2:20" s="128" customFormat="1" ht="36" customHeight="1">
      <c r="B19" s="36"/>
      <c r="C19" s="34"/>
      <c r="D19" s="3193" t="s">
        <v>1372</v>
      </c>
      <c r="E19" s="3193"/>
      <c r="F19" s="3193"/>
      <c r="G19" s="3193"/>
      <c r="H19" s="3193"/>
      <c r="I19" s="3193"/>
      <c r="J19" s="3193"/>
      <c r="K19" s="3193"/>
      <c r="L19" s="3193"/>
      <c r="M19" s="3193"/>
      <c r="N19" s="3193"/>
      <c r="O19" s="3193"/>
      <c r="P19" s="3193"/>
      <c r="Q19" s="3193"/>
      <c r="R19" s="1133"/>
      <c r="S19" s="34"/>
      <c r="T19" s="37"/>
    </row>
    <row r="20" spans="2:20" s="128" customFormat="1" ht="36" customHeight="1">
      <c r="B20" s="36"/>
      <c r="C20" s="34"/>
      <c r="D20" s="3193" t="s">
        <v>1373</v>
      </c>
      <c r="E20" s="3193"/>
      <c r="F20" s="3193"/>
      <c r="G20" s="3193"/>
      <c r="H20" s="3193"/>
      <c r="I20" s="3193"/>
      <c r="J20" s="3193"/>
      <c r="K20" s="3193"/>
      <c r="L20" s="3193"/>
      <c r="M20" s="3193"/>
      <c r="N20" s="3193"/>
      <c r="O20" s="3193"/>
      <c r="P20" s="3193"/>
      <c r="Q20" s="34"/>
      <c r="R20" s="1133"/>
      <c r="S20" s="34"/>
      <c r="T20" s="37"/>
    </row>
    <row r="21" spans="2:20" s="128" customFormat="1" ht="19">
      <c r="B21" s="36"/>
      <c r="C21" s="686"/>
      <c r="D21" s="3191" t="s">
        <v>1374</v>
      </c>
      <c r="E21" s="3191"/>
      <c r="F21" s="3191"/>
      <c r="G21" s="3191"/>
      <c r="H21" s="3191"/>
      <c r="I21" s="3191"/>
      <c r="J21" s="3191"/>
      <c r="K21" s="3191"/>
      <c r="L21" s="3191"/>
      <c r="M21" s="3191"/>
      <c r="N21" s="3191"/>
      <c r="O21" s="3191"/>
      <c r="P21" s="3191"/>
      <c r="Q21" s="3191"/>
      <c r="R21" s="34"/>
      <c r="S21" s="34"/>
      <c r="T21" s="37"/>
    </row>
    <row r="22" spans="2:20" s="128" customFormat="1" ht="19">
      <c r="B22" s="36"/>
      <c r="C22" s="34"/>
      <c r="D22" s="34"/>
      <c r="E22" s="3189" t="s">
        <v>1375</v>
      </c>
      <c r="F22" s="3189"/>
      <c r="G22" s="3189"/>
      <c r="H22" s="3189"/>
      <c r="I22" s="3189"/>
      <c r="J22" s="3189"/>
      <c r="K22" s="3189"/>
      <c r="L22" s="3189"/>
      <c r="M22" s="3189"/>
      <c r="N22" s="3189"/>
      <c r="O22" s="3189"/>
      <c r="P22" s="3189"/>
      <c r="Q22" s="3190"/>
      <c r="R22" s="1133"/>
      <c r="S22" s="34"/>
      <c r="T22" s="37"/>
    </row>
    <row r="23" spans="2:20" s="128" customFormat="1" ht="48.75" customHeight="1">
      <c r="B23" s="36"/>
      <c r="C23" s="34"/>
      <c r="D23" s="34"/>
      <c r="E23" s="3192" t="s">
        <v>1376</v>
      </c>
      <c r="F23" s="3192"/>
      <c r="G23" s="3192"/>
      <c r="H23" s="3192"/>
      <c r="I23" s="3192"/>
      <c r="J23" s="3192"/>
      <c r="K23" s="3192"/>
      <c r="L23" s="3192"/>
      <c r="M23" s="3192"/>
      <c r="N23" s="3192"/>
      <c r="O23" s="3192"/>
      <c r="P23" s="3192"/>
      <c r="Q23" s="3198"/>
      <c r="R23" s="1133"/>
      <c r="S23" s="34"/>
      <c r="T23" s="37"/>
    </row>
    <row r="24" spans="2:20" s="128" customFormat="1" ht="36" customHeight="1">
      <c r="B24" s="36"/>
      <c r="C24" s="34"/>
      <c r="D24" s="34"/>
      <c r="E24" s="3192" t="s">
        <v>1377</v>
      </c>
      <c r="F24" s="3192"/>
      <c r="G24" s="3192"/>
      <c r="H24" s="3192"/>
      <c r="I24" s="3192"/>
      <c r="J24" s="3192"/>
      <c r="K24" s="3192"/>
      <c r="L24" s="3192"/>
      <c r="M24" s="3192"/>
      <c r="N24" s="3192"/>
      <c r="O24" s="3192"/>
      <c r="P24" s="3192"/>
      <c r="Q24" s="3198"/>
      <c r="R24" s="1133"/>
      <c r="S24" s="34"/>
      <c r="T24" s="37"/>
    </row>
    <row r="25" spans="2:20" s="128" customFormat="1" ht="18" customHeight="1">
      <c r="B25" s="36"/>
      <c r="C25" s="34"/>
      <c r="D25" s="34"/>
      <c r="E25" s="3192" t="s">
        <v>1378</v>
      </c>
      <c r="F25" s="3192"/>
      <c r="G25" s="3192"/>
      <c r="H25" s="3192"/>
      <c r="I25" s="3192"/>
      <c r="J25" s="3192"/>
      <c r="K25" s="3192"/>
      <c r="L25" s="3192"/>
      <c r="M25" s="3192"/>
      <c r="N25" s="3192"/>
      <c r="O25" s="3192"/>
      <c r="P25" s="3192"/>
      <c r="Q25" s="34"/>
      <c r="R25" s="34"/>
      <c r="S25" s="34"/>
      <c r="T25" s="37"/>
    </row>
    <row r="26" spans="2:20" s="128" customFormat="1" ht="18" customHeight="1">
      <c r="B26" s="36"/>
      <c r="C26" s="34"/>
      <c r="D26" s="34"/>
      <c r="E26" s="3192"/>
      <c r="F26" s="3192"/>
      <c r="G26" s="3192"/>
      <c r="H26" s="3192"/>
      <c r="I26" s="3192"/>
      <c r="J26" s="3192"/>
      <c r="K26" s="3192"/>
      <c r="L26" s="3192"/>
      <c r="M26" s="3192"/>
      <c r="N26" s="3192"/>
      <c r="O26" s="3192"/>
      <c r="P26" s="3192"/>
      <c r="Q26" s="34"/>
      <c r="R26" s="34"/>
      <c r="S26" s="34"/>
      <c r="T26" s="37"/>
    </row>
    <row r="27" spans="2:20" s="128" customFormat="1" ht="18" customHeight="1">
      <c r="B27" s="36"/>
      <c r="C27" s="34"/>
      <c r="D27" s="34"/>
      <c r="E27" s="3192"/>
      <c r="F27" s="3192"/>
      <c r="G27" s="3192"/>
      <c r="H27" s="3192"/>
      <c r="I27" s="3192"/>
      <c r="J27" s="3192"/>
      <c r="K27" s="3192"/>
      <c r="L27" s="3192"/>
      <c r="M27" s="3192"/>
      <c r="N27" s="3192"/>
      <c r="O27" s="3192"/>
      <c r="P27" s="3192"/>
      <c r="Q27" s="34"/>
      <c r="R27" s="1133"/>
      <c r="S27" s="34"/>
      <c r="T27" s="37"/>
    </row>
    <row r="28" spans="2:20" s="128" customFormat="1" ht="27" customHeight="1">
      <c r="B28" s="36"/>
      <c r="C28" s="34"/>
      <c r="D28" s="34"/>
      <c r="E28" s="3192" t="s">
        <v>1379</v>
      </c>
      <c r="F28" s="3192"/>
      <c r="G28" s="3192"/>
      <c r="H28" s="3192"/>
      <c r="I28" s="3192"/>
      <c r="J28" s="3192"/>
      <c r="K28" s="3192"/>
      <c r="L28" s="3192"/>
      <c r="M28" s="3192"/>
      <c r="N28" s="3192"/>
      <c r="O28" s="3192"/>
      <c r="P28" s="3192"/>
      <c r="Q28" s="34"/>
      <c r="R28" s="34"/>
      <c r="S28" s="34"/>
      <c r="T28" s="37"/>
    </row>
    <row r="29" spans="2:20" s="128" customFormat="1" ht="27" customHeight="1">
      <c r="B29" s="36"/>
      <c r="C29" s="34"/>
      <c r="D29" s="34"/>
      <c r="E29" s="3192"/>
      <c r="F29" s="3192"/>
      <c r="G29" s="3192"/>
      <c r="H29" s="3192"/>
      <c r="I29" s="3192"/>
      <c r="J29" s="3192"/>
      <c r="K29" s="3192"/>
      <c r="L29" s="3192"/>
      <c r="M29" s="3192"/>
      <c r="N29" s="3192"/>
      <c r="O29" s="3192"/>
      <c r="P29" s="3192"/>
      <c r="Q29" s="34"/>
      <c r="R29" s="1133"/>
      <c r="S29" s="34"/>
      <c r="T29" s="37"/>
    </row>
    <row r="30" spans="2:20" s="128" customFormat="1" ht="27" customHeight="1">
      <c r="B30" s="36"/>
      <c r="C30" s="34"/>
      <c r="D30" s="34"/>
      <c r="E30" s="3192" t="s">
        <v>1380</v>
      </c>
      <c r="F30" s="3192"/>
      <c r="G30" s="3192"/>
      <c r="H30" s="3192"/>
      <c r="I30" s="3192"/>
      <c r="J30" s="3192"/>
      <c r="K30" s="3192"/>
      <c r="L30" s="3192"/>
      <c r="M30" s="3192"/>
      <c r="N30" s="3192"/>
      <c r="O30" s="3192"/>
      <c r="P30" s="3192"/>
      <c r="Q30" s="34"/>
      <c r="R30" s="34"/>
      <c r="S30" s="34"/>
      <c r="T30" s="37"/>
    </row>
    <row r="31" spans="2:20" s="128" customFormat="1" ht="27" customHeight="1">
      <c r="B31" s="36"/>
      <c r="C31" s="34"/>
      <c r="D31" s="34"/>
      <c r="E31" s="3192"/>
      <c r="F31" s="3192"/>
      <c r="G31" s="3192"/>
      <c r="H31" s="3192"/>
      <c r="I31" s="3192"/>
      <c r="J31" s="3192"/>
      <c r="K31" s="3192"/>
      <c r="L31" s="3192"/>
      <c r="M31" s="3192"/>
      <c r="N31" s="3192"/>
      <c r="O31" s="3192"/>
      <c r="P31" s="3192"/>
      <c r="Q31" s="34"/>
      <c r="R31" s="1133"/>
      <c r="S31" s="34"/>
      <c r="T31" s="37"/>
    </row>
    <row r="32" spans="2:20" s="128" customFormat="1" ht="19">
      <c r="B32" s="36"/>
      <c r="C32" s="34"/>
      <c r="D32" s="34"/>
      <c r="E32" s="3192" t="s">
        <v>1381</v>
      </c>
      <c r="F32" s="3192"/>
      <c r="G32" s="3192"/>
      <c r="H32" s="3192"/>
      <c r="I32" s="3192"/>
      <c r="J32" s="3192"/>
      <c r="K32" s="3192"/>
      <c r="L32" s="3192"/>
      <c r="M32" s="3192"/>
      <c r="N32" s="3192"/>
      <c r="O32" s="3192"/>
      <c r="P32" s="3192"/>
      <c r="Q32" s="34"/>
      <c r="R32" s="34"/>
      <c r="S32" s="34"/>
      <c r="T32" s="37"/>
    </row>
    <row r="33" spans="2:20" s="128" customFormat="1" ht="19">
      <c r="B33" s="36"/>
      <c r="C33" s="34"/>
      <c r="D33" s="34"/>
      <c r="E33" s="3192"/>
      <c r="F33" s="3192"/>
      <c r="G33" s="3192"/>
      <c r="H33" s="3192"/>
      <c r="I33" s="3192"/>
      <c r="J33" s="3192"/>
      <c r="K33" s="3192"/>
      <c r="L33" s="3192"/>
      <c r="M33" s="3192"/>
      <c r="N33" s="3192"/>
      <c r="O33" s="3192"/>
      <c r="P33" s="3192"/>
      <c r="Q33" s="34"/>
      <c r="R33" s="1133"/>
      <c r="S33" s="34"/>
      <c r="T33" s="37"/>
    </row>
    <row r="34" spans="2:20" s="128" customFormat="1" ht="18" customHeight="1">
      <c r="B34" s="36"/>
      <c r="C34" s="34"/>
      <c r="D34" s="34"/>
      <c r="E34" s="3199" t="s">
        <v>1382</v>
      </c>
      <c r="F34" s="3199"/>
      <c r="G34" s="3199"/>
      <c r="H34" s="3199"/>
      <c r="I34" s="3199"/>
      <c r="J34" s="3199"/>
      <c r="K34" s="3199"/>
      <c r="L34" s="3199"/>
      <c r="M34" s="3199"/>
      <c r="N34" s="3199"/>
      <c r="O34" s="3199"/>
      <c r="P34" s="3199"/>
      <c r="Q34" s="3199"/>
      <c r="R34" s="34"/>
      <c r="S34" s="34"/>
      <c r="T34" s="37"/>
    </row>
    <row r="35" spans="2:20" s="128" customFormat="1" ht="18" customHeight="1">
      <c r="B35" s="36"/>
      <c r="C35" s="34"/>
      <c r="D35" s="34"/>
      <c r="E35" s="3199"/>
      <c r="F35" s="3199"/>
      <c r="G35" s="3199"/>
      <c r="H35" s="3199"/>
      <c r="I35" s="3199"/>
      <c r="J35" s="3199"/>
      <c r="K35" s="3199"/>
      <c r="L35" s="3199"/>
      <c r="M35" s="3199"/>
      <c r="N35" s="3199"/>
      <c r="O35" s="3199"/>
      <c r="P35" s="3199"/>
      <c r="Q35" s="3199"/>
      <c r="R35" s="34"/>
      <c r="S35" s="34"/>
      <c r="T35" s="37"/>
    </row>
    <row r="36" spans="2:20" s="128" customFormat="1" ht="18" customHeight="1">
      <c r="B36" s="36"/>
      <c r="C36" s="34"/>
      <c r="D36" s="34"/>
      <c r="E36" s="3199"/>
      <c r="F36" s="3199"/>
      <c r="G36" s="3199"/>
      <c r="H36" s="3199"/>
      <c r="I36" s="3199"/>
      <c r="J36" s="3199"/>
      <c r="K36" s="3199"/>
      <c r="L36" s="3199"/>
      <c r="M36" s="3199"/>
      <c r="N36" s="3199"/>
      <c r="O36" s="3199"/>
      <c r="P36" s="3199"/>
      <c r="Q36" s="3199"/>
      <c r="R36" s="34"/>
      <c r="S36" s="34"/>
      <c r="T36" s="37"/>
    </row>
    <row r="37" spans="2:20" s="128" customFormat="1" ht="50.25" customHeight="1">
      <c r="B37" s="36"/>
      <c r="C37" s="34"/>
      <c r="D37" s="34"/>
      <c r="E37" s="3199"/>
      <c r="F37" s="3199"/>
      <c r="G37" s="3199"/>
      <c r="H37" s="3199"/>
      <c r="I37" s="3199"/>
      <c r="J37" s="3199"/>
      <c r="K37" s="3199"/>
      <c r="L37" s="3199"/>
      <c r="M37" s="3199"/>
      <c r="N37" s="3199"/>
      <c r="O37" s="3199"/>
      <c r="P37" s="3199"/>
      <c r="Q37" s="3199"/>
      <c r="R37" s="1133"/>
      <c r="S37" s="34"/>
      <c r="T37" s="37"/>
    </row>
    <row r="38" spans="2:20" s="671" customFormat="1" ht="25" customHeight="1">
      <c r="B38" s="138"/>
      <c r="C38" s="50"/>
      <c r="D38" s="50"/>
      <c r="E38" s="687"/>
      <c r="F38" s="3144" t="s">
        <v>1383</v>
      </c>
      <c r="G38" s="3144"/>
      <c r="H38" s="3144"/>
      <c r="I38" s="3144"/>
      <c r="J38" s="3144"/>
      <c r="K38" s="3144"/>
      <c r="L38" s="3144"/>
      <c r="M38" s="3144"/>
      <c r="N38" s="3144"/>
      <c r="O38" s="3144"/>
      <c r="P38" s="3144"/>
      <c r="Q38" s="687"/>
      <c r="R38" s="50"/>
      <c r="S38" s="50"/>
      <c r="T38" s="139"/>
    </row>
    <row r="39" spans="2:20" s="128" customFormat="1" ht="19">
      <c r="B39" s="36"/>
      <c r="C39" s="34"/>
      <c r="D39" s="34"/>
      <c r="E39" s="34"/>
      <c r="F39" s="3173" t="s">
        <v>1384</v>
      </c>
      <c r="G39" s="3173"/>
      <c r="H39" s="3173"/>
      <c r="I39" s="3173"/>
      <c r="J39" s="3173"/>
      <c r="K39" s="3173"/>
      <c r="L39" s="3173"/>
      <c r="M39" s="3173"/>
      <c r="N39" s="3173"/>
      <c r="O39" s="3173"/>
      <c r="P39" s="3173"/>
      <c r="Q39" s="3173"/>
      <c r="R39" s="3173"/>
      <c r="S39" s="34"/>
      <c r="T39" s="37"/>
    </row>
    <row r="40" spans="2:20" s="128" customFormat="1" ht="18" customHeight="1">
      <c r="B40" s="36"/>
      <c r="C40" s="34"/>
      <c r="D40" s="34"/>
      <c r="E40" s="34"/>
      <c r="F40" s="3144" t="s">
        <v>1385</v>
      </c>
      <c r="G40" s="3144"/>
      <c r="H40" s="3144"/>
      <c r="I40" s="3144"/>
      <c r="J40" s="3144"/>
      <c r="K40" s="3144"/>
      <c r="L40" s="3144"/>
      <c r="M40" s="3144"/>
      <c r="N40" s="3144"/>
      <c r="O40" s="3144"/>
      <c r="P40" s="3144"/>
      <c r="Q40" s="3144"/>
      <c r="R40" s="34"/>
      <c r="S40" s="34"/>
      <c r="T40" s="37"/>
    </row>
    <row r="41" spans="2:20" s="128" customFormat="1" ht="18" customHeight="1">
      <c r="B41" s="36"/>
      <c r="C41" s="34"/>
      <c r="D41" s="34"/>
      <c r="E41" s="34"/>
      <c r="F41" s="3144"/>
      <c r="G41" s="3144"/>
      <c r="H41" s="3144"/>
      <c r="I41" s="3144"/>
      <c r="J41" s="3144"/>
      <c r="K41" s="3144"/>
      <c r="L41" s="3144"/>
      <c r="M41" s="3144"/>
      <c r="N41" s="3144"/>
      <c r="O41" s="3144"/>
      <c r="P41" s="3144"/>
      <c r="Q41" s="3144"/>
      <c r="R41" s="34"/>
      <c r="S41" s="34"/>
      <c r="T41" s="37"/>
    </row>
    <row r="42" spans="2:20" s="128" customFormat="1" ht="18" customHeight="1">
      <c r="B42" s="36"/>
      <c r="C42" s="34"/>
      <c r="D42" s="34"/>
      <c r="E42" s="34"/>
      <c r="F42" s="3144"/>
      <c r="G42" s="3144"/>
      <c r="H42" s="3144"/>
      <c r="I42" s="3144"/>
      <c r="J42" s="3144"/>
      <c r="K42" s="3144"/>
      <c r="L42" s="3144"/>
      <c r="M42" s="3144"/>
      <c r="N42" s="3144"/>
      <c r="O42" s="3144"/>
      <c r="P42" s="3144"/>
      <c r="Q42" s="3144"/>
      <c r="R42" s="34"/>
      <c r="S42" s="34"/>
      <c r="T42" s="37"/>
    </row>
    <row r="43" spans="2:20" s="128" customFormat="1" ht="18" customHeight="1">
      <c r="B43" s="36"/>
      <c r="C43" s="34"/>
      <c r="D43" s="34"/>
      <c r="E43" s="34"/>
      <c r="F43" s="3195" t="s">
        <v>1386</v>
      </c>
      <c r="G43" s="3195"/>
      <c r="H43" s="3195"/>
      <c r="I43" s="3195"/>
      <c r="J43" s="3195"/>
      <c r="K43" s="3195"/>
      <c r="L43" s="3195"/>
      <c r="M43" s="3195"/>
      <c r="N43" s="3195"/>
      <c r="O43" s="3195"/>
      <c r="P43" s="3195"/>
      <c r="Q43" s="3197"/>
      <c r="R43" s="1133"/>
      <c r="S43" s="34"/>
      <c r="T43" s="37"/>
    </row>
    <row r="44" spans="2:20" s="128" customFormat="1" ht="18" customHeight="1">
      <c r="B44" s="36"/>
      <c r="C44" s="34"/>
      <c r="D44" s="3144" t="s">
        <v>1387</v>
      </c>
      <c r="E44" s="3144"/>
      <c r="F44" s="3144"/>
      <c r="G44" s="3144"/>
      <c r="H44" s="3144"/>
      <c r="I44" s="3144"/>
      <c r="J44" s="3144"/>
      <c r="K44" s="3144"/>
      <c r="L44" s="3144"/>
      <c r="M44" s="3144"/>
      <c r="N44" s="3144"/>
      <c r="O44" s="3144"/>
      <c r="P44" s="3144"/>
      <c r="Q44" s="3144"/>
      <c r="R44" s="688"/>
      <c r="S44" s="34"/>
      <c r="T44" s="37"/>
    </row>
    <row r="45" spans="2:20" s="128" customFormat="1" ht="18" customHeight="1">
      <c r="B45" s="36"/>
      <c r="C45" s="34"/>
      <c r="D45" s="3144"/>
      <c r="E45" s="3144"/>
      <c r="F45" s="3144"/>
      <c r="G45" s="3144"/>
      <c r="H45" s="3144"/>
      <c r="I45" s="3144"/>
      <c r="J45" s="3144"/>
      <c r="K45" s="3144"/>
      <c r="L45" s="3144"/>
      <c r="M45" s="3144"/>
      <c r="N45" s="3144"/>
      <c r="O45" s="3144"/>
      <c r="P45" s="3144"/>
      <c r="Q45" s="3144"/>
      <c r="R45" s="1133"/>
      <c r="S45" s="34"/>
      <c r="T45" s="37"/>
    </row>
    <row r="46" spans="2:20" s="128" customFormat="1" ht="27" customHeight="1">
      <c r="B46" s="36"/>
      <c r="C46" s="34"/>
      <c r="D46" s="3144" t="s">
        <v>1388</v>
      </c>
      <c r="E46" s="3144"/>
      <c r="F46" s="3144"/>
      <c r="G46" s="3144"/>
      <c r="H46" s="3144"/>
      <c r="I46" s="3144"/>
      <c r="J46" s="3144"/>
      <c r="K46" s="3144"/>
      <c r="L46" s="3144"/>
      <c r="M46" s="3144"/>
      <c r="N46" s="3144"/>
      <c r="O46" s="3144"/>
      <c r="P46" s="3144"/>
      <c r="Q46" s="3144"/>
      <c r="R46" s="688"/>
      <c r="S46" s="34"/>
      <c r="T46" s="37"/>
    </row>
    <row r="47" spans="2:20" s="128" customFormat="1" ht="27" customHeight="1">
      <c r="B47" s="36"/>
      <c r="C47" s="34"/>
      <c r="D47" s="3144"/>
      <c r="E47" s="3144"/>
      <c r="F47" s="3144"/>
      <c r="G47" s="3144"/>
      <c r="H47" s="3144"/>
      <c r="I47" s="3144"/>
      <c r="J47" s="3144"/>
      <c r="K47" s="3144"/>
      <c r="L47" s="3144"/>
      <c r="M47" s="3144"/>
      <c r="N47" s="3144"/>
      <c r="O47" s="3144"/>
      <c r="P47" s="3144"/>
      <c r="Q47" s="3144"/>
      <c r="R47" s="688"/>
      <c r="S47" s="34"/>
      <c r="T47" s="37"/>
    </row>
    <row r="48" spans="2:20" s="128" customFormat="1" ht="44.25" customHeight="1">
      <c r="B48" s="36"/>
      <c r="C48" s="34"/>
      <c r="D48" s="3144"/>
      <c r="E48" s="3144"/>
      <c r="F48" s="3144"/>
      <c r="G48" s="3144"/>
      <c r="H48" s="3144"/>
      <c r="I48" s="3144"/>
      <c r="J48" s="3144"/>
      <c r="K48" s="3144"/>
      <c r="L48" s="3144"/>
      <c r="M48" s="3144"/>
      <c r="N48" s="3144"/>
      <c r="O48" s="3144"/>
      <c r="P48" s="3144"/>
      <c r="Q48" s="3144"/>
      <c r="R48" s="1133"/>
      <c r="S48" s="34"/>
      <c r="T48" s="37"/>
    </row>
    <row r="49" spans="2:20" s="128" customFormat="1" ht="75" customHeight="1">
      <c r="B49" s="36"/>
      <c r="C49" s="34"/>
      <c r="D49" s="3144" t="s">
        <v>1389</v>
      </c>
      <c r="E49" s="3144"/>
      <c r="F49" s="3144"/>
      <c r="G49" s="3144"/>
      <c r="H49" s="3144"/>
      <c r="I49" s="3144"/>
      <c r="J49" s="3144"/>
      <c r="K49" s="3144"/>
      <c r="L49" s="3144"/>
      <c r="M49" s="3144"/>
      <c r="N49" s="3144"/>
      <c r="O49" s="3144"/>
      <c r="P49" s="3144"/>
      <c r="Q49" s="3144"/>
      <c r="R49" s="1133"/>
      <c r="S49" s="34"/>
      <c r="T49" s="37"/>
    </row>
    <row r="50" spans="2:20" s="128" customFormat="1" ht="47.25" customHeight="1">
      <c r="B50" s="36"/>
      <c r="C50" s="34"/>
      <c r="D50" s="3144" t="s">
        <v>1390</v>
      </c>
      <c r="E50" s="3144"/>
      <c r="F50" s="3144"/>
      <c r="G50" s="3144"/>
      <c r="H50" s="3144"/>
      <c r="I50" s="3144"/>
      <c r="J50" s="3144"/>
      <c r="K50" s="3144"/>
      <c r="L50" s="3144"/>
      <c r="M50" s="3144"/>
      <c r="N50" s="3144"/>
      <c r="O50" s="3144"/>
      <c r="P50" s="3144"/>
      <c r="Q50" s="3144"/>
      <c r="R50" s="1133"/>
      <c r="S50" s="34"/>
      <c r="T50" s="37"/>
    </row>
    <row r="51" spans="2:20" s="128" customFormat="1" ht="68.25" customHeight="1">
      <c r="B51" s="36"/>
      <c r="C51" s="34"/>
      <c r="D51" s="3144" t="s">
        <v>1391</v>
      </c>
      <c r="E51" s="3144"/>
      <c r="F51" s="3144"/>
      <c r="G51" s="3144"/>
      <c r="H51" s="3144"/>
      <c r="I51" s="3144"/>
      <c r="J51" s="3144"/>
      <c r="K51" s="3144"/>
      <c r="L51" s="3144"/>
      <c r="M51" s="3144"/>
      <c r="N51" s="3144"/>
      <c r="O51" s="3144"/>
      <c r="P51" s="3144"/>
      <c r="Q51" s="3144"/>
      <c r="R51" s="1133"/>
      <c r="S51" s="34"/>
      <c r="T51" s="37"/>
    </row>
    <row r="52" spans="2:20" s="128" customFormat="1" ht="19">
      <c r="B52" s="36"/>
      <c r="C52" s="689">
        <v>3</v>
      </c>
      <c r="D52" s="3125" t="s">
        <v>1392</v>
      </c>
      <c r="E52" s="3125"/>
      <c r="F52" s="3125"/>
      <c r="G52" s="3125"/>
      <c r="H52" s="3125"/>
      <c r="I52" s="3125"/>
      <c r="J52" s="3125"/>
      <c r="K52" s="3125"/>
      <c r="L52" s="3125"/>
      <c r="M52" s="3125"/>
      <c r="N52" s="34"/>
      <c r="O52" s="1133"/>
      <c r="P52" s="34"/>
      <c r="Q52" s="34"/>
      <c r="R52" s="34"/>
      <c r="S52" s="34"/>
      <c r="T52" s="37"/>
    </row>
    <row r="53" spans="2:20" s="128" customFormat="1" ht="19">
      <c r="B53" s="36"/>
      <c r="C53" s="689"/>
      <c r="D53" s="3164" t="s">
        <v>1393</v>
      </c>
      <c r="E53" s="3164"/>
      <c r="F53" s="3164"/>
      <c r="G53" s="3164"/>
      <c r="H53" s="3164"/>
      <c r="I53" s="3164"/>
      <c r="J53" s="3164"/>
      <c r="K53" s="3164"/>
      <c r="L53" s="3164"/>
      <c r="M53" s="3164"/>
      <c r="N53" s="34"/>
      <c r="O53" s="1133"/>
      <c r="P53" s="34"/>
      <c r="Q53" s="34"/>
      <c r="R53" s="34"/>
      <c r="S53" s="34"/>
      <c r="T53" s="37"/>
    </row>
    <row r="54" spans="2:20" s="128" customFormat="1" ht="19">
      <c r="B54" s="36"/>
      <c r="C54" s="689"/>
      <c r="D54" s="3164" t="s">
        <v>1394</v>
      </c>
      <c r="E54" s="3164"/>
      <c r="F54" s="3164"/>
      <c r="G54" s="3164"/>
      <c r="H54" s="3164"/>
      <c r="I54" s="3164"/>
      <c r="J54" s="3164"/>
      <c r="K54" s="3164"/>
      <c r="L54" s="3164"/>
      <c r="M54" s="3164"/>
      <c r="N54" s="3196"/>
      <c r="O54" s="1133"/>
      <c r="P54" s="34"/>
      <c r="Q54" s="34"/>
      <c r="R54" s="34"/>
      <c r="S54" s="34"/>
      <c r="T54" s="37"/>
    </row>
    <row r="55" spans="2:20" s="128" customFormat="1" ht="36" customHeight="1">
      <c r="B55" s="36"/>
      <c r="C55" s="689"/>
      <c r="D55" s="3195" t="s">
        <v>1395</v>
      </c>
      <c r="E55" s="3195"/>
      <c r="F55" s="3195"/>
      <c r="G55" s="3195"/>
      <c r="H55" s="3195"/>
      <c r="I55" s="3195"/>
      <c r="J55" s="3195"/>
      <c r="K55" s="3195"/>
      <c r="L55" s="3195"/>
      <c r="M55" s="3195"/>
      <c r="N55" s="3195"/>
      <c r="O55" s="3195"/>
      <c r="P55" s="3195"/>
      <c r="Q55" s="3195"/>
      <c r="R55" s="3195"/>
      <c r="S55" s="3195"/>
      <c r="T55" s="1133"/>
    </row>
    <row r="56" spans="2:20" s="128" customFormat="1" ht="19">
      <c r="B56" s="36"/>
      <c r="C56" s="34"/>
      <c r="D56" s="3164" t="s">
        <v>1396</v>
      </c>
      <c r="E56" s="3164"/>
      <c r="F56" s="3164"/>
      <c r="G56" s="3164"/>
      <c r="H56" s="3164"/>
      <c r="I56" s="3164"/>
      <c r="J56" s="3164"/>
      <c r="K56" s="3196"/>
      <c r="L56" s="1133"/>
      <c r="M56" s="34"/>
      <c r="N56" s="34"/>
      <c r="O56" s="34"/>
      <c r="P56" s="34"/>
      <c r="Q56" s="34"/>
      <c r="R56" s="34"/>
      <c r="S56" s="34"/>
      <c r="T56" s="37"/>
    </row>
    <row r="57" spans="2:20" s="128" customFormat="1" ht="36" customHeight="1">
      <c r="B57" s="36"/>
      <c r="C57" s="34"/>
      <c r="D57" s="34"/>
      <c r="E57" s="3144" t="s">
        <v>1397</v>
      </c>
      <c r="F57" s="3144"/>
      <c r="G57" s="3144"/>
      <c r="H57" s="3144"/>
      <c r="I57" s="3144"/>
      <c r="J57" s="3144"/>
      <c r="K57" s="3144"/>
      <c r="L57" s="3144"/>
      <c r="M57" s="3144"/>
      <c r="N57" s="3144"/>
      <c r="O57" s="3144"/>
      <c r="P57" s="3144"/>
      <c r="Q57" s="3144"/>
      <c r="R57" s="3144"/>
      <c r="S57" s="34"/>
      <c r="T57" s="37"/>
    </row>
    <row r="58" spans="2:20" s="128" customFormat="1" ht="36" customHeight="1">
      <c r="B58" s="36"/>
      <c r="C58" s="34"/>
      <c r="D58" s="34"/>
      <c r="E58" s="3144" t="s">
        <v>1398</v>
      </c>
      <c r="F58" s="3144"/>
      <c r="G58" s="3144"/>
      <c r="H58" s="3144"/>
      <c r="I58" s="3144"/>
      <c r="J58" s="3144"/>
      <c r="K58" s="3144"/>
      <c r="L58" s="3144"/>
      <c r="M58" s="3144"/>
      <c r="N58" s="3144"/>
      <c r="O58" s="3144"/>
      <c r="P58" s="3144"/>
      <c r="Q58" s="3144"/>
      <c r="R58" s="3144"/>
      <c r="S58" s="34"/>
      <c r="T58" s="37"/>
    </row>
    <row r="59" spans="2:20" s="128" customFormat="1" ht="19">
      <c r="B59" s="36"/>
      <c r="C59" s="34"/>
      <c r="D59" s="3164" t="s">
        <v>1399</v>
      </c>
      <c r="E59" s="3164"/>
      <c r="F59" s="3164"/>
      <c r="G59" s="3164"/>
      <c r="H59" s="3164"/>
      <c r="I59" s="3164"/>
      <c r="J59" s="34"/>
      <c r="K59" s="34"/>
      <c r="L59" s="34"/>
      <c r="M59" s="34"/>
      <c r="N59" s="34"/>
      <c r="O59" s="34"/>
      <c r="P59" s="34"/>
      <c r="Q59" s="34"/>
      <c r="R59" s="34"/>
      <c r="S59" s="34"/>
      <c r="T59" s="37"/>
    </row>
    <row r="60" spans="2:20" s="128" customFormat="1" ht="19">
      <c r="B60" s="36"/>
      <c r="C60" s="34"/>
      <c r="D60" s="34"/>
      <c r="E60" s="689" t="s">
        <v>1400</v>
      </c>
      <c r="F60" s="689"/>
      <c r="G60" s="689"/>
      <c r="H60" s="689"/>
      <c r="I60" s="34"/>
      <c r="J60" s="34"/>
      <c r="K60" s="1133"/>
      <c r="L60" s="34"/>
      <c r="M60" s="34"/>
      <c r="N60" s="34"/>
      <c r="O60" s="34"/>
      <c r="P60" s="34"/>
      <c r="Q60" s="34"/>
      <c r="R60" s="34"/>
      <c r="S60" s="34"/>
      <c r="T60" s="37"/>
    </row>
    <row r="61" spans="2:20" s="128" customFormat="1" ht="19">
      <c r="B61" s="36"/>
      <c r="C61" s="34"/>
      <c r="D61" s="34"/>
      <c r="E61" s="3173" t="s">
        <v>1401</v>
      </c>
      <c r="F61" s="3173"/>
      <c r="G61" s="3173"/>
      <c r="H61" s="3173"/>
      <c r="I61" s="3173"/>
      <c r="J61" s="3173"/>
      <c r="K61" s="3173"/>
      <c r="L61" s="3173"/>
      <c r="M61" s="3173"/>
      <c r="N61" s="3173"/>
      <c r="O61" s="3173"/>
      <c r="P61" s="3173"/>
      <c r="Q61" s="3173"/>
      <c r="R61" s="3194"/>
      <c r="S61" s="1133"/>
      <c r="T61" s="37"/>
    </row>
    <row r="62" spans="2:20" s="128" customFormat="1" ht="19">
      <c r="B62" s="36"/>
      <c r="C62" s="34"/>
      <c r="D62" s="34"/>
      <c r="E62" s="3173" t="s">
        <v>1402</v>
      </c>
      <c r="F62" s="3173"/>
      <c r="G62" s="3173"/>
      <c r="H62" s="3173"/>
      <c r="I62" s="3173"/>
      <c r="J62" s="3173"/>
      <c r="K62" s="3173"/>
      <c r="L62" s="3173"/>
      <c r="M62" s="3173"/>
      <c r="N62" s="3173"/>
      <c r="O62" s="3173"/>
      <c r="P62" s="3173"/>
      <c r="Q62" s="3173"/>
      <c r="R62" s="34"/>
      <c r="S62" s="1133"/>
      <c r="T62" s="37"/>
    </row>
    <row r="63" spans="2:20" s="128" customFormat="1" ht="19">
      <c r="B63" s="36"/>
      <c r="C63" s="34"/>
      <c r="D63" s="34"/>
      <c r="E63" s="3173" t="s">
        <v>1403</v>
      </c>
      <c r="F63" s="3173"/>
      <c r="G63" s="3173"/>
      <c r="H63" s="3173"/>
      <c r="I63" s="3173"/>
      <c r="J63" s="3173"/>
      <c r="K63" s="3173"/>
      <c r="L63" s="3173"/>
      <c r="M63" s="3173"/>
      <c r="N63" s="3173"/>
      <c r="O63" s="3173"/>
      <c r="P63" s="3173"/>
      <c r="Q63" s="3173"/>
      <c r="R63" s="3173"/>
      <c r="S63" s="1133"/>
      <c r="T63" s="37"/>
    </row>
    <row r="64" spans="2:20" s="128" customFormat="1" ht="19">
      <c r="B64" s="36"/>
      <c r="C64" s="34"/>
      <c r="D64" s="3164" t="s">
        <v>1404</v>
      </c>
      <c r="E64" s="3164"/>
      <c r="F64" s="3164"/>
      <c r="G64" s="3164"/>
      <c r="H64" s="3164"/>
      <c r="I64" s="3164"/>
      <c r="J64" s="3164"/>
      <c r="K64" s="3164"/>
      <c r="L64" s="3164"/>
      <c r="M64" s="3164"/>
      <c r="N64" s="3164"/>
      <c r="O64" s="3164"/>
      <c r="P64" s="3164"/>
      <c r="Q64" s="3164"/>
      <c r="R64" s="3164"/>
      <c r="S64" s="1133"/>
      <c r="T64" s="37"/>
    </row>
    <row r="65" spans="2:20" s="128" customFormat="1" ht="19">
      <c r="B65" s="36"/>
      <c r="C65" s="34"/>
      <c r="D65" s="34"/>
      <c r="E65" s="34"/>
      <c r="F65" s="34"/>
      <c r="G65" s="34"/>
      <c r="H65" s="34"/>
      <c r="I65" s="34"/>
      <c r="J65" s="34"/>
      <c r="K65" s="34"/>
      <c r="L65" s="34"/>
      <c r="M65" s="34"/>
      <c r="N65" s="34"/>
      <c r="O65" s="34"/>
      <c r="P65" s="34"/>
      <c r="Q65" s="34"/>
      <c r="R65" s="34"/>
      <c r="S65" s="34"/>
      <c r="T65" s="37"/>
    </row>
    <row r="66" spans="2:20" s="128" customFormat="1" ht="19">
      <c r="B66" s="36"/>
      <c r="C66" s="3173" t="s">
        <v>1405</v>
      </c>
      <c r="D66" s="3173"/>
      <c r="E66" s="3173"/>
      <c r="F66" s="3173"/>
      <c r="G66" s="3173"/>
      <c r="H66" s="3173"/>
      <c r="I66" s="3173"/>
      <c r="J66" s="3173"/>
      <c r="K66" s="3173"/>
      <c r="L66" s="3173"/>
      <c r="M66" s="3173"/>
      <c r="N66" s="3173"/>
      <c r="O66" s="3173"/>
      <c r="P66" s="3173"/>
      <c r="Q66" s="3173"/>
      <c r="R66" s="3173"/>
      <c r="S66" s="1133"/>
      <c r="T66" s="37"/>
    </row>
    <row r="67" spans="2:20" s="128" customFormat="1" ht="19">
      <c r="B67" s="36"/>
      <c r="C67" s="34"/>
      <c r="D67" s="3191" t="s">
        <v>1406</v>
      </c>
      <c r="E67" s="3191"/>
      <c r="F67" s="3191"/>
      <c r="G67" s="3191"/>
      <c r="H67" s="3191"/>
      <c r="I67" s="3191"/>
      <c r="J67" s="3191"/>
      <c r="K67" s="3191"/>
      <c r="L67" s="3191"/>
      <c r="M67" s="3191"/>
      <c r="N67" s="3191"/>
      <c r="O67" s="3191"/>
      <c r="P67" s="3191"/>
      <c r="Q67" s="3191"/>
      <c r="R67" s="3191"/>
      <c r="S67" s="34"/>
      <c r="T67" s="37"/>
    </row>
    <row r="68" spans="2:20" s="128" customFormat="1" ht="19">
      <c r="B68" s="36"/>
      <c r="C68" s="689"/>
      <c r="D68" s="34"/>
      <c r="E68" s="3189" t="s">
        <v>1407</v>
      </c>
      <c r="F68" s="3189"/>
      <c r="G68" s="3189"/>
      <c r="H68" s="3189"/>
      <c r="I68" s="3189"/>
      <c r="J68" s="3189"/>
      <c r="K68" s="3189"/>
      <c r="L68" s="3189"/>
      <c r="M68" s="3189"/>
      <c r="N68" s="3189"/>
      <c r="O68" s="3189"/>
      <c r="P68" s="3189"/>
      <c r="Q68" s="34"/>
      <c r="R68" s="34"/>
      <c r="S68" s="34"/>
      <c r="T68" s="37"/>
    </row>
    <row r="69" spans="2:20" s="128" customFormat="1" ht="36" customHeight="1">
      <c r="B69" s="36"/>
      <c r="C69" s="34"/>
      <c r="D69" s="34"/>
      <c r="E69" s="3192" t="s">
        <v>1408</v>
      </c>
      <c r="F69" s="3192"/>
      <c r="G69" s="3192"/>
      <c r="H69" s="3192"/>
      <c r="I69" s="3192"/>
      <c r="J69" s="3192"/>
      <c r="K69" s="3192"/>
      <c r="L69" s="3192"/>
      <c r="M69" s="3192"/>
      <c r="N69" s="3192"/>
      <c r="O69" s="3192"/>
      <c r="P69" s="3192"/>
      <c r="Q69" s="3192"/>
      <c r="R69" s="3192"/>
      <c r="S69" s="3192"/>
      <c r="T69" s="37"/>
    </row>
    <row r="70" spans="2:20" s="128" customFormat="1" ht="19">
      <c r="B70" s="36"/>
      <c r="C70" s="34"/>
      <c r="D70" s="34"/>
      <c r="E70" s="3192" t="s">
        <v>1409</v>
      </c>
      <c r="F70" s="3192"/>
      <c r="G70" s="3192"/>
      <c r="H70" s="3192"/>
      <c r="I70" s="3192"/>
      <c r="J70" s="3192"/>
      <c r="K70" s="3192"/>
      <c r="L70" s="3192"/>
      <c r="M70" s="3192"/>
      <c r="N70" s="3192"/>
      <c r="O70" s="3192"/>
      <c r="P70" s="3192"/>
      <c r="Q70" s="3192"/>
      <c r="R70" s="3192"/>
      <c r="S70" s="3192"/>
      <c r="T70" s="37"/>
    </row>
    <row r="71" spans="2:20" s="128" customFormat="1" ht="19">
      <c r="B71" s="36"/>
      <c r="C71" s="34"/>
      <c r="D71" s="34"/>
      <c r="E71" s="3192"/>
      <c r="F71" s="3192"/>
      <c r="G71" s="3192"/>
      <c r="H71" s="3192"/>
      <c r="I71" s="3192"/>
      <c r="J71" s="3192"/>
      <c r="K71" s="3192"/>
      <c r="L71" s="3192"/>
      <c r="M71" s="3192"/>
      <c r="N71" s="3192"/>
      <c r="O71" s="3192"/>
      <c r="P71" s="3192"/>
      <c r="Q71" s="3192"/>
      <c r="R71" s="3192"/>
      <c r="S71" s="3192"/>
      <c r="T71" s="37"/>
    </row>
    <row r="72" spans="2:20" s="128" customFormat="1" ht="19">
      <c r="B72" s="36"/>
      <c r="C72" s="34"/>
      <c r="D72" s="3191" t="s">
        <v>1410</v>
      </c>
      <c r="E72" s="3191"/>
      <c r="F72" s="3191"/>
      <c r="G72" s="3191"/>
      <c r="H72" s="3191"/>
      <c r="I72" s="3191"/>
      <c r="J72" s="3191"/>
      <c r="K72" s="3191"/>
      <c r="L72" s="3191"/>
      <c r="M72" s="3191"/>
      <c r="N72" s="3191"/>
      <c r="O72" s="3191"/>
      <c r="P72" s="3191"/>
      <c r="Q72" s="3191"/>
      <c r="R72" s="3191"/>
      <c r="S72" s="3191"/>
      <c r="T72" s="37"/>
    </row>
    <row r="73" spans="2:20" s="671" customFormat="1" ht="36" customHeight="1">
      <c r="B73" s="138"/>
      <c r="C73" s="50"/>
      <c r="D73" s="3193" t="s">
        <v>1411</v>
      </c>
      <c r="E73" s="3193"/>
      <c r="F73" s="3193"/>
      <c r="G73" s="3193"/>
      <c r="H73" s="3193"/>
      <c r="I73" s="3193"/>
      <c r="J73" s="3193"/>
      <c r="K73" s="3193"/>
      <c r="L73" s="3193"/>
      <c r="M73" s="3193"/>
      <c r="N73" s="3193"/>
      <c r="O73" s="3193"/>
      <c r="P73" s="3193"/>
      <c r="Q73" s="3193"/>
      <c r="R73" s="3193"/>
      <c r="S73" s="3193"/>
      <c r="T73" s="139"/>
    </row>
    <row r="74" spans="2:20" s="128" customFormat="1" ht="19">
      <c r="B74" s="36"/>
      <c r="C74" s="34"/>
      <c r="D74" s="3191" t="s">
        <v>1412</v>
      </c>
      <c r="E74" s="3191"/>
      <c r="F74" s="3191"/>
      <c r="G74" s="3191"/>
      <c r="H74" s="3191"/>
      <c r="I74" s="3191"/>
      <c r="J74" s="3191"/>
      <c r="K74" s="3191"/>
      <c r="L74" s="3191"/>
      <c r="M74" s="3191"/>
      <c r="N74" s="3191"/>
      <c r="O74" s="3191"/>
      <c r="P74" s="3191"/>
      <c r="Q74" s="3191"/>
      <c r="R74" s="3191"/>
      <c r="S74" s="3191"/>
      <c r="T74" s="37"/>
    </row>
    <row r="75" spans="2:20" s="128" customFormat="1" ht="19">
      <c r="B75" s="36"/>
      <c r="C75" s="34"/>
      <c r="D75" s="34"/>
      <c r="E75" s="34"/>
      <c r="F75" s="34"/>
      <c r="G75" s="34"/>
      <c r="H75" s="34"/>
      <c r="I75" s="34"/>
      <c r="J75" s="34"/>
      <c r="K75" s="34"/>
      <c r="L75" s="34"/>
      <c r="M75" s="34"/>
      <c r="N75" s="34"/>
      <c r="O75" s="34"/>
      <c r="P75" s="34"/>
      <c r="Q75" s="34"/>
      <c r="R75" s="34"/>
      <c r="S75" s="34"/>
      <c r="T75" s="37"/>
    </row>
    <row r="76" spans="2:20" s="128" customFormat="1" ht="19">
      <c r="B76" s="36"/>
      <c r="C76" s="3189" t="s">
        <v>1413</v>
      </c>
      <c r="D76" s="3189"/>
      <c r="E76" s="3189"/>
      <c r="F76" s="3189"/>
      <c r="G76" s="3189"/>
      <c r="H76" s="3189"/>
      <c r="I76" s="34"/>
      <c r="J76" s="34"/>
      <c r="K76" s="34"/>
      <c r="L76" s="34"/>
      <c r="M76" s="34"/>
      <c r="N76" s="34"/>
      <c r="O76" s="34"/>
      <c r="P76" s="34"/>
      <c r="Q76" s="34"/>
      <c r="R76" s="34"/>
      <c r="S76" s="34"/>
      <c r="T76" s="37"/>
    </row>
    <row r="77" spans="2:20" s="128" customFormat="1" ht="19">
      <c r="B77" s="36"/>
      <c r="C77" s="684"/>
      <c r="D77" s="34"/>
      <c r="E77" s="34"/>
      <c r="F77" s="34"/>
      <c r="G77" s="34"/>
      <c r="H77" s="34"/>
      <c r="I77" s="34"/>
      <c r="J77" s="34"/>
      <c r="K77" s="34"/>
      <c r="L77" s="34"/>
      <c r="M77" s="34"/>
      <c r="N77" s="34"/>
      <c r="O77" s="34"/>
      <c r="P77" s="34"/>
      <c r="Q77" s="34"/>
      <c r="R77" s="34"/>
      <c r="S77" s="34"/>
      <c r="T77" s="37"/>
    </row>
    <row r="78" spans="2:20" s="128" customFormat="1" ht="19">
      <c r="B78" s="36"/>
      <c r="C78" s="3189" t="s">
        <v>1414</v>
      </c>
      <c r="D78" s="3189"/>
      <c r="E78" s="3189"/>
      <c r="F78" s="3189"/>
      <c r="G78" s="3189"/>
      <c r="H78" s="3189"/>
      <c r="I78" s="3189"/>
      <c r="J78" s="3189"/>
      <c r="K78" s="3189"/>
      <c r="L78" s="3189"/>
      <c r="M78" s="3189"/>
      <c r="N78" s="3189"/>
      <c r="O78" s="3189"/>
      <c r="P78" s="3189"/>
      <c r="Q78" s="34"/>
      <c r="R78" s="34"/>
      <c r="S78" s="34"/>
      <c r="T78" s="37"/>
    </row>
    <row r="79" spans="2:20" s="128" customFormat="1" ht="19">
      <c r="B79" s="36"/>
      <c r="C79" s="684"/>
      <c r="D79" s="34"/>
      <c r="E79" s="34"/>
      <c r="F79" s="34"/>
      <c r="G79" s="34"/>
      <c r="H79" s="34"/>
      <c r="I79" s="34"/>
      <c r="J79" s="34"/>
      <c r="K79" s="34"/>
      <c r="L79" s="34"/>
      <c r="M79" s="34"/>
      <c r="N79" s="34"/>
      <c r="O79" s="34"/>
      <c r="P79" s="34"/>
      <c r="Q79" s="34"/>
      <c r="R79" s="34"/>
      <c r="S79" s="34"/>
      <c r="T79" s="37"/>
    </row>
    <row r="80" spans="2:20" s="128" customFormat="1" ht="19">
      <c r="B80" s="36"/>
      <c r="C80" s="3189" t="s">
        <v>1415</v>
      </c>
      <c r="D80" s="3189"/>
      <c r="E80" s="3189"/>
      <c r="F80" s="3189"/>
      <c r="G80" s="3189"/>
      <c r="H80" s="3189"/>
      <c r="I80" s="3189"/>
      <c r="J80" s="3189"/>
      <c r="K80" s="3189"/>
      <c r="L80" s="3189"/>
      <c r="M80" s="3189"/>
      <c r="N80" s="3189"/>
      <c r="O80" s="3189"/>
      <c r="P80" s="3189"/>
      <c r="Q80" s="3189"/>
      <c r="R80" s="3189"/>
      <c r="S80" s="34"/>
      <c r="T80" s="37"/>
    </row>
    <row r="81" spans="2:20" s="128" customFormat="1" ht="19">
      <c r="B81" s="36"/>
      <c r="C81" s="684"/>
      <c r="D81" s="34"/>
      <c r="E81" s="34"/>
      <c r="F81" s="34"/>
      <c r="G81" s="34"/>
      <c r="H81" s="34"/>
      <c r="I81" s="34"/>
      <c r="J81" s="34"/>
      <c r="K81" s="34"/>
      <c r="L81" s="34"/>
      <c r="M81" s="34"/>
      <c r="N81" s="34"/>
      <c r="O81" s="34"/>
      <c r="P81" s="34"/>
      <c r="Q81" s="34"/>
      <c r="R81" s="34"/>
      <c r="S81" s="34"/>
      <c r="T81" s="37"/>
    </row>
    <row r="82" spans="2:20" s="128" customFormat="1" ht="19">
      <c r="B82" s="36"/>
      <c r="C82" s="3189" t="s">
        <v>1416</v>
      </c>
      <c r="D82" s="3189"/>
      <c r="E82" s="3189"/>
      <c r="F82" s="3189"/>
      <c r="G82" s="3189"/>
      <c r="H82" s="3189"/>
      <c r="I82" s="3189"/>
      <c r="J82" s="3189"/>
      <c r="K82" s="3189"/>
      <c r="L82" s="3189"/>
      <c r="M82" s="3189"/>
      <c r="N82" s="3189"/>
      <c r="O82" s="3189"/>
      <c r="P82" s="3189"/>
      <c r="Q82" s="3189"/>
      <c r="R82" s="34"/>
      <c r="S82" s="34"/>
      <c r="T82" s="37"/>
    </row>
    <row r="83" spans="2:20" s="128" customFormat="1" ht="19">
      <c r="B83" s="36"/>
      <c r="C83" s="684"/>
      <c r="D83" s="3191" t="s">
        <v>1417</v>
      </c>
      <c r="E83" s="3191"/>
      <c r="F83" s="3191"/>
      <c r="G83" s="3191"/>
      <c r="H83" s="3191"/>
      <c r="I83" s="3191"/>
      <c r="J83" s="3191"/>
      <c r="K83" s="3191"/>
      <c r="L83" s="3191"/>
      <c r="M83" s="3191"/>
      <c r="N83" s="3191"/>
      <c r="O83" s="3191"/>
      <c r="P83" s="3191"/>
      <c r="Q83" s="3191"/>
      <c r="R83" s="3191"/>
      <c r="S83" s="34"/>
      <c r="T83" s="37"/>
    </row>
    <row r="84" spans="2:20" s="128" customFormat="1" ht="19">
      <c r="B84" s="36"/>
      <c r="C84" s="34"/>
      <c r="D84" s="3191" t="s">
        <v>1418</v>
      </c>
      <c r="E84" s="3191"/>
      <c r="F84" s="3191"/>
      <c r="G84" s="3191"/>
      <c r="H84" s="3191"/>
      <c r="I84" s="3191"/>
      <c r="J84" s="3191"/>
      <c r="K84" s="3191"/>
      <c r="L84" s="3191"/>
      <c r="M84" s="3191"/>
      <c r="N84" s="3191"/>
      <c r="O84" s="3191"/>
      <c r="P84" s="3191"/>
      <c r="Q84" s="3191"/>
      <c r="R84" s="3191"/>
      <c r="S84" s="34"/>
      <c r="T84" s="37"/>
    </row>
    <row r="85" spans="2:20" s="128" customFormat="1" ht="19">
      <c r="B85" s="36"/>
      <c r="C85" s="34"/>
      <c r="D85" s="34"/>
      <c r="E85" s="34"/>
      <c r="F85" s="34"/>
      <c r="G85" s="34"/>
      <c r="H85" s="34"/>
      <c r="I85" s="34"/>
      <c r="J85" s="34"/>
      <c r="K85" s="34"/>
      <c r="L85" s="34"/>
      <c r="M85" s="34"/>
      <c r="N85" s="34"/>
      <c r="O85" s="34"/>
      <c r="P85" s="34"/>
      <c r="Q85" s="34"/>
      <c r="R85" s="34"/>
      <c r="S85" s="34"/>
      <c r="T85" s="37"/>
    </row>
    <row r="86" spans="2:20" s="128" customFormat="1" ht="19">
      <c r="B86" s="36"/>
      <c r="C86" s="3189" t="s">
        <v>1419</v>
      </c>
      <c r="D86" s="3189"/>
      <c r="E86" s="3189"/>
      <c r="F86" s="3189"/>
      <c r="G86" s="3189"/>
      <c r="H86" s="3189"/>
      <c r="I86" s="3189"/>
      <c r="J86" s="3189"/>
      <c r="K86" s="3189"/>
      <c r="L86" s="3190"/>
      <c r="M86" s="1133"/>
      <c r="N86" s="34"/>
      <c r="O86" s="34"/>
      <c r="P86" s="34"/>
      <c r="Q86" s="34"/>
      <c r="R86" s="34"/>
      <c r="S86" s="34"/>
      <c r="T86" s="37"/>
    </row>
    <row r="87" spans="2:20" s="128" customFormat="1" ht="19">
      <c r="B87" s="36"/>
      <c r="C87" s="3189"/>
      <c r="D87" s="3189"/>
      <c r="E87" s="3189"/>
      <c r="F87" s="3189"/>
      <c r="G87" s="3129" t="s">
        <v>1361</v>
      </c>
      <c r="H87" s="3129"/>
      <c r="I87" s="3142"/>
      <c r="J87" s="3142"/>
      <c r="K87" s="3142"/>
      <c r="L87" s="3142"/>
      <c r="M87" s="3142"/>
      <c r="N87" s="34"/>
      <c r="O87" s="34"/>
      <c r="P87" s="34"/>
      <c r="Q87" s="34"/>
      <c r="R87" s="34"/>
      <c r="S87" s="34"/>
      <c r="T87" s="37"/>
    </row>
    <row r="88" spans="2:20" s="128" customFormat="1" ht="19">
      <c r="B88" s="36"/>
      <c r="C88" s="684"/>
      <c r="D88" s="34"/>
      <c r="E88" s="34"/>
      <c r="F88" s="34"/>
      <c r="G88" s="34"/>
      <c r="H88" s="34"/>
      <c r="I88" s="34"/>
      <c r="J88" s="34"/>
      <c r="K88" s="34"/>
      <c r="L88" s="34"/>
      <c r="M88" s="34"/>
      <c r="N88" s="34"/>
      <c r="O88" s="34"/>
      <c r="P88" s="34"/>
      <c r="Q88" s="34"/>
      <c r="R88" s="34"/>
      <c r="S88" s="34"/>
      <c r="T88" s="37"/>
    </row>
    <row r="89" spans="2:20" s="128" customFormat="1" ht="20" thickBot="1">
      <c r="B89" s="38"/>
      <c r="C89" s="39"/>
      <c r="D89" s="39"/>
      <c r="E89" s="39"/>
      <c r="F89" s="39"/>
      <c r="G89" s="39"/>
      <c r="H89" s="39"/>
      <c r="I89" s="39"/>
      <c r="J89" s="39"/>
      <c r="K89" s="39"/>
      <c r="L89" s="39"/>
      <c r="M89" s="39"/>
      <c r="N89" s="39"/>
      <c r="O89" s="39"/>
      <c r="P89" s="39"/>
      <c r="Q89" s="39"/>
      <c r="R89" s="39"/>
      <c r="S89" s="39"/>
      <c r="T89" s="40"/>
    </row>
  </sheetData>
  <sheetProtection algorithmName="SHA-512" hashValue="O2w3YLP/ucw18eSDlBl2KcAIcV3+dgshjpCLTe9M1VYJDg3b0vGDWaQJK/VBikAe8Pg+rXyYo7ufhBOmAq+kTw==" saltValue="z9U4KjU4pr3V5Tz+4rfc1g==" spinCount="100000" sheet="1" scenarios="1" formatCells="0" formatColumns="0" formatRows="0"/>
  <mergeCells count="59">
    <mergeCell ref="D21:Q21"/>
    <mergeCell ref="B2:T2"/>
    <mergeCell ref="B3:T3"/>
    <mergeCell ref="B5:T6"/>
    <mergeCell ref="C8:Q8"/>
    <mergeCell ref="D10:R11"/>
    <mergeCell ref="E12:R12"/>
    <mergeCell ref="E13:R13"/>
    <mergeCell ref="D14:R15"/>
    <mergeCell ref="D18:J18"/>
    <mergeCell ref="D19:Q19"/>
    <mergeCell ref="D20:P20"/>
    <mergeCell ref="F43:Q43"/>
    <mergeCell ref="E22:Q22"/>
    <mergeCell ref="E23:Q23"/>
    <mergeCell ref="E24:Q24"/>
    <mergeCell ref="E25:P27"/>
    <mergeCell ref="E28:P29"/>
    <mergeCell ref="E30:P31"/>
    <mergeCell ref="E32:P33"/>
    <mergeCell ref="E34:Q37"/>
    <mergeCell ref="F38:P38"/>
    <mergeCell ref="F39:R39"/>
    <mergeCell ref="F40:Q42"/>
    <mergeCell ref="D44:Q45"/>
    <mergeCell ref="D46:Q48"/>
    <mergeCell ref="D52:M52"/>
    <mergeCell ref="D53:M53"/>
    <mergeCell ref="D54:N54"/>
    <mergeCell ref="D55:S55"/>
    <mergeCell ref="D56:K56"/>
    <mergeCell ref="E57:R57"/>
    <mergeCell ref="E58:R58"/>
    <mergeCell ref="D59:I59"/>
    <mergeCell ref="D72:S72"/>
    <mergeCell ref="D73:S73"/>
    <mergeCell ref="D74:S74"/>
    <mergeCell ref="E61:R61"/>
    <mergeCell ref="E62:Q62"/>
    <mergeCell ref="E63:R63"/>
    <mergeCell ref="D64:R64"/>
    <mergeCell ref="C66:R66"/>
    <mergeCell ref="D67:R67"/>
    <mergeCell ref="C86:L86"/>
    <mergeCell ref="C87:F87"/>
    <mergeCell ref="G87:H87"/>
    <mergeCell ref="I87:M87"/>
    <mergeCell ref="D49:Q49"/>
    <mergeCell ref="D50:Q50"/>
    <mergeCell ref="D51:Q51"/>
    <mergeCell ref="C76:H76"/>
    <mergeCell ref="C78:P78"/>
    <mergeCell ref="C80:R80"/>
    <mergeCell ref="C82:Q82"/>
    <mergeCell ref="D83:R83"/>
    <mergeCell ref="D84:R84"/>
    <mergeCell ref="E68:P68"/>
    <mergeCell ref="E69:S69"/>
    <mergeCell ref="E70:S71"/>
  </mergeCells>
  <pageMargins left="0.7" right="0.7" top="0.75" bottom="0.75" header="0.3" footer="0.3"/>
  <pageSetup scale="51" orientation="portrait" horizontalDpi="300" verticalDpi="300" r:id="rId1"/>
  <rowBreaks count="1" manualBreakCount="1">
    <brk id="51" max="16383" man="1"/>
  </rowBreaks>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BF80070-2EC9-4E6A-981C-05EBF5FB6A15}">
          <x14:formula1>
            <xm:f>Lists!$D$11:$D$13</xm:f>
          </x14:formula1>
          <xm:sqref>K18 R19:R20 R22:R24 R27 R29 R31 R33 R37 R43 R45 R48:R51 O52:O54 T55 L56 K60 S61:S64 S66 M86</xm:sqref>
        </x14:dataValidation>
        <x14:dataValidation type="list" allowBlank="1" showInputMessage="1" showErrorMessage="1" xr:uid="{BE76DE6C-5AF2-4EE4-A4DF-11ACC8ED3AC9}">
          <x14:formula1>
            <xm:f>Lists!$E$2:$E$11</xm:f>
          </x14:formula1>
          <xm:sqref>I87:M87</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08EF4-33D9-4D47-804D-8094A7C4DEAA}">
  <sheetPr codeName="Sheet54">
    <tabColor rgb="FFFFFF00"/>
    <pageSetUpPr autoPageBreaks="0"/>
  </sheetPr>
  <dimension ref="B1:T53"/>
  <sheetViews>
    <sheetView showGridLines="0" topLeftCell="A26" zoomScale="85" zoomScaleNormal="85" workbookViewId="0">
      <selection activeCell="F18" sqref="F18"/>
    </sheetView>
  </sheetViews>
  <sheetFormatPr baseColWidth="10" defaultColWidth="8.83203125" defaultRowHeight="19"/>
  <cols>
    <col min="1" max="1" width="8.83203125" style="28"/>
    <col min="2" max="3" width="2.6640625" style="28" customWidth="1"/>
    <col min="4" max="16384" width="8.83203125" style="28"/>
  </cols>
  <sheetData>
    <row r="1" spans="2:20" ht="20" thickBot="1"/>
    <row r="2" spans="2:20">
      <c r="B2" s="3176" t="s">
        <v>1420</v>
      </c>
      <c r="C2" s="3177"/>
      <c r="D2" s="3177"/>
      <c r="E2" s="3177"/>
      <c r="F2" s="3177"/>
      <c r="G2" s="3177"/>
      <c r="H2" s="3177"/>
      <c r="I2" s="3177"/>
      <c r="J2" s="3177"/>
      <c r="K2" s="3177"/>
      <c r="L2" s="3177"/>
      <c r="M2" s="3177"/>
      <c r="N2" s="3177"/>
      <c r="O2" s="3177"/>
      <c r="P2" s="3177"/>
      <c r="Q2" s="3177"/>
      <c r="R2" s="3177"/>
      <c r="S2" s="3177"/>
      <c r="T2" s="3178"/>
    </row>
    <row r="3" spans="2:20" ht="162.75" customHeight="1">
      <c r="B3" s="3216" t="s">
        <v>1421</v>
      </c>
      <c r="C3" s="3124"/>
      <c r="D3" s="3124"/>
      <c r="E3" s="3124"/>
      <c r="F3" s="3124"/>
      <c r="G3" s="3124"/>
      <c r="H3" s="3124"/>
      <c r="I3" s="3124"/>
      <c r="J3" s="3124"/>
      <c r="K3" s="3124"/>
      <c r="L3" s="3124"/>
      <c r="M3" s="3124"/>
      <c r="N3" s="3124"/>
      <c r="O3" s="3124"/>
      <c r="P3" s="3124"/>
      <c r="Q3" s="3124"/>
      <c r="R3" s="3124"/>
      <c r="S3" s="3124"/>
      <c r="T3" s="3217"/>
    </row>
    <row r="4" spans="2:20">
      <c r="B4" s="36"/>
      <c r="C4" s="34"/>
      <c r="D4" s="50"/>
      <c r="E4" s="50"/>
      <c r="F4" s="50"/>
      <c r="G4" s="50"/>
      <c r="H4" s="50"/>
      <c r="I4" s="50"/>
      <c r="J4" s="50"/>
      <c r="K4" s="50"/>
      <c r="L4" s="50"/>
      <c r="M4" s="50"/>
      <c r="N4" s="50"/>
      <c r="O4" s="50"/>
      <c r="P4" s="50"/>
      <c r="Q4" s="50"/>
      <c r="R4" s="50"/>
      <c r="S4" s="50"/>
      <c r="T4" s="37"/>
    </row>
    <row r="5" spans="2:20">
      <c r="B5" s="41"/>
      <c r="C5" s="665" t="s">
        <v>1422</v>
      </c>
      <c r="D5" s="665"/>
      <c r="E5" s="665"/>
      <c r="F5" s="665"/>
      <c r="G5" s="665"/>
      <c r="H5" s="665"/>
      <c r="I5" s="665"/>
      <c r="J5" s="46"/>
      <c r="K5" s="46"/>
      <c r="L5" s="46"/>
      <c r="M5" s="46"/>
      <c r="N5" s="46"/>
      <c r="O5" s="46"/>
      <c r="P5" s="34"/>
      <c r="Q5" s="34"/>
      <c r="R5" s="34"/>
      <c r="S5" s="34"/>
      <c r="T5" s="37"/>
    </row>
    <row r="6" spans="2:20">
      <c r="B6" s="36"/>
      <c r="C6" s="1136"/>
      <c r="D6" s="3218" t="s">
        <v>1423</v>
      </c>
      <c r="E6" s="3127"/>
      <c r="F6" s="3127"/>
      <c r="G6" s="3127"/>
      <c r="H6" s="3127"/>
      <c r="I6" s="3127"/>
      <c r="J6" s="3127"/>
      <c r="K6" s="3127"/>
      <c r="L6" s="3127"/>
      <c r="M6" s="3127"/>
      <c r="N6" s="3127"/>
      <c r="O6" s="3127"/>
      <c r="P6" s="3127"/>
      <c r="Q6" s="3127"/>
      <c r="R6" s="3127"/>
      <c r="S6" s="34"/>
      <c r="T6" s="37"/>
    </row>
    <row r="7" spans="2:20">
      <c r="B7" s="36"/>
      <c r="C7" s="34"/>
      <c r="D7" s="34"/>
      <c r="E7" s="34"/>
      <c r="F7" s="34"/>
      <c r="G7" s="34"/>
      <c r="H7" s="34"/>
      <c r="I7" s="34"/>
      <c r="J7" s="34"/>
      <c r="K7" s="34"/>
      <c r="L7" s="34"/>
      <c r="M7" s="34"/>
      <c r="N7" s="34"/>
      <c r="O7" s="34"/>
      <c r="P7" s="34"/>
      <c r="Q7" s="34"/>
      <c r="R7" s="34"/>
      <c r="S7" s="34"/>
      <c r="T7" s="37"/>
    </row>
    <row r="8" spans="2:20">
      <c r="B8" s="36"/>
      <c r="C8" s="1136"/>
      <c r="D8" s="3218" t="s">
        <v>1424</v>
      </c>
      <c r="E8" s="3127"/>
      <c r="F8" s="3127"/>
      <c r="G8" s="3127"/>
      <c r="H8" s="3127"/>
      <c r="I8" s="3127"/>
      <c r="J8" s="3127"/>
      <c r="K8" s="3127"/>
      <c r="L8" s="3127"/>
      <c r="M8" s="3127"/>
      <c r="N8" s="3127"/>
      <c r="O8" s="34"/>
      <c r="P8" s="34"/>
      <c r="Q8" s="34"/>
      <c r="R8" s="34"/>
      <c r="S8" s="34"/>
      <c r="T8" s="37"/>
    </row>
    <row r="9" spans="2:20">
      <c r="B9" s="36"/>
      <c r="C9" s="34"/>
      <c r="D9" s="34"/>
      <c r="E9" s="34"/>
      <c r="F9" s="34"/>
      <c r="G9" s="34"/>
      <c r="H9" s="34"/>
      <c r="I9" s="34"/>
      <c r="J9" s="34"/>
      <c r="K9" s="34"/>
      <c r="L9" s="34"/>
      <c r="M9" s="34"/>
      <c r="N9" s="34"/>
      <c r="O9" s="34"/>
      <c r="P9" s="34"/>
      <c r="Q9" s="34"/>
      <c r="R9" s="34"/>
      <c r="S9" s="34"/>
      <c r="T9" s="37"/>
    </row>
    <row r="10" spans="2:20" ht="40.5" customHeight="1">
      <c r="B10" s="36"/>
      <c r="C10" s="1136"/>
      <c r="D10" s="3219" t="s">
        <v>1425</v>
      </c>
      <c r="E10" s="3159"/>
      <c r="F10" s="3159"/>
      <c r="G10" s="3159"/>
      <c r="H10" s="3159"/>
      <c r="I10" s="3159"/>
      <c r="J10" s="3159"/>
      <c r="K10" s="3159"/>
      <c r="L10" s="3159"/>
      <c r="M10" s="3159"/>
      <c r="N10" s="3159"/>
      <c r="O10" s="3159"/>
      <c r="P10" s="3159"/>
      <c r="Q10" s="3159"/>
      <c r="R10" s="3159"/>
      <c r="S10" s="3159"/>
      <c r="T10" s="37"/>
    </row>
    <row r="11" spans="2:20">
      <c r="B11" s="36"/>
      <c r="C11" s="34"/>
      <c r="D11" s="34"/>
      <c r="E11" s="34"/>
      <c r="F11" s="34"/>
      <c r="G11" s="34"/>
      <c r="H11" s="34"/>
      <c r="I11" s="34"/>
      <c r="J11" s="34"/>
      <c r="K11" s="34"/>
      <c r="L11" s="34"/>
      <c r="M11" s="34"/>
      <c r="N11" s="34"/>
      <c r="O11" s="34"/>
      <c r="P11" s="34"/>
      <c r="Q11" s="34"/>
      <c r="R11" s="34"/>
      <c r="S11" s="34"/>
      <c r="T11" s="37"/>
    </row>
    <row r="12" spans="2:20" ht="23.25" customHeight="1">
      <c r="B12" s="36"/>
      <c r="C12" s="1136"/>
      <c r="D12" s="3220" t="s">
        <v>1426</v>
      </c>
      <c r="E12" s="3221"/>
      <c r="F12" s="3221"/>
      <c r="G12" s="3221"/>
      <c r="H12" s="3221"/>
      <c r="I12" s="3221"/>
      <c r="J12" s="3221"/>
      <c r="K12" s="3221"/>
      <c r="L12" s="3221"/>
      <c r="M12" s="3221"/>
      <c r="N12" s="3221"/>
      <c r="O12" s="3221"/>
      <c r="P12" s="3221"/>
      <c r="Q12" s="3221"/>
      <c r="R12" s="3221"/>
      <c r="S12" s="34"/>
      <c r="T12" s="37"/>
    </row>
    <row r="13" spans="2:20">
      <c r="B13" s="36"/>
      <c r="C13" s="34"/>
      <c r="D13" s="34"/>
      <c r="E13" s="34"/>
      <c r="F13" s="34"/>
      <c r="G13" s="34"/>
      <c r="H13" s="34"/>
      <c r="I13" s="34"/>
      <c r="J13" s="34"/>
      <c r="K13" s="34"/>
      <c r="L13" s="34"/>
      <c r="M13" s="34"/>
      <c r="N13" s="34"/>
      <c r="O13" s="34"/>
      <c r="P13" s="34"/>
      <c r="Q13" s="34"/>
      <c r="R13" s="34"/>
      <c r="S13" s="34"/>
      <c r="T13" s="37"/>
    </row>
    <row r="14" spans="2:20" ht="35" customHeight="1">
      <c r="B14" s="36"/>
      <c r="C14" s="1136"/>
      <c r="D14" s="3222" t="s">
        <v>1427</v>
      </c>
      <c r="E14" s="3223"/>
      <c r="F14" s="3223"/>
      <c r="G14" s="3223"/>
      <c r="H14" s="3223"/>
      <c r="I14" s="3223"/>
      <c r="J14" s="3223"/>
      <c r="K14" s="3223"/>
      <c r="L14" s="3223"/>
      <c r="M14" s="3223"/>
      <c r="N14" s="3223"/>
      <c r="O14" s="3223"/>
      <c r="P14" s="3223"/>
      <c r="Q14" s="3223"/>
      <c r="R14" s="3223"/>
      <c r="S14" s="3223"/>
      <c r="T14" s="37"/>
    </row>
    <row r="15" spans="2:20">
      <c r="B15" s="36"/>
      <c r="C15" s="34"/>
      <c r="D15" s="34"/>
      <c r="E15" s="34"/>
      <c r="F15" s="34"/>
      <c r="G15" s="34"/>
      <c r="H15" s="34"/>
      <c r="I15" s="34"/>
      <c r="J15" s="34"/>
      <c r="K15" s="34"/>
      <c r="L15" s="34"/>
      <c r="M15" s="34"/>
      <c r="N15" s="34"/>
      <c r="O15" s="34"/>
      <c r="P15" s="34"/>
      <c r="Q15" s="34"/>
      <c r="R15" s="34"/>
      <c r="S15" s="34"/>
      <c r="T15" s="37"/>
    </row>
    <row r="16" spans="2:20" ht="35.5" customHeight="1">
      <c r="B16" s="36"/>
      <c r="C16" s="1136"/>
      <c r="D16" s="3224" t="s">
        <v>1428</v>
      </c>
      <c r="E16" s="3160"/>
      <c r="F16" s="3160"/>
      <c r="G16" s="3160"/>
      <c r="H16" s="3160"/>
      <c r="I16" s="3160"/>
      <c r="J16" s="3160"/>
      <c r="K16" s="3160"/>
      <c r="L16" s="3160"/>
      <c r="M16" s="3160"/>
      <c r="N16" s="3160"/>
      <c r="O16" s="3160"/>
      <c r="P16" s="3160"/>
      <c r="Q16" s="34"/>
      <c r="R16" s="34"/>
      <c r="S16" s="34"/>
      <c r="T16" s="37"/>
    </row>
    <row r="17" spans="2:20">
      <c r="B17" s="36"/>
      <c r="C17" s="34"/>
      <c r="D17" s="34"/>
      <c r="E17" s="34"/>
      <c r="F17" s="34"/>
      <c r="G17" s="34"/>
      <c r="H17" s="34"/>
      <c r="I17" s="34"/>
      <c r="J17" s="34"/>
      <c r="K17" s="34"/>
      <c r="L17" s="34"/>
      <c r="M17" s="34"/>
      <c r="N17" s="34"/>
      <c r="O17" s="34"/>
      <c r="P17" s="34"/>
      <c r="Q17" s="34"/>
      <c r="R17" s="34"/>
      <c r="S17" s="34"/>
      <c r="T17" s="37"/>
    </row>
    <row r="18" spans="2:20">
      <c r="B18" s="36"/>
      <c r="C18" s="1136"/>
      <c r="D18" s="51" t="s">
        <v>1429</v>
      </c>
      <c r="E18" s="52"/>
      <c r="F18" s="52"/>
      <c r="G18" s="52"/>
      <c r="H18" s="46"/>
      <c r="I18" s="46"/>
      <c r="J18" s="46"/>
      <c r="K18" s="46"/>
      <c r="L18" s="46"/>
      <c r="M18" s="46"/>
      <c r="N18" s="34"/>
      <c r="O18" s="34"/>
      <c r="P18" s="34"/>
      <c r="Q18" s="34"/>
      <c r="R18" s="34"/>
      <c r="S18" s="34"/>
      <c r="T18" s="37"/>
    </row>
    <row r="19" spans="2:20" ht="39" customHeight="1">
      <c r="B19" s="36"/>
      <c r="C19" s="34"/>
      <c r="D19" s="3159" t="s">
        <v>1430</v>
      </c>
      <c r="E19" s="3159"/>
      <c r="F19" s="3159"/>
      <c r="G19" s="3159"/>
      <c r="H19" s="3159"/>
      <c r="I19" s="3159"/>
      <c r="J19" s="3159"/>
      <c r="K19" s="3159"/>
      <c r="L19" s="3159"/>
      <c r="M19" s="3159"/>
      <c r="N19" s="3159"/>
      <c r="O19" s="3159"/>
      <c r="P19" s="3159"/>
      <c r="Q19" s="3159"/>
      <c r="R19" s="3159"/>
      <c r="S19" s="3159"/>
      <c r="T19" s="37"/>
    </row>
    <row r="20" spans="2:20" ht="38" customHeight="1">
      <c r="B20" s="36"/>
      <c r="C20" s="34"/>
      <c r="D20" s="3144" t="s">
        <v>1431</v>
      </c>
      <c r="E20" s="3144"/>
      <c r="F20" s="3144"/>
      <c r="G20" s="3144"/>
      <c r="H20" s="3144"/>
      <c r="I20" s="3144"/>
      <c r="J20" s="3144"/>
      <c r="K20" s="3144"/>
      <c r="L20" s="3144"/>
      <c r="M20" s="3144"/>
      <c r="N20" s="3144"/>
      <c r="O20" s="3144"/>
      <c r="P20" s="3144"/>
      <c r="Q20" s="3144"/>
      <c r="R20" s="3144"/>
      <c r="S20" s="34"/>
      <c r="T20" s="37"/>
    </row>
    <row r="21" spans="2:20">
      <c r="B21" s="36"/>
      <c r="C21" s="34"/>
      <c r="D21" s="34"/>
      <c r="E21" s="34"/>
      <c r="F21" s="34"/>
      <c r="G21" s="34"/>
      <c r="H21" s="34"/>
      <c r="I21" s="34"/>
      <c r="J21" s="34"/>
      <c r="K21" s="34"/>
      <c r="L21" s="34"/>
      <c r="M21" s="34"/>
      <c r="N21" s="34"/>
      <c r="O21" s="34"/>
      <c r="P21" s="34"/>
      <c r="Q21" s="34"/>
      <c r="R21" s="34"/>
      <c r="S21" s="34"/>
      <c r="T21" s="37"/>
    </row>
    <row r="22" spans="2:20" ht="18.75" customHeight="1">
      <c r="B22" s="36"/>
      <c r="C22" s="1136"/>
      <c r="D22" s="3124" t="s">
        <v>1432</v>
      </c>
      <c r="E22" s="3124"/>
      <c r="F22" s="3124"/>
      <c r="G22" s="3124"/>
      <c r="H22" s="3124"/>
      <c r="I22" s="3124"/>
      <c r="J22" s="3124"/>
      <c r="K22" s="3124"/>
      <c r="L22" s="3124"/>
      <c r="M22" s="3124"/>
      <c r="N22" s="3124"/>
      <c r="O22" s="3124"/>
      <c r="P22" s="3124"/>
      <c r="Q22" s="3124"/>
      <c r="R22" s="3124"/>
      <c r="S22" s="3124"/>
      <c r="T22" s="42"/>
    </row>
    <row r="23" spans="2:20" ht="97.5" customHeight="1">
      <c r="B23" s="36"/>
      <c r="C23" s="34"/>
      <c r="D23" s="3124"/>
      <c r="E23" s="3124"/>
      <c r="F23" s="3124"/>
      <c r="G23" s="3124"/>
      <c r="H23" s="3124"/>
      <c r="I23" s="3124"/>
      <c r="J23" s="3124"/>
      <c r="K23" s="3124"/>
      <c r="L23" s="3124"/>
      <c r="M23" s="3124"/>
      <c r="N23" s="3124"/>
      <c r="O23" s="3124"/>
      <c r="P23" s="3124"/>
      <c r="Q23" s="3124"/>
      <c r="R23" s="3124"/>
      <c r="S23" s="3124"/>
      <c r="T23" s="53"/>
    </row>
    <row r="24" spans="2:20" ht="32.25" customHeight="1">
      <c r="B24" s="36"/>
      <c r="C24" s="1136"/>
      <c r="D24" s="3124" t="s">
        <v>1433</v>
      </c>
      <c r="E24" s="3124"/>
      <c r="F24" s="3124"/>
      <c r="G24" s="3124"/>
      <c r="H24" s="3124"/>
      <c r="I24" s="3124"/>
      <c r="J24" s="3124"/>
      <c r="K24" s="3124"/>
      <c r="L24" s="3124"/>
      <c r="M24" s="3124"/>
      <c r="N24" s="3124"/>
      <c r="O24" s="3124"/>
      <c r="P24" s="3124"/>
      <c r="Q24" s="3124"/>
      <c r="R24" s="3124"/>
      <c r="S24" s="3124"/>
      <c r="T24" s="42"/>
    </row>
    <row r="25" spans="2:20" ht="71.25" customHeight="1">
      <c r="B25" s="36"/>
      <c r="C25" s="34"/>
      <c r="D25" s="3124"/>
      <c r="E25" s="3124"/>
      <c r="F25" s="3124"/>
      <c r="G25" s="3124"/>
      <c r="H25" s="3124"/>
      <c r="I25" s="3124"/>
      <c r="J25" s="3124"/>
      <c r="K25" s="3124"/>
      <c r="L25" s="3124"/>
      <c r="M25" s="3124"/>
      <c r="N25" s="3124"/>
      <c r="O25" s="3124"/>
      <c r="P25" s="3124"/>
      <c r="Q25" s="3124"/>
      <c r="R25" s="3124"/>
      <c r="S25" s="3124"/>
      <c r="T25" s="53"/>
    </row>
    <row r="26" spans="2:20" ht="64.5" customHeight="1">
      <c r="B26" s="36"/>
      <c r="C26" s="1136"/>
      <c r="D26" s="3124" t="s">
        <v>1434</v>
      </c>
      <c r="E26" s="3124"/>
      <c r="F26" s="3124"/>
      <c r="G26" s="3124"/>
      <c r="H26" s="3124"/>
      <c r="I26" s="3124"/>
      <c r="J26" s="3124"/>
      <c r="K26" s="3124"/>
      <c r="L26" s="3124"/>
      <c r="M26" s="3124"/>
      <c r="N26" s="3124"/>
      <c r="O26" s="3124"/>
      <c r="P26" s="3124"/>
      <c r="Q26" s="3124"/>
      <c r="R26" s="3124"/>
      <c r="S26" s="3124"/>
      <c r="T26" s="42"/>
    </row>
    <row r="27" spans="2:20" ht="21" customHeight="1">
      <c r="B27" s="36"/>
      <c r="C27" s="34"/>
      <c r="D27" s="50"/>
      <c r="E27" s="50"/>
      <c r="F27" s="50"/>
      <c r="G27" s="50"/>
      <c r="H27" s="50"/>
      <c r="I27" s="50"/>
      <c r="J27" s="50"/>
      <c r="K27" s="50"/>
      <c r="L27" s="50"/>
      <c r="M27" s="50"/>
      <c r="N27" s="50"/>
      <c r="O27" s="50"/>
      <c r="P27" s="50"/>
      <c r="Q27" s="50"/>
      <c r="R27" s="50"/>
      <c r="S27" s="50"/>
      <c r="T27" s="53"/>
    </row>
    <row r="28" spans="2:20" ht="125.25" customHeight="1">
      <c r="B28" s="36"/>
      <c r="C28" s="1136"/>
      <c r="D28" s="3124" t="s">
        <v>1435</v>
      </c>
      <c r="E28" s="3124"/>
      <c r="F28" s="3124"/>
      <c r="G28" s="3124"/>
      <c r="H28" s="3124"/>
      <c r="I28" s="3124"/>
      <c r="J28" s="3124"/>
      <c r="K28" s="3124"/>
      <c r="L28" s="3124"/>
      <c r="M28" s="3124"/>
      <c r="N28" s="3124"/>
      <c r="O28" s="3124"/>
      <c r="P28" s="3124"/>
      <c r="Q28" s="3124"/>
      <c r="R28" s="3124"/>
      <c r="S28" s="3124"/>
      <c r="T28" s="42"/>
    </row>
    <row r="29" spans="2:20" ht="62.25" customHeight="1">
      <c r="B29" s="36"/>
      <c r="C29" s="34"/>
      <c r="D29" s="3124"/>
      <c r="E29" s="3124"/>
      <c r="F29" s="3124"/>
      <c r="G29" s="3124"/>
      <c r="H29" s="3124"/>
      <c r="I29" s="3124"/>
      <c r="J29" s="3124"/>
      <c r="K29" s="3124"/>
      <c r="L29" s="3124"/>
      <c r="M29" s="3124"/>
      <c r="N29" s="3124"/>
      <c r="O29" s="3124"/>
      <c r="P29" s="3124"/>
      <c r="Q29" s="3124"/>
      <c r="R29" s="3124"/>
      <c r="S29" s="3124"/>
      <c r="T29" s="53"/>
    </row>
    <row r="30" spans="2:20" ht="24.75" customHeight="1">
      <c r="B30" s="36"/>
      <c r="C30" s="34"/>
      <c r="D30" s="127"/>
      <c r="E30" s="127"/>
      <c r="F30" s="127"/>
      <c r="G30" s="127"/>
      <c r="H30" s="127"/>
      <c r="I30" s="127"/>
      <c r="J30" s="127"/>
      <c r="K30" s="127"/>
      <c r="L30" s="127"/>
      <c r="M30" s="127"/>
      <c r="N30" s="127"/>
      <c r="O30" s="127"/>
      <c r="P30" s="127"/>
      <c r="Q30" s="127"/>
      <c r="R30" s="127"/>
      <c r="S30" s="127"/>
      <c r="T30" s="53"/>
    </row>
    <row r="31" spans="2:20">
      <c r="B31" s="36"/>
      <c r="C31" s="34"/>
      <c r="D31" s="35" t="s">
        <v>1436</v>
      </c>
      <c r="E31" s="52"/>
      <c r="F31" s="52"/>
      <c r="G31" s="52"/>
      <c r="H31" s="52"/>
      <c r="I31" s="52"/>
      <c r="J31" s="52"/>
      <c r="K31" s="52"/>
      <c r="L31" s="52"/>
      <c r="M31" s="52"/>
      <c r="N31" s="52"/>
      <c r="O31" s="52"/>
      <c r="P31" s="52"/>
      <c r="Q31" s="52"/>
      <c r="R31" s="52"/>
      <c r="S31" s="52"/>
      <c r="T31" s="53"/>
    </row>
    <row r="32" spans="2:20">
      <c r="B32" s="36"/>
      <c r="C32" s="34"/>
      <c r="D32" s="3130"/>
      <c r="E32" s="3131"/>
      <c r="F32" s="3131"/>
      <c r="G32" s="3131"/>
      <c r="H32" s="3131"/>
      <c r="I32" s="3131"/>
      <c r="J32" s="3131"/>
      <c r="K32" s="3131"/>
      <c r="L32" s="3131"/>
      <c r="M32" s="3131"/>
      <c r="N32" s="3131"/>
      <c r="O32" s="3131"/>
      <c r="P32" s="3131"/>
      <c r="Q32" s="3131"/>
      <c r="R32" s="3131"/>
      <c r="S32" s="3132"/>
      <c r="T32" s="37"/>
    </row>
    <row r="33" spans="2:20">
      <c r="B33" s="36"/>
      <c r="C33" s="34"/>
      <c r="D33" s="3133"/>
      <c r="E33" s="3134"/>
      <c r="F33" s="3134"/>
      <c r="G33" s="3134"/>
      <c r="H33" s="3134"/>
      <c r="I33" s="3134"/>
      <c r="J33" s="3134"/>
      <c r="K33" s="3134"/>
      <c r="L33" s="3134"/>
      <c r="M33" s="3134"/>
      <c r="N33" s="3134"/>
      <c r="O33" s="3134"/>
      <c r="P33" s="3134"/>
      <c r="Q33" s="3134"/>
      <c r="R33" s="3134"/>
      <c r="S33" s="3135"/>
      <c r="T33" s="37"/>
    </row>
    <row r="34" spans="2:20">
      <c r="B34" s="36"/>
      <c r="C34" s="34"/>
      <c r="D34" s="3136"/>
      <c r="E34" s="3137"/>
      <c r="F34" s="3137"/>
      <c r="G34" s="3137"/>
      <c r="H34" s="3137"/>
      <c r="I34" s="3137"/>
      <c r="J34" s="3137"/>
      <c r="K34" s="3137"/>
      <c r="L34" s="3137"/>
      <c r="M34" s="3137"/>
      <c r="N34" s="3137"/>
      <c r="O34" s="3137"/>
      <c r="P34" s="3137"/>
      <c r="Q34" s="3137"/>
      <c r="R34" s="3137"/>
      <c r="S34" s="3138"/>
      <c r="T34" s="37"/>
    </row>
    <row r="35" spans="2:20">
      <c r="B35" s="36"/>
      <c r="C35" s="34"/>
      <c r="D35" s="34"/>
      <c r="E35" s="34"/>
      <c r="F35" s="34"/>
      <c r="G35" s="34"/>
      <c r="H35" s="34"/>
      <c r="I35" s="34"/>
      <c r="J35" s="34"/>
      <c r="K35" s="34"/>
      <c r="L35" s="34"/>
      <c r="M35" s="34"/>
      <c r="N35" s="34"/>
      <c r="O35" s="34"/>
      <c r="P35" s="34"/>
      <c r="Q35" s="34"/>
      <c r="R35" s="34"/>
      <c r="S35" s="34"/>
      <c r="T35" s="37"/>
    </row>
    <row r="36" spans="2:20" ht="140.25" customHeight="1">
      <c r="B36" s="3216" t="s">
        <v>1437</v>
      </c>
      <c r="C36" s="3124"/>
      <c r="D36" s="3124"/>
      <c r="E36" s="3124"/>
      <c r="F36" s="3124"/>
      <c r="G36" s="3124"/>
      <c r="H36" s="3124"/>
      <c r="I36" s="3124"/>
      <c r="J36" s="3124"/>
      <c r="K36" s="3124"/>
      <c r="L36" s="3124"/>
      <c r="M36" s="3124"/>
      <c r="N36" s="3124"/>
      <c r="O36" s="3124"/>
      <c r="P36" s="3124"/>
      <c r="Q36" s="3124"/>
      <c r="R36" s="3124"/>
      <c r="S36" s="3124"/>
      <c r="T36" s="37"/>
    </row>
    <row r="37" spans="2:20">
      <c r="B37" s="36"/>
      <c r="C37" s="31"/>
      <c r="D37" s="31"/>
      <c r="E37" s="31"/>
      <c r="F37" s="31"/>
      <c r="G37" s="31"/>
      <c r="H37" s="31"/>
      <c r="I37" s="34"/>
      <c r="J37" s="34"/>
      <c r="K37" s="34"/>
      <c r="L37" s="34"/>
      <c r="M37" s="34"/>
      <c r="N37" s="34"/>
      <c r="O37" s="34"/>
      <c r="P37" s="34"/>
      <c r="Q37" s="34"/>
      <c r="R37" s="34"/>
      <c r="S37" s="34"/>
      <c r="T37" s="37"/>
    </row>
    <row r="38" spans="2:20">
      <c r="B38" s="36"/>
      <c r="C38" s="3173" t="s">
        <v>1438</v>
      </c>
      <c r="D38" s="3173"/>
      <c r="E38" s="3173"/>
      <c r="F38" s="3173"/>
      <c r="G38" s="3173"/>
      <c r="H38" s="3173"/>
      <c r="I38" s="3173"/>
      <c r="J38" s="3173"/>
      <c r="K38" s="34" t="s">
        <v>1439</v>
      </c>
      <c r="L38" s="34"/>
      <c r="M38" s="34"/>
      <c r="N38" s="34"/>
      <c r="O38" s="34"/>
      <c r="P38" s="34"/>
      <c r="Q38" s="34"/>
      <c r="R38" s="34"/>
      <c r="S38" s="34"/>
      <c r="T38" s="37"/>
    </row>
    <row r="39" spans="2:20">
      <c r="B39" s="36"/>
      <c r="C39" s="3165" t="s">
        <v>1440</v>
      </c>
      <c r="D39" s="3165"/>
      <c r="E39" s="3209"/>
      <c r="F39" s="3156"/>
      <c r="G39" s="3157"/>
      <c r="H39" s="3158"/>
      <c r="I39" s="34"/>
      <c r="J39" s="3156"/>
      <c r="K39" s="3157"/>
      <c r="L39" s="3158"/>
      <c r="M39" s="34"/>
      <c r="N39" s="3156"/>
      <c r="O39" s="3157"/>
      <c r="P39" s="3158"/>
      <c r="Q39" s="34"/>
      <c r="R39" s="34"/>
      <c r="S39" s="34"/>
      <c r="T39" s="37"/>
    </row>
    <row r="40" spans="2:20">
      <c r="B40" s="36"/>
      <c r="C40" s="3165" t="s">
        <v>1441</v>
      </c>
      <c r="D40" s="3165"/>
      <c r="E40" s="3209"/>
      <c r="F40" s="3210"/>
      <c r="G40" s="3211"/>
      <c r="H40" s="3212"/>
      <c r="I40" s="34"/>
      <c r="J40" s="3210"/>
      <c r="K40" s="3211"/>
      <c r="L40" s="3212"/>
      <c r="M40" s="34"/>
      <c r="N40" s="3210"/>
      <c r="O40" s="3211"/>
      <c r="P40" s="3212"/>
      <c r="Q40" s="34"/>
      <c r="R40" s="34"/>
      <c r="S40" s="34"/>
      <c r="T40" s="37"/>
    </row>
    <row r="41" spans="2:20">
      <c r="B41" s="36"/>
      <c r="C41" s="3165" t="s">
        <v>1442</v>
      </c>
      <c r="D41" s="3165"/>
      <c r="E41" s="3209"/>
      <c r="F41" s="3210"/>
      <c r="G41" s="3211"/>
      <c r="H41" s="3212"/>
      <c r="I41" s="34"/>
      <c r="J41" s="3210"/>
      <c r="K41" s="3211"/>
      <c r="L41" s="3212"/>
      <c r="M41" s="34"/>
      <c r="N41" s="3210"/>
      <c r="O41" s="3211"/>
      <c r="P41" s="3212"/>
      <c r="Q41" s="34"/>
      <c r="R41" s="34"/>
      <c r="S41" s="34"/>
      <c r="T41" s="37"/>
    </row>
    <row r="42" spans="2:20">
      <c r="B42" s="36"/>
      <c r="C42" s="3165" t="s">
        <v>1443</v>
      </c>
      <c r="D42" s="3165"/>
      <c r="E42" s="3209"/>
      <c r="F42" s="3213">
        <f>IF(F40=0,0,(F40-F41)/F40)</f>
        <v>0</v>
      </c>
      <c r="G42" s="3214"/>
      <c r="H42" s="3215"/>
      <c r="I42" s="34"/>
      <c r="J42" s="3213">
        <f>IF(J40=0,0,(J40-J41)/J40)</f>
        <v>0</v>
      </c>
      <c r="K42" s="3214"/>
      <c r="L42" s="3215"/>
      <c r="M42" s="34"/>
      <c r="N42" s="3213">
        <f>IF(N40=0,0,(N40-N41)/N40)</f>
        <v>0</v>
      </c>
      <c r="O42" s="3214"/>
      <c r="P42" s="3215"/>
      <c r="Q42" s="34"/>
      <c r="R42" s="34"/>
      <c r="S42" s="34"/>
      <c r="T42" s="37"/>
    </row>
    <row r="43" spans="2:20">
      <c r="B43" s="36"/>
      <c r="C43" s="34"/>
      <c r="D43" s="34"/>
      <c r="E43" s="34"/>
      <c r="F43" s="34"/>
      <c r="G43" s="34"/>
      <c r="H43" s="34"/>
      <c r="I43" s="34"/>
      <c r="J43" s="34"/>
      <c r="K43" s="34"/>
      <c r="L43" s="34"/>
      <c r="M43" s="34"/>
      <c r="N43" s="34"/>
      <c r="O43" s="34"/>
      <c r="P43" s="34"/>
      <c r="Q43" s="34"/>
      <c r="R43" s="34"/>
      <c r="S43" s="34"/>
      <c r="T43" s="37"/>
    </row>
    <row r="44" spans="2:20">
      <c r="B44" s="36"/>
      <c r="C44" s="3173" t="s">
        <v>1438</v>
      </c>
      <c r="D44" s="3173"/>
      <c r="E44" s="3173"/>
      <c r="F44" s="3173"/>
      <c r="G44" s="3173"/>
      <c r="H44" s="3173"/>
      <c r="I44" s="3173"/>
      <c r="J44" s="3173"/>
      <c r="K44" s="34" t="s">
        <v>1439</v>
      </c>
      <c r="L44" s="34"/>
      <c r="M44" s="34"/>
      <c r="N44" s="34"/>
      <c r="O44" s="34"/>
      <c r="P44" s="34"/>
      <c r="Q44" s="34"/>
      <c r="R44" s="34"/>
      <c r="S44" s="34"/>
      <c r="T44" s="37"/>
    </row>
    <row r="45" spans="2:20">
      <c r="B45" s="36"/>
      <c r="C45" s="3165" t="s">
        <v>1440</v>
      </c>
      <c r="D45" s="3165"/>
      <c r="E45" s="3209"/>
      <c r="F45" s="3156"/>
      <c r="G45" s="3157"/>
      <c r="H45" s="3158"/>
      <c r="I45" s="34"/>
      <c r="J45" s="3156"/>
      <c r="K45" s="3157"/>
      <c r="L45" s="3158"/>
      <c r="M45" s="34"/>
      <c r="N45" s="3156"/>
      <c r="O45" s="3157"/>
      <c r="P45" s="3158"/>
      <c r="Q45" s="34"/>
      <c r="R45" s="34"/>
      <c r="S45" s="34"/>
      <c r="T45" s="37"/>
    </row>
    <row r="46" spans="2:20">
      <c r="B46" s="36"/>
      <c r="C46" s="3165" t="s">
        <v>1441</v>
      </c>
      <c r="D46" s="3165"/>
      <c r="E46" s="3209"/>
      <c r="F46" s="3210"/>
      <c r="G46" s="3211"/>
      <c r="H46" s="3212"/>
      <c r="I46" s="34"/>
      <c r="J46" s="3210"/>
      <c r="K46" s="3211"/>
      <c r="L46" s="3212"/>
      <c r="M46" s="34"/>
      <c r="N46" s="3210"/>
      <c r="O46" s="3211"/>
      <c r="P46" s="3212"/>
      <c r="Q46" s="34"/>
      <c r="R46" s="34"/>
      <c r="S46" s="34"/>
      <c r="T46" s="37"/>
    </row>
    <row r="47" spans="2:20">
      <c r="B47" s="36"/>
      <c r="C47" s="3165" t="s">
        <v>1442</v>
      </c>
      <c r="D47" s="3165"/>
      <c r="E47" s="3209"/>
      <c r="F47" s="3210"/>
      <c r="G47" s="3211"/>
      <c r="H47" s="3212"/>
      <c r="I47" s="34"/>
      <c r="J47" s="3210"/>
      <c r="K47" s="3211"/>
      <c r="L47" s="3212"/>
      <c r="M47" s="34"/>
      <c r="N47" s="3210"/>
      <c r="O47" s="3211"/>
      <c r="P47" s="3212"/>
      <c r="Q47" s="34"/>
      <c r="R47" s="34"/>
      <c r="S47" s="34"/>
      <c r="T47" s="37"/>
    </row>
    <row r="48" spans="2:20">
      <c r="B48" s="36"/>
      <c r="C48" s="3165" t="s">
        <v>1443</v>
      </c>
      <c r="D48" s="3165"/>
      <c r="E48" s="3209"/>
      <c r="F48" s="3213">
        <f>IF(F46=0,0,(F46-F47)/F46)</f>
        <v>0</v>
      </c>
      <c r="G48" s="3214"/>
      <c r="H48" s="3215"/>
      <c r="I48" s="34"/>
      <c r="J48" s="3213">
        <f>IF(J46=0,0,(J46-J47)/J46)</f>
        <v>0</v>
      </c>
      <c r="K48" s="3214"/>
      <c r="L48" s="3215"/>
      <c r="M48" s="34"/>
      <c r="N48" s="3213">
        <f>IF(N46=0,0,(N46-N47)/N46)</f>
        <v>0</v>
      </c>
      <c r="O48" s="3214"/>
      <c r="P48" s="3215"/>
      <c r="Q48" s="34"/>
      <c r="R48" s="34"/>
      <c r="S48" s="34"/>
      <c r="T48" s="37"/>
    </row>
    <row r="49" spans="2:20">
      <c r="B49" s="36"/>
      <c r="C49" s="34"/>
      <c r="D49" s="34"/>
      <c r="E49" s="34"/>
      <c r="F49" s="34"/>
      <c r="G49" s="34"/>
      <c r="H49" s="34"/>
      <c r="I49" s="34"/>
      <c r="J49" s="34"/>
      <c r="K49" s="34"/>
      <c r="L49" s="34"/>
      <c r="M49" s="34"/>
      <c r="N49" s="34"/>
      <c r="O49" s="34"/>
      <c r="P49" s="34"/>
      <c r="Q49" s="34"/>
      <c r="R49" s="34"/>
      <c r="S49" s="34"/>
      <c r="T49" s="37"/>
    </row>
    <row r="50" spans="2:20">
      <c r="B50" s="36"/>
      <c r="C50" s="34"/>
      <c r="D50" s="34"/>
      <c r="E50" s="3139" t="s">
        <v>1444</v>
      </c>
      <c r="F50" s="3139"/>
      <c r="G50" s="3139"/>
      <c r="H50" s="3139"/>
      <c r="I50" s="3139"/>
      <c r="J50" s="3140"/>
      <c r="K50" s="3141"/>
      <c r="L50" s="34"/>
      <c r="M50" s="34"/>
      <c r="N50" s="34"/>
      <c r="O50" s="34"/>
      <c r="P50" s="34"/>
      <c r="Q50" s="34"/>
      <c r="R50" s="34"/>
      <c r="S50" s="34"/>
      <c r="T50" s="37"/>
    </row>
    <row r="51" spans="2:20">
      <c r="B51" s="36"/>
      <c r="C51" s="34"/>
      <c r="D51" s="34"/>
      <c r="E51" s="3139" t="s">
        <v>1361</v>
      </c>
      <c r="F51" s="3139"/>
      <c r="G51" s="3142"/>
      <c r="H51" s="3142"/>
      <c r="I51" s="3142"/>
      <c r="J51" s="3142"/>
      <c r="K51" s="3142"/>
      <c r="L51" s="34"/>
      <c r="M51" s="34"/>
      <c r="N51" s="34"/>
      <c r="O51" s="34"/>
      <c r="P51" s="34"/>
      <c r="Q51" s="34"/>
      <c r="R51" s="34"/>
      <c r="S51" s="34"/>
      <c r="T51" s="37"/>
    </row>
    <row r="52" spans="2:20">
      <c r="B52" s="36"/>
      <c r="C52" s="34"/>
      <c r="D52" s="34"/>
      <c r="E52" s="34"/>
      <c r="F52" s="34"/>
      <c r="G52" s="34"/>
      <c r="H52" s="34"/>
      <c r="I52" s="34"/>
      <c r="J52" s="34"/>
      <c r="K52" s="34"/>
      <c r="L52" s="34"/>
      <c r="M52" s="34"/>
      <c r="N52" s="34"/>
      <c r="O52" s="34"/>
      <c r="P52" s="34"/>
      <c r="Q52" s="34"/>
      <c r="R52" s="34"/>
      <c r="S52" s="34"/>
      <c r="T52" s="37"/>
    </row>
    <row r="53" spans="2:20" ht="20" thickBot="1">
      <c r="B53" s="38"/>
      <c r="C53" s="39"/>
      <c r="D53" s="39"/>
      <c r="E53" s="39"/>
      <c r="F53" s="39"/>
      <c r="G53" s="39"/>
      <c r="H53" s="39"/>
      <c r="I53" s="39"/>
      <c r="J53" s="39"/>
      <c r="K53" s="39"/>
      <c r="L53" s="39"/>
      <c r="M53" s="39"/>
      <c r="N53" s="39"/>
      <c r="O53" s="39"/>
      <c r="P53" s="39"/>
      <c r="Q53" s="39"/>
      <c r="R53" s="39"/>
      <c r="S53" s="39"/>
      <c r="T53" s="40"/>
    </row>
  </sheetData>
  <sheetProtection algorithmName="SHA-512" hashValue="OfB2fzx112bKVRM7IiDF6mnKR5xjC2KLbsjPxi7MQyB8bzev6LaLLmx82QQeru9CRCXapsfwnGbJKp274Hi8zQ==" saltValue="YTNBQkJqLZnoUNB7yX6xUg==" spinCount="100000" sheet="1" scenarios="1" formatCells="0" formatColumns="0" formatRows="0"/>
  <mergeCells count="54">
    <mergeCell ref="D20:R20"/>
    <mergeCell ref="B2:T2"/>
    <mergeCell ref="B3:T3"/>
    <mergeCell ref="D6:R6"/>
    <mergeCell ref="D8:N8"/>
    <mergeCell ref="D10:S10"/>
    <mergeCell ref="D12:R12"/>
    <mergeCell ref="D14:S14"/>
    <mergeCell ref="D16:P16"/>
    <mergeCell ref="D19:S19"/>
    <mergeCell ref="N40:P40"/>
    <mergeCell ref="D22:S23"/>
    <mergeCell ref="D24:S25"/>
    <mergeCell ref="D28:S29"/>
    <mergeCell ref="D32:S34"/>
    <mergeCell ref="B36:S36"/>
    <mergeCell ref="C38:J38"/>
    <mergeCell ref="C39:E39"/>
    <mergeCell ref="F39:H39"/>
    <mergeCell ref="J39:L39"/>
    <mergeCell ref="N39:P39"/>
    <mergeCell ref="D26:S26"/>
    <mergeCell ref="C44:J44"/>
    <mergeCell ref="C45:E45"/>
    <mergeCell ref="F45:H45"/>
    <mergeCell ref="J45:L45"/>
    <mergeCell ref="C40:E40"/>
    <mergeCell ref="F40:H40"/>
    <mergeCell ref="J40:L40"/>
    <mergeCell ref="C41:E41"/>
    <mergeCell ref="F41:H41"/>
    <mergeCell ref="J41:L41"/>
    <mergeCell ref="N41:P41"/>
    <mergeCell ref="C42:E42"/>
    <mergeCell ref="F42:H42"/>
    <mergeCell ref="J42:L42"/>
    <mergeCell ref="N42:P42"/>
    <mergeCell ref="N45:P45"/>
    <mergeCell ref="N47:P47"/>
    <mergeCell ref="C48:E48"/>
    <mergeCell ref="F48:H48"/>
    <mergeCell ref="J48:L48"/>
    <mergeCell ref="N48:P48"/>
    <mergeCell ref="C46:E46"/>
    <mergeCell ref="F46:H46"/>
    <mergeCell ref="J46:L46"/>
    <mergeCell ref="N46:P46"/>
    <mergeCell ref="E50:I50"/>
    <mergeCell ref="J50:K50"/>
    <mergeCell ref="E51:F51"/>
    <mergeCell ref="G51:K51"/>
    <mergeCell ref="C47:E47"/>
    <mergeCell ref="F47:H47"/>
    <mergeCell ref="J47:L47"/>
  </mergeCells>
  <printOptions horizontalCentered="1"/>
  <pageMargins left="0.7" right="0.7" top="0.75" bottom="0.75" header="0.3" footer="0.3"/>
  <pageSetup scale="52" orientation="portrait" r:id="rId1"/>
  <rowBreaks count="2" manualBreakCount="2">
    <brk id="91" min="1" max="19" man="1"/>
    <brk id="220" min="1" max="19" man="1"/>
  </rowBreaks>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58547A0F-D451-4BBD-B359-CA8C834ABBCA}">
          <x14:formula1>
            <xm:f>Lists!$D$11:$D$13</xm:f>
          </x14:formula1>
          <xm:sqref>J50:K50</xm:sqref>
        </x14:dataValidation>
        <x14:dataValidation type="list" allowBlank="1" showInputMessage="1" showErrorMessage="1" xr:uid="{44464C60-0BD5-4D0C-ABA7-D7BE9B8779FA}">
          <x14:formula1>
            <xm:f>Lists!$E$2:$E$11</xm:f>
          </x14:formula1>
          <xm:sqref>G51:K51</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02810-9991-4EB5-9444-A1C6DD7F9757}">
  <sheetPr codeName="Sheet55">
    <tabColor rgb="FFFFFF00"/>
    <pageSetUpPr autoPageBreaks="0"/>
  </sheetPr>
  <dimension ref="B1:T137"/>
  <sheetViews>
    <sheetView showGridLines="0" topLeftCell="A90" zoomScale="85" zoomScaleNormal="85" zoomScaleSheetLayoutView="55" workbookViewId="0">
      <selection activeCell="E17" sqref="E17:Q18"/>
    </sheetView>
  </sheetViews>
  <sheetFormatPr baseColWidth="10" defaultColWidth="8.83203125" defaultRowHeight="16"/>
  <cols>
    <col min="1" max="1" width="4" style="60" customWidth="1"/>
    <col min="2" max="3" width="2.6640625" style="60" customWidth="1"/>
    <col min="4" max="5" width="8.83203125" style="60"/>
    <col min="6" max="6" width="10.83203125" style="60" customWidth="1"/>
    <col min="7" max="16384" width="8.83203125" style="60"/>
  </cols>
  <sheetData>
    <row r="1" spans="2:20" ht="17" thickBot="1"/>
    <row r="2" spans="2:20">
      <c r="B2" s="3232" t="s">
        <v>1445</v>
      </c>
      <c r="C2" s="3233"/>
      <c r="D2" s="3233"/>
      <c r="E2" s="3233"/>
      <c r="F2" s="3233"/>
      <c r="G2" s="3233"/>
      <c r="H2" s="3233"/>
      <c r="I2" s="3233"/>
      <c r="J2" s="3233"/>
      <c r="K2" s="3233"/>
      <c r="L2" s="3233"/>
      <c r="M2" s="3233"/>
      <c r="N2" s="3233"/>
      <c r="O2" s="3233"/>
      <c r="P2" s="3233"/>
      <c r="Q2" s="3233"/>
      <c r="R2" s="3233"/>
      <c r="S2" s="3233"/>
      <c r="T2" s="3234"/>
    </row>
    <row r="3" spans="2:20" ht="14.5" customHeight="1">
      <c r="B3" s="3266" t="s">
        <v>1446</v>
      </c>
      <c r="C3" s="3263"/>
      <c r="D3" s="3263"/>
      <c r="E3" s="3263"/>
      <c r="F3" s="3263"/>
      <c r="G3" s="3263"/>
      <c r="H3" s="3263"/>
      <c r="I3" s="3263"/>
      <c r="J3" s="3263"/>
      <c r="K3" s="3263"/>
      <c r="L3" s="3263"/>
      <c r="M3" s="3263"/>
      <c r="N3" s="3263"/>
      <c r="O3" s="3263"/>
      <c r="P3" s="3263"/>
      <c r="Q3" s="3263"/>
      <c r="R3" s="3263"/>
      <c r="S3" s="3263"/>
      <c r="T3" s="3267"/>
    </row>
    <row r="4" spans="2:20">
      <c r="B4" s="3266"/>
      <c r="C4" s="3263"/>
      <c r="D4" s="3263"/>
      <c r="E4" s="3263"/>
      <c r="F4" s="3263"/>
      <c r="G4" s="3263"/>
      <c r="H4" s="3263"/>
      <c r="I4" s="3263"/>
      <c r="J4" s="3263"/>
      <c r="K4" s="3263"/>
      <c r="L4" s="3263"/>
      <c r="M4" s="3263"/>
      <c r="N4" s="3263"/>
      <c r="O4" s="3263"/>
      <c r="P4" s="3263"/>
      <c r="Q4" s="3263"/>
      <c r="R4" s="3263"/>
      <c r="S4" s="3263"/>
      <c r="T4" s="3267"/>
    </row>
    <row r="5" spans="2:20" ht="33" customHeight="1">
      <c r="B5" s="3266"/>
      <c r="C5" s="3263"/>
      <c r="D5" s="3263"/>
      <c r="E5" s="3263"/>
      <c r="F5" s="3263"/>
      <c r="G5" s="3263"/>
      <c r="H5" s="3263"/>
      <c r="I5" s="3263"/>
      <c r="J5" s="3263"/>
      <c r="K5" s="3263"/>
      <c r="L5" s="3263"/>
      <c r="M5" s="3263"/>
      <c r="N5" s="3263"/>
      <c r="O5" s="3263"/>
      <c r="P5" s="3263"/>
      <c r="Q5" s="3263"/>
      <c r="R5" s="3263"/>
      <c r="S5" s="3263"/>
      <c r="T5" s="3267"/>
    </row>
    <row r="6" spans="2:20">
      <c r="B6" s="61"/>
      <c r="C6" s="62"/>
      <c r="D6" s="62"/>
      <c r="E6" s="62"/>
      <c r="F6" s="62"/>
      <c r="G6" s="62"/>
      <c r="H6" s="62"/>
      <c r="I6" s="62"/>
      <c r="J6" s="62"/>
      <c r="K6" s="62"/>
      <c r="L6" s="62"/>
      <c r="M6" s="62"/>
      <c r="N6" s="62"/>
      <c r="O6" s="62"/>
      <c r="P6" s="62"/>
      <c r="Q6" s="62"/>
      <c r="R6" s="62"/>
      <c r="S6" s="62"/>
      <c r="T6" s="63"/>
    </row>
    <row r="7" spans="2:20" ht="19">
      <c r="B7" s="61"/>
      <c r="C7" s="3253" t="s">
        <v>1447</v>
      </c>
      <c r="D7" s="3253"/>
      <c r="E7" s="3253"/>
      <c r="F7" s="3253"/>
      <c r="G7" s="3253"/>
      <c r="H7" s="3253"/>
      <c r="I7" s="3253"/>
      <c r="J7" s="3253"/>
      <c r="K7" s="3253"/>
      <c r="L7" s="3253"/>
      <c r="M7" s="3253"/>
      <c r="N7" s="3253"/>
      <c r="O7" s="3253"/>
      <c r="P7" s="3253"/>
      <c r="Q7" s="65"/>
      <c r="R7" s="65"/>
      <c r="S7" s="1133"/>
      <c r="T7" s="63"/>
    </row>
    <row r="8" spans="2:20">
      <c r="B8" s="64"/>
      <c r="C8" s="65"/>
      <c r="D8" s="65"/>
      <c r="E8" s="65"/>
      <c r="F8" s="65"/>
      <c r="G8" s="65"/>
      <c r="H8" s="65"/>
      <c r="I8" s="65"/>
      <c r="J8" s="65"/>
      <c r="K8" s="65"/>
      <c r="L8" s="65"/>
      <c r="M8" s="65"/>
      <c r="N8" s="65"/>
      <c r="O8" s="65"/>
      <c r="P8" s="65"/>
      <c r="Q8" s="65"/>
      <c r="R8" s="65"/>
      <c r="S8" s="65"/>
      <c r="T8" s="66"/>
    </row>
    <row r="9" spans="2:20" ht="19">
      <c r="B9" s="61"/>
      <c r="C9" s="3253" t="s">
        <v>1448</v>
      </c>
      <c r="D9" s="3253"/>
      <c r="E9" s="3253"/>
      <c r="F9" s="3253"/>
      <c r="G9" s="3253"/>
      <c r="H9" s="3253"/>
      <c r="I9" s="3253"/>
      <c r="J9" s="3253"/>
      <c r="K9" s="3253"/>
      <c r="L9" s="3253"/>
      <c r="M9" s="3253"/>
      <c r="N9" s="3253"/>
      <c r="O9" s="3253"/>
      <c r="P9" s="3253"/>
      <c r="Q9" s="65"/>
      <c r="R9" s="65"/>
      <c r="S9" s="1133"/>
      <c r="T9" s="63"/>
    </row>
    <row r="10" spans="2:20">
      <c r="B10" s="61"/>
      <c r="C10" s="666"/>
      <c r="D10" s="666"/>
      <c r="E10" s="666"/>
      <c r="F10" s="666"/>
      <c r="G10" s="666"/>
      <c r="H10" s="666"/>
      <c r="I10" s="666"/>
      <c r="J10" s="666"/>
      <c r="K10" s="666"/>
      <c r="L10" s="666"/>
      <c r="M10" s="666"/>
      <c r="N10" s="666"/>
      <c r="O10" s="666"/>
      <c r="P10" s="666"/>
      <c r="Q10" s="65"/>
      <c r="R10" s="65"/>
      <c r="S10" s="65"/>
      <c r="T10" s="63"/>
    </row>
    <row r="11" spans="2:20" ht="57.75" customHeight="1">
      <c r="B11" s="61"/>
      <c r="C11" s="3263" t="s">
        <v>1449</v>
      </c>
      <c r="D11" s="3263"/>
      <c r="E11" s="3263"/>
      <c r="F11" s="3263"/>
      <c r="G11" s="3263"/>
      <c r="H11" s="3263"/>
      <c r="I11" s="3263"/>
      <c r="J11" s="3263"/>
      <c r="K11" s="3263"/>
      <c r="L11" s="3263"/>
      <c r="M11" s="3263"/>
      <c r="N11" s="3263"/>
      <c r="O11" s="3263"/>
      <c r="P11" s="3263"/>
      <c r="Q11" s="65"/>
      <c r="R11" s="65"/>
      <c r="S11" s="1133"/>
      <c r="T11" s="63"/>
    </row>
    <row r="12" spans="2:20">
      <c r="B12" s="61"/>
      <c r="C12" s="666"/>
      <c r="D12" s="666"/>
      <c r="E12" s="666"/>
      <c r="F12" s="666"/>
      <c r="G12" s="666"/>
      <c r="H12" s="666"/>
      <c r="I12" s="666"/>
      <c r="J12" s="666"/>
      <c r="K12" s="666"/>
      <c r="L12" s="666"/>
      <c r="M12" s="666"/>
      <c r="N12" s="666"/>
      <c r="O12" s="666"/>
      <c r="P12" s="666"/>
      <c r="Q12" s="65"/>
      <c r="R12" s="65"/>
      <c r="S12" s="65"/>
      <c r="T12" s="63"/>
    </row>
    <row r="13" spans="2:20" s="1011" customFormat="1" ht="50.25" customHeight="1">
      <c r="B13" s="61"/>
      <c r="C13" s="3263" t="s">
        <v>1450</v>
      </c>
      <c r="D13" s="3263"/>
      <c r="E13" s="3263"/>
      <c r="F13" s="3263"/>
      <c r="G13" s="3263"/>
      <c r="H13" s="3263"/>
      <c r="I13" s="3263"/>
      <c r="J13" s="3263"/>
      <c r="K13" s="3263"/>
      <c r="L13" s="3263"/>
      <c r="M13" s="3263"/>
      <c r="N13" s="3263"/>
      <c r="O13" s="3263"/>
      <c r="P13" s="3263"/>
      <c r="Q13" s="69"/>
      <c r="R13" s="69"/>
      <c r="S13" s="1457"/>
      <c r="T13" s="63"/>
    </row>
    <row r="14" spans="2:20">
      <c r="B14" s="61"/>
      <c r="C14" s="666"/>
      <c r="D14" s="666"/>
      <c r="E14" s="666"/>
      <c r="F14" s="666"/>
      <c r="G14" s="666"/>
      <c r="H14" s="666"/>
      <c r="I14" s="666"/>
      <c r="J14" s="666"/>
      <c r="K14" s="666"/>
      <c r="L14" s="666"/>
      <c r="M14" s="666"/>
      <c r="N14" s="666"/>
      <c r="O14" s="666"/>
      <c r="P14" s="666"/>
      <c r="Q14" s="65"/>
      <c r="R14" s="65"/>
      <c r="S14" s="65"/>
      <c r="T14" s="63"/>
    </row>
    <row r="15" spans="2:20" s="238" customFormat="1">
      <c r="B15" s="672" t="s">
        <v>1451</v>
      </c>
      <c r="C15" s="673"/>
      <c r="D15" s="673"/>
      <c r="E15" s="673"/>
      <c r="F15" s="673"/>
      <c r="G15" s="673"/>
      <c r="H15" s="673"/>
      <c r="I15" s="673"/>
      <c r="J15" s="673"/>
      <c r="K15" s="673"/>
      <c r="L15" s="673"/>
      <c r="M15" s="673"/>
      <c r="N15" s="673"/>
      <c r="O15" s="673"/>
      <c r="P15" s="673"/>
      <c r="Q15" s="673"/>
      <c r="R15" s="673"/>
      <c r="S15" s="673"/>
      <c r="T15" s="674"/>
    </row>
    <row r="16" spans="2:20">
      <c r="B16" s="64"/>
      <c r="C16" s="3268" t="s">
        <v>1452</v>
      </c>
      <c r="D16" s="3268"/>
      <c r="E16" s="65"/>
      <c r="F16" s="65"/>
      <c r="G16" s="65"/>
      <c r="H16" s="65"/>
      <c r="I16" s="65"/>
      <c r="J16" s="65"/>
      <c r="K16" s="65"/>
      <c r="L16" s="65"/>
      <c r="M16" s="65"/>
      <c r="N16" s="65"/>
      <c r="O16" s="65"/>
      <c r="P16" s="65"/>
      <c r="Q16" s="65"/>
      <c r="R16" s="65"/>
      <c r="S16" s="65"/>
      <c r="T16" s="66"/>
    </row>
    <row r="17" spans="2:20">
      <c r="B17" s="64"/>
      <c r="C17" s="1137"/>
      <c r="D17" s="67" t="s">
        <v>1330</v>
      </c>
      <c r="E17" s="3249" t="s">
        <v>1453</v>
      </c>
      <c r="F17" s="3249"/>
      <c r="G17" s="3249"/>
      <c r="H17" s="3249"/>
      <c r="I17" s="3249"/>
      <c r="J17" s="3249"/>
      <c r="K17" s="3249"/>
      <c r="L17" s="3249"/>
      <c r="M17" s="3249"/>
      <c r="N17" s="3249"/>
      <c r="O17" s="3249"/>
      <c r="P17" s="3249"/>
      <c r="Q17" s="3249"/>
      <c r="R17" s="65"/>
      <c r="S17" s="65"/>
      <c r="T17" s="66"/>
    </row>
    <row r="18" spans="2:20">
      <c r="B18" s="64"/>
      <c r="C18" s="65"/>
      <c r="D18" s="65"/>
      <c r="E18" s="3249"/>
      <c r="F18" s="3249"/>
      <c r="G18" s="3249"/>
      <c r="H18" s="3249"/>
      <c r="I18" s="3249"/>
      <c r="J18" s="3249"/>
      <c r="K18" s="3249"/>
      <c r="L18" s="3249"/>
      <c r="M18" s="3249"/>
      <c r="N18" s="3249"/>
      <c r="O18" s="3249"/>
      <c r="P18" s="3249"/>
      <c r="Q18" s="3249"/>
      <c r="R18" s="65"/>
      <c r="S18" s="65"/>
      <c r="T18" s="66"/>
    </row>
    <row r="19" spans="2:20">
      <c r="B19" s="64"/>
      <c r="C19" s="65"/>
      <c r="D19" s="65"/>
      <c r="E19" s="65"/>
      <c r="F19" s="65"/>
      <c r="G19" s="65"/>
      <c r="H19" s="65"/>
      <c r="I19" s="65"/>
      <c r="J19" s="65"/>
      <c r="K19" s="65"/>
      <c r="L19" s="65"/>
      <c r="M19" s="65"/>
      <c r="N19" s="65"/>
      <c r="O19" s="65"/>
      <c r="P19" s="65"/>
      <c r="Q19" s="65"/>
      <c r="R19" s="65"/>
      <c r="S19" s="65"/>
      <c r="T19" s="66"/>
    </row>
    <row r="20" spans="2:20" ht="15" customHeight="1">
      <c r="B20" s="64"/>
      <c r="C20" s="1137"/>
      <c r="D20" s="67" t="s">
        <v>1454</v>
      </c>
      <c r="E20" s="3249" t="s">
        <v>1455</v>
      </c>
      <c r="F20" s="3249"/>
      <c r="G20" s="3249"/>
      <c r="H20" s="3249"/>
      <c r="I20" s="3249"/>
      <c r="J20" s="3249"/>
      <c r="K20" s="3249"/>
      <c r="L20" s="3249"/>
      <c r="M20" s="3249"/>
      <c r="N20" s="3249"/>
      <c r="O20" s="3249"/>
      <c r="P20" s="3249"/>
      <c r="Q20" s="3249"/>
      <c r="R20" s="65"/>
      <c r="S20" s="65"/>
      <c r="T20" s="66"/>
    </row>
    <row r="21" spans="2:20">
      <c r="B21" s="64"/>
      <c r="C21" s="65"/>
      <c r="D21" s="65"/>
      <c r="E21" s="3249"/>
      <c r="F21" s="3249"/>
      <c r="G21" s="3249"/>
      <c r="H21" s="3249"/>
      <c r="I21" s="3249"/>
      <c r="J21" s="3249"/>
      <c r="K21" s="3249"/>
      <c r="L21" s="3249"/>
      <c r="M21" s="3249"/>
      <c r="N21" s="3249"/>
      <c r="O21" s="3249"/>
      <c r="P21" s="3249"/>
      <c r="Q21" s="3249"/>
      <c r="R21" s="65"/>
      <c r="S21" s="65"/>
      <c r="T21" s="66"/>
    </row>
    <row r="22" spans="2:20">
      <c r="B22" s="64"/>
      <c r="C22" s="65"/>
      <c r="D22" s="65"/>
      <c r="E22" s="3249"/>
      <c r="F22" s="3249"/>
      <c r="G22" s="3249"/>
      <c r="H22" s="3249"/>
      <c r="I22" s="3249"/>
      <c r="J22" s="3249"/>
      <c r="K22" s="3249"/>
      <c r="L22" s="3249"/>
      <c r="M22" s="3249"/>
      <c r="N22" s="3249"/>
      <c r="O22" s="3249"/>
      <c r="P22" s="3249"/>
      <c r="Q22" s="3249"/>
      <c r="R22" s="65"/>
      <c r="S22" s="65"/>
      <c r="T22" s="66"/>
    </row>
    <row r="23" spans="2:20">
      <c r="B23" s="64"/>
      <c r="C23" s="65"/>
      <c r="D23" s="65"/>
      <c r="E23" s="65"/>
      <c r="F23" s="65"/>
      <c r="G23" s="65"/>
      <c r="H23" s="65"/>
      <c r="I23" s="65"/>
      <c r="J23" s="65"/>
      <c r="K23" s="65"/>
      <c r="L23" s="65"/>
      <c r="M23" s="65"/>
      <c r="N23" s="65"/>
      <c r="O23" s="65"/>
      <c r="P23" s="65"/>
      <c r="Q23" s="65"/>
      <c r="R23" s="65"/>
      <c r="S23" s="65"/>
      <c r="T23" s="66"/>
    </row>
    <row r="24" spans="2:20">
      <c r="B24" s="64"/>
      <c r="C24" s="65"/>
      <c r="D24" s="3253" t="s">
        <v>1456</v>
      </c>
      <c r="E24" s="3253"/>
      <c r="F24" s="3253"/>
      <c r="G24" s="65"/>
      <c r="H24" s="65"/>
      <c r="I24" s="65"/>
      <c r="J24" s="65"/>
      <c r="K24" s="65"/>
      <c r="L24" s="65"/>
      <c r="M24" s="65"/>
      <c r="N24" s="65"/>
      <c r="O24" s="65"/>
      <c r="P24" s="65"/>
      <c r="Q24" s="65"/>
      <c r="R24" s="65"/>
      <c r="S24" s="65"/>
      <c r="T24" s="66"/>
    </row>
    <row r="25" spans="2:20">
      <c r="B25" s="64"/>
      <c r="C25" s="65"/>
      <c r="D25" s="3254"/>
      <c r="E25" s="3255"/>
      <c r="F25" s="3255"/>
      <c r="G25" s="3255"/>
      <c r="H25" s="3255"/>
      <c r="I25" s="3255"/>
      <c r="J25" s="3255"/>
      <c r="K25" s="3255"/>
      <c r="L25" s="3255"/>
      <c r="M25" s="3255"/>
      <c r="N25" s="3255"/>
      <c r="O25" s="3255"/>
      <c r="P25" s="3255"/>
      <c r="Q25" s="3255"/>
      <c r="R25" s="3256"/>
      <c r="S25" s="65"/>
      <c r="T25" s="66"/>
    </row>
    <row r="26" spans="2:20">
      <c r="B26" s="64"/>
      <c r="C26" s="65"/>
      <c r="D26" s="3257"/>
      <c r="E26" s="3258"/>
      <c r="F26" s="3258"/>
      <c r="G26" s="3258"/>
      <c r="H26" s="3258"/>
      <c r="I26" s="3258"/>
      <c r="J26" s="3258"/>
      <c r="K26" s="3258"/>
      <c r="L26" s="3258"/>
      <c r="M26" s="3258"/>
      <c r="N26" s="3258"/>
      <c r="O26" s="3258"/>
      <c r="P26" s="3258"/>
      <c r="Q26" s="3258"/>
      <c r="R26" s="3259"/>
      <c r="S26" s="65"/>
      <c r="T26" s="66"/>
    </row>
    <row r="27" spans="2:20">
      <c r="B27" s="64"/>
      <c r="C27" s="65"/>
      <c r="D27" s="3257"/>
      <c r="E27" s="3258"/>
      <c r="F27" s="3258"/>
      <c r="G27" s="3258"/>
      <c r="H27" s="3258"/>
      <c r="I27" s="3258"/>
      <c r="J27" s="3258"/>
      <c r="K27" s="3258"/>
      <c r="L27" s="3258"/>
      <c r="M27" s="3258"/>
      <c r="N27" s="3258"/>
      <c r="O27" s="3258"/>
      <c r="P27" s="3258"/>
      <c r="Q27" s="3258"/>
      <c r="R27" s="3259"/>
      <c r="S27" s="65"/>
      <c r="T27" s="66"/>
    </row>
    <row r="28" spans="2:20">
      <c r="B28" s="64"/>
      <c r="C28" s="65"/>
      <c r="D28" s="3260"/>
      <c r="E28" s="3261"/>
      <c r="F28" s="3261"/>
      <c r="G28" s="3261"/>
      <c r="H28" s="3261"/>
      <c r="I28" s="3261"/>
      <c r="J28" s="3261"/>
      <c r="K28" s="3261"/>
      <c r="L28" s="3261"/>
      <c r="M28" s="3261"/>
      <c r="N28" s="3261"/>
      <c r="O28" s="3261"/>
      <c r="P28" s="3261"/>
      <c r="Q28" s="3261"/>
      <c r="R28" s="3262"/>
      <c r="S28" s="65"/>
      <c r="T28" s="66"/>
    </row>
    <row r="29" spans="2:20">
      <c r="B29" s="64"/>
      <c r="C29" s="666"/>
      <c r="D29" s="666"/>
      <c r="E29" s="666"/>
      <c r="F29" s="666"/>
      <c r="G29" s="666"/>
      <c r="H29" s="666"/>
      <c r="I29" s="666"/>
      <c r="J29" s="666"/>
      <c r="K29" s="666"/>
      <c r="L29" s="666"/>
      <c r="M29" s="666"/>
      <c r="N29" s="666"/>
      <c r="O29" s="666"/>
      <c r="P29" s="666"/>
      <c r="Q29" s="65"/>
      <c r="R29" s="65"/>
      <c r="S29" s="65"/>
      <c r="T29" s="66"/>
    </row>
    <row r="30" spans="2:20" ht="19">
      <c r="B30" s="61"/>
      <c r="C30" s="666" t="s">
        <v>1457</v>
      </c>
      <c r="D30" s="666"/>
      <c r="E30" s="666"/>
      <c r="F30" s="666"/>
      <c r="G30" s="666"/>
      <c r="H30" s="666"/>
      <c r="I30" s="666"/>
      <c r="J30" s="666"/>
      <c r="K30" s="666"/>
      <c r="L30" s="666"/>
      <c r="M30" s="666"/>
      <c r="N30" s="666"/>
      <c r="O30" s="666"/>
      <c r="P30" s="666"/>
      <c r="Q30" s="65"/>
      <c r="R30" s="65"/>
      <c r="S30" s="1133"/>
      <c r="T30" s="63"/>
    </row>
    <row r="31" spans="2:20" ht="159" customHeight="1">
      <c r="B31" s="61"/>
      <c r="C31" s="666"/>
      <c r="D31" s="3263" t="s">
        <v>1458</v>
      </c>
      <c r="E31" s="3263"/>
      <c r="F31" s="3263"/>
      <c r="G31" s="3263"/>
      <c r="H31" s="3263"/>
      <c r="I31" s="3263"/>
      <c r="J31" s="3263"/>
      <c r="K31" s="3263"/>
      <c r="L31" s="3263"/>
      <c r="M31" s="3263"/>
      <c r="N31" s="3263"/>
      <c r="O31" s="3263"/>
      <c r="P31" s="3263"/>
      <c r="Q31" s="3263"/>
      <c r="R31" s="65"/>
      <c r="S31" s="65"/>
      <c r="T31" s="63"/>
    </row>
    <row r="32" spans="2:20" ht="19">
      <c r="B32" s="61"/>
      <c r="C32" s="666" t="s">
        <v>1459</v>
      </c>
      <c r="D32" s="666"/>
      <c r="E32" s="666"/>
      <c r="F32" s="666"/>
      <c r="G32" s="666"/>
      <c r="H32" s="666"/>
      <c r="I32" s="666"/>
      <c r="J32" s="666"/>
      <c r="K32" s="666"/>
      <c r="L32" s="666"/>
      <c r="M32" s="666"/>
      <c r="N32" s="666"/>
      <c r="O32" s="666"/>
      <c r="P32" s="666"/>
      <c r="Q32" s="65"/>
      <c r="R32" s="65"/>
      <c r="S32" s="1133"/>
      <c r="T32" s="63"/>
    </row>
    <row r="33" spans="2:20">
      <c r="B33" s="61"/>
      <c r="C33" s="666"/>
      <c r="D33" s="666"/>
      <c r="E33" s="666"/>
      <c r="F33" s="666"/>
      <c r="G33" s="666"/>
      <c r="H33" s="666"/>
      <c r="I33" s="666"/>
      <c r="J33" s="666"/>
      <c r="K33" s="666"/>
      <c r="L33" s="666"/>
      <c r="M33" s="666"/>
      <c r="N33" s="666"/>
      <c r="O33" s="666"/>
      <c r="P33" s="666"/>
      <c r="Q33" s="65"/>
      <c r="R33" s="65"/>
      <c r="S33" s="65"/>
      <c r="T33" s="63"/>
    </row>
    <row r="34" spans="2:20" ht="19">
      <c r="B34" s="61"/>
      <c r="C34" s="666" t="s">
        <v>1460</v>
      </c>
      <c r="D34" s="666"/>
      <c r="E34" s="666"/>
      <c r="F34" s="666"/>
      <c r="G34" s="666"/>
      <c r="H34" s="666"/>
      <c r="I34" s="666"/>
      <c r="J34" s="666"/>
      <c r="K34" s="666"/>
      <c r="L34" s="666"/>
      <c r="M34" s="666"/>
      <c r="N34" s="666"/>
      <c r="O34" s="666"/>
      <c r="P34" s="666"/>
      <c r="Q34" s="65"/>
      <c r="R34" s="65"/>
      <c r="S34" s="1133"/>
      <c r="T34" s="63"/>
    </row>
    <row r="35" spans="2:20">
      <c r="B35" s="61"/>
      <c r="C35" s="666"/>
      <c r="D35" s="666"/>
      <c r="E35" s="666"/>
      <c r="F35" s="666"/>
      <c r="G35" s="666"/>
      <c r="H35" s="666"/>
      <c r="I35" s="666"/>
      <c r="J35" s="666"/>
      <c r="K35" s="666"/>
      <c r="L35" s="666"/>
      <c r="M35" s="666"/>
      <c r="N35" s="666"/>
      <c r="O35" s="666"/>
      <c r="P35" s="666"/>
      <c r="Q35" s="65"/>
      <c r="R35" s="65"/>
      <c r="S35" s="65"/>
      <c r="T35" s="63"/>
    </row>
    <row r="36" spans="2:20" ht="19">
      <c r="B36" s="61"/>
      <c r="C36" s="666" t="s">
        <v>1461</v>
      </c>
      <c r="D36" s="666"/>
      <c r="E36" s="666"/>
      <c r="F36" s="666"/>
      <c r="G36" s="666"/>
      <c r="H36" s="666"/>
      <c r="I36" s="666"/>
      <c r="J36" s="666"/>
      <c r="K36" s="666"/>
      <c r="L36" s="666"/>
      <c r="M36" s="666"/>
      <c r="N36" s="666"/>
      <c r="O36" s="666"/>
      <c r="P36" s="666"/>
      <c r="Q36" s="65"/>
      <c r="R36" s="65"/>
      <c r="S36" s="1133"/>
      <c r="T36" s="63"/>
    </row>
    <row r="37" spans="2:20">
      <c r="B37" s="64"/>
      <c r="C37" s="666"/>
      <c r="D37" s="666"/>
      <c r="E37" s="666"/>
      <c r="F37" s="666"/>
      <c r="G37" s="666"/>
      <c r="H37" s="666"/>
      <c r="I37" s="666"/>
      <c r="J37" s="666"/>
      <c r="K37" s="666"/>
      <c r="L37" s="666"/>
      <c r="M37" s="666"/>
      <c r="N37" s="666"/>
      <c r="O37" s="666"/>
      <c r="P37" s="666"/>
      <c r="Q37" s="65"/>
      <c r="R37" s="65"/>
      <c r="S37" s="65"/>
      <c r="T37" s="66"/>
    </row>
    <row r="38" spans="2:20" ht="15.75" customHeight="1">
      <c r="B38" s="3264" t="s">
        <v>1462</v>
      </c>
      <c r="C38" s="3250"/>
      <c r="D38" s="3250"/>
      <c r="E38" s="3250"/>
      <c r="F38" s="3250"/>
      <c r="G38" s="3250"/>
      <c r="H38" s="3250"/>
      <c r="I38" s="3250"/>
      <c r="J38" s="3250"/>
      <c r="K38" s="3250"/>
      <c r="L38" s="3250"/>
      <c r="M38" s="3250"/>
      <c r="N38" s="3250"/>
      <c r="O38" s="3250"/>
      <c r="P38" s="65"/>
      <c r="Q38" s="65"/>
      <c r="R38" s="65"/>
      <c r="S38" s="65"/>
      <c r="T38" s="66"/>
    </row>
    <row r="39" spans="2:20">
      <c r="B39" s="64"/>
      <c r="C39" s="65"/>
      <c r="D39" s="65"/>
      <c r="E39" s="65"/>
      <c r="F39" s="65"/>
      <c r="G39" s="65"/>
      <c r="H39" s="65"/>
      <c r="I39" s="65"/>
      <c r="J39" s="65"/>
      <c r="K39" s="65"/>
      <c r="L39" s="65"/>
      <c r="M39" s="65"/>
      <c r="N39" s="65"/>
      <c r="O39" s="65"/>
      <c r="P39" s="65"/>
      <c r="Q39" s="65"/>
      <c r="R39" s="65"/>
      <c r="S39" s="65"/>
      <c r="T39" s="66"/>
    </row>
    <row r="40" spans="2:20" ht="40.5" customHeight="1">
      <c r="B40" s="64"/>
      <c r="C40" s="1137"/>
      <c r="D40" s="675" t="s">
        <v>1463</v>
      </c>
      <c r="E40" s="3249" t="s">
        <v>1464</v>
      </c>
      <c r="F40" s="3249"/>
      <c r="G40" s="3249"/>
      <c r="H40" s="3249"/>
      <c r="I40" s="3249"/>
      <c r="J40" s="3249"/>
      <c r="K40" s="3249"/>
      <c r="L40" s="3249"/>
      <c r="M40" s="3249"/>
      <c r="N40" s="3249"/>
      <c r="O40" s="3249"/>
      <c r="P40" s="3249"/>
      <c r="Q40" s="3249"/>
      <c r="R40" s="3249"/>
      <c r="S40" s="3249"/>
      <c r="T40" s="3265"/>
    </row>
    <row r="41" spans="2:20" ht="33.75" customHeight="1">
      <c r="B41" s="64"/>
      <c r="C41" s="65"/>
      <c r="D41" s="675"/>
      <c r="E41" s="667"/>
      <c r="F41" s="3250" t="s">
        <v>1465</v>
      </c>
      <c r="G41" s="3250"/>
      <c r="H41" s="3250"/>
      <c r="I41" s="3250"/>
      <c r="J41" s="3250"/>
      <c r="K41" s="3250"/>
      <c r="L41" s="3250"/>
      <c r="M41" s="3250"/>
      <c r="N41" s="3250"/>
      <c r="O41" s="3250"/>
      <c r="P41" s="3250"/>
      <c r="Q41" s="3250"/>
      <c r="R41" s="667"/>
      <c r="S41" s="1133"/>
      <c r="T41" s="669"/>
    </row>
    <row r="42" spans="2:20" ht="67.5" customHeight="1">
      <c r="B42" s="64"/>
      <c r="C42" s="65"/>
      <c r="D42" s="65"/>
      <c r="E42" s="65"/>
      <c r="F42" s="3231" t="s">
        <v>1466</v>
      </c>
      <c r="G42" s="3231"/>
      <c r="H42" s="3231"/>
      <c r="I42" s="3231"/>
      <c r="J42" s="3231"/>
      <c r="K42" s="3231"/>
      <c r="L42" s="3231"/>
      <c r="M42" s="3231"/>
      <c r="N42" s="3231"/>
      <c r="O42" s="3231"/>
      <c r="P42" s="3231"/>
      <c r="Q42" s="65"/>
      <c r="R42" s="65"/>
      <c r="S42" s="65"/>
      <c r="T42" s="66"/>
    </row>
    <row r="43" spans="2:20" ht="39" customHeight="1">
      <c r="B43" s="64"/>
      <c r="C43" s="65"/>
      <c r="D43" s="65"/>
      <c r="E43" s="65"/>
      <c r="F43" s="3250" t="s">
        <v>1467</v>
      </c>
      <c r="G43" s="3250"/>
      <c r="H43" s="3250"/>
      <c r="I43" s="3250"/>
      <c r="J43" s="3250"/>
      <c r="K43" s="3250"/>
      <c r="L43" s="3250"/>
      <c r="M43" s="3250"/>
      <c r="N43" s="3250"/>
      <c r="O43" s="3250"/>
      <c r="P43" s="3250"/>
      <c r="Q43" s="65"/>
      <c r="R43" s="65"/>
      <c r="S43" s="1133"/>
      <c r="T43" s="66"/>
    </row>
    <row r="44" spans="2:20" ht="85.5" customHeight="1">
      <c r="B44" s="64"/>
      <c r="C44" s="65"/>
      <c r="D44" s="65"/>
      <c r="E44" s="65"/>
      <c r="F44" s="3231" t="s">
        <v>1468</v>
      </c>
      <c r="G44" s="3231"/>
      <c r="H44" s="3231"/>
      <c r="I44" s="3231"/>
      <c r="J44" s="3231"/>
      <c r="K44" s="3231"/>
      <c r="L44" s="3231"/>
      <c r="M44" s="3231"/>
      <c r="N44" s="3231"/>
      <c r="O44" s="3231"/>
      <c r="P44" s="3231"/>
      <c r="Q44" s="3231"/>
      <c r="R44" s="3231"/>
      <c r="S44" s="65"/>
      <c r="T44" s="66"/>
    </row>
    <row r="45" spans="2:20" ht="38.25" customHeight="1">
      <c r="B45" s="64"/>
      <c r="C45" s="65"/>
      <c r="D45" s="65"/>
      <c r="E45" s="65"/>
      <c r="F45" s="3250" t="s">
        <v>1469</v>
      </c>
      <c r="G45" s="3250"/>
      <c r="H45" s="3250"/>
      <c r="I45" s="3250"/>
      <c r="J45" s="3250"/>
      <c r="K45" s="3250"/>
      <c r="L45" s="3250"/>
      <c r="M45" s="3250"/>
      <c r="N45" s="3250"/>
      <c r="O45" s="3250"/>
      <c r="P45" s="3250"/>
      <c r="Q45" s="667"/>
      <c r="R45" s="667"/>
      <c r="S45" s="1133"/>
      <c r="T45" s="66"/>
    </row>
    <row r="46" spans="2:20" ht="78.75" customHeight="1">
      <c r="B46" s="64"/>
      <c r="C46" s="65"/>
      <c r="D46" s="65"/>
      <c r="E46" s="65"/>
      <c r="F46" s="3231" t="s">
        <v>1470</v>
      </c>
      <c r="G46" s="3231"/>
      <c r="H46" s="3231"/>
      <c r="I46" s="3231"/>
      <c r="J46" s="3231"/>
      <c r="K46" s="3231"/>
      <c r="L46" s="3231"/>
      <c r="M46" s="3231"/>
      <c r="N46" s="3231"/>
      <c r="O46" s="3231"/>
      <c r="P46" s="3231"/>
      <c r="Q46" s="65"/>
      <c r="R46" s="65"/>
      <c r="S46" s="65"/>
      <c r="T46" s="66"/>
    </row>
    <row r="47" spans="2:20" ht="12.75" customHeight="1">
      <c r="B47" s="64"/>
      <c r="C47" s="65"/>
      <c r="D47" s="65"/>
      <c r="E47" s="65"/>
      <c r="F47" s="668"/>
      <c r="G47" s="668"/>
      <c r="H47" s="668"/>
      <c r="I47" s="668"/>
      <c r="J47" s="668"/>
      <c r="K47" s="668"/>
      <c r="L47" s="668"/>
      <c r="M47" s="668"/>
      <c r="N47" s="668"/>
      <c r="O47" s="668"/>
      <c r="P47" s="668"/>
      <c r="Q47" s="65"/>
      <c r="R47" s="65"/>
      <c r="S47" s="65"/>
      <c r="T47" s="66"/>
    </row>
    <row r="48" spans="2:20" ht="19">
      <c r="B48" s="64"/>
      <c r="C48" s="65"/>
      <c r="D48" s="65"/>
      <c r="E48" s="65"/>
      <c r="F48" s="673" t="s">
        <v>1471</v>
      </c>
      <c r="G48" s="65"/>
      <c r="H48" s="65"/>
      <c r="I48" s="65"/>
      <c r="J48" s="65"/>
      <c r="K48" s="65"/>
      <c r="L48" s="65"/>
      <c r="M48" s="65"/>
      <c r="N48" s="65"/>
      <c r="O48" s="65"/>
      <c r="P48" s="65"/>
      <c r="Q48" s="65"/>
      <c r="R48" s="65"/>
      <c r="S48" s="1133"/>
      <c r="T48" s="66"/>
    </row>
    <row r="49" spans="2:20" s="679" customFormat="1" ht="266.25" customHeight="1">
      <c r="B49" s="676"/>
      <c r="C49" s="677"/>
      <c r="D49" s="677"/>
      <c r="E49" s="677"/>
      <c r="F49" s="3231" t="s">
        <v>1472</v>
      </c>
      <c r="G49" s="3231"/>
      <c r="H49" s="3231"/>
      <c r="I49" s="3231"/>
      <c r="J49" s="3231"/>
      <c r="K49" s="3231"/>
      <c r="L49" s="3231"/>
      <c r="M49" s="3231"/>
      <c r="N49" s="3231"/>
      <c r="O49" s="3231"/>
      <c r="P49" s="3231"/>
      <c r="Q49" s="677"/>
      <c r="R49" s="677"/>
      <c r="S49" s="677"/>
      <c r="T49" s="678"/>
    </row>
    <row r="50" spans="2:20" ht="14.5" customHeight="1">
      <c r="B50" s="64"/>
      <c r="C50" s="65"/>
      <c r="D50" s="3250" t="s">
        <v>1473</v>
      </c>
      <c r="E50" s="3250"/>
      <c r="F50" s="3250"/>
      <c r="G50" s="3250"/>
      <c r="H50" s="3250"/>
      <c r="I50" s="3250"/>
      <c r="J50" s="3250"/>
      <c r="K50" s="3250"/>
      <c r="L50" s="3250"/>
      <c r="M50" s="3250"/>
      <c r="N50" s="3250"/>
      <c r="O50" s="3250"/>
      <c r="P50" s="3250"/>
      <c r="Q50" s="69"/>
      <c r="R50" s="69"/>
      <c r="S50" s="1133"/>
      <c r="T50" s="66"/>
    </row>
    <row r="51" spans="2:20">
      <c r="B51" s="64"/>
      <c r="C51" s="65"/>
      <c r="D51" s="3250"/>
      <c r="E51" s="3250"/>
      <c r="F51" s="3250"/>
      <c r="G51" s="3250"/>
      <c r="H51" s="3250"/>
      <c r="I51" s="3250"/>
      <c r="J51" s="3250"/>
      <c r="K51" s="3250"/>
      <c r="L51" s="3250"/>
      <c r="M51" s="3250"/>
      <c r="N51" s="3250"/>
      <c r="O51" s="3250"/>
      <c r="P51" s="3250"/>
      <c r="Q51" s="69"/>
      <c r="R51" s="69"/>
      <c r="S51" s="65"/>
      <c r="T51" s="66"/>
    </row>
    <row r="52" spans="2:20">
      <c r="B52" s="64"/>
      <c r="C52" s="65"/>
      <c r="D52" s="3250"/>
      <c r="E52" s="3250"/>
      <c r="F52" s="3250"/>
      <c r="G52" s="3250"/>
      <c r="H52" s="3250"/>
      <c r="I52" s="3250"/>
      <c r="J52" s="3250"/>
      <c r="K52" s="3250"/>
      <c r="L52" s="3250"/>
      <c r="M52" s="3250"/>
      <c r="N52" s="3250"/>
      <c r="O52" s="3250"/>
      <c r="P52" s="3250"/>
      <c r="Q52" s="69"/>
      <c r="R52" s="69"/>
      <c r="S52" s="65"/>
      <c r="T52" s="66"/>
    </row>
    <row r="53" spans="2:20">
      <c r="B53" s="64"/>
      <c r="C53" s="65"/>
      <c r="D53" s="3235" t="s">
        <v>1474</v>
      </c>
      <c r="E53" s="3235"/>
      <c r="F53" s="3235"/>
      <c r="G53" s="3236"/>
      <c r="H53" s="3237"/>
      <c r="I53" s="3238"/>
      <c r="J53" s="3238"/>
      <c r="K53" s="3238"/>
      <c r="L53" s="3238"/>
      <c r="M53" s="3238"/>
      <c r="N53" s="3238"/>
      <c r="O53" s="3238"/>
      <c r="P53" s="3238"/>
      <c r="Q53" s="3239"/>
      <c r="R53" s="69"/>
      <c r="S53" s="65"/>
      <c r="T53" s="66"/>
    </row>
    <row r="54" spans="2:20">
      <c r="B54" s="64"/>
      <c r="C54" s="65"/>
      <c r="D54" s="65"/>
      <c r="E54" s="65"/>
      <c r="F54" s="65"/>
      <c r="G54" s="65"/>
      <c r="H54" s="3240"/>
      <c r="I54" s="3241"/>
      <c r="J54" s="3241"/>
      <c r="K54" s="3241"/>
      <c r="L54" s="3241"/>
      <c r="M54" s="3241"/>
      <c r="N54" s="3241"/>
      <c r="O54" s="3241"/>
      <c r="P54" s="3241"/>
      <c r="Q54" s="3242"/>
      <c r="R54" s="65"/>
      <c r="S54" s="65"/>
      <c r="T54" s="66"/>
    </row>
    <row r="55" spans="2:20">
      <c r="B55" s="64"/>
      <c r="C55" s="65"/>
      <c r="D55" s="65"/>
      <c r="E55" s="65"/>
      <c r="F55" s="65"/>
      <c r="G55" s="65"/>
      <c r="H55" s="3243"/>
      <c r="I55" s="3244"/>
      <c r="J55" s="3244"/>
      <c r="K55" s="3244"/>
      <c r="L55" s="3244"/>
      <c r="M55" s="3244"/>
      <c r="N55" s="3244"/>
      <c r="O55" s="3244"/>
      <c r="P55" s="3244"/>
      <c r="Q55" s="3245"/>
      <c r="R55" s="65"/>
      <c r="S55" s="65"/>
      <c r="T55" s="66"/>
    </row>
    <row r="56" spans="2:20">
      <c r="B56" s="64"/>
      <c r="C56" s="65"/>
      <c r="D56" s="65"/>
      <c r="E56" s="65"/>
      <c r="F56" s="65"/>
      <c r="G56" s="65"/>
      <c r="H56" s="65"/>
      <c r="I56" s="65"/>
      <c r="J56" s="65"/>
      <c r="K56" s="65"/>
      <c r="L56" s="65"/>
      <c r="M56" s="65"/>
      <c r="N56" s="65"/>
      <c r="O56" s="65"/>
      <c r="P56" s="65"/>
      <c r="Q56" s="65"/>
      <c r="R56" s="65"/>
      <c r="S56" s="65"/>
      <c r="T56" s="66"/>
    </row>
    <row r="57" spans="2:20">
      <c r="B57" s="64"/>
      <c r="C57" s="65"/>
      <c r="D57" s="65"/>
      <c r="E57" s="3247" t="s">
        <v>1475</v>
      </c>
      <c r="F57" s="3251"/>
      <c r="G57" s="3251"/>
      <c r="H57" s="3251"/>
      <c r="I57" s="3251"/>
      <c r="J57" s="3251"/>
      <c r="K57" s="3251"/>
      <c r="L57" s="3251"/>
      <c r="M57" s="3251"/>
      <c r="N57" s="3251"/>
      <c r="O57" s="3251"/>
      <c r="P57" s="3251"/>
      <c r="Q57" s="65"/>
      <c r="R57" s="65"/>
      <c r="S57" s="65"/>
      <c r="T57" s="66"/>
    </row>
    <row r="58" spans="2:20" ht="15.5" customHeight="1">
      <c r="B58" s="64"/>
      <c r="C58" s="65"/>
      <c r="D58" s="65"/>
      <c r="E58" s="65"/>
      <c r="F58" s="3231" t="s">
        <v>1476</v>
      </c>
      <c r="G58" s="3231"/>
      <c r="H58" s="3231"/>
      <c r="I58" s="3231"/>
      <c r="J58" s="3231"/>
      <c r="K58" s="3231"/>
      <c r="L58" s="3231"/>
      <c r="M58" s="3231"/>
      <c r="N58" s="3231"/>
      <c r="O58" s="3231"/>
      <c r="P58" s="3231"/>
      <c r="Q58" s="65"/>
      <c r="R58" s="65"/>
      <c r="S58" s="65"/>
      <c r="T58" s="66"/>
    </row>
    <row r="59" spans="2:20" ht="19">
      <c r="B59" s="64"/>
      <c r="C59" s="65"/>
      <c r="D59" s="65"/>
      <c r="E59" s="65"/>
      <c r="F59" s="3231"/>
      <c r="G59" s="3231"/>
      <c r="H59" s="3231"/>
      <c r="I59" s="3231"/>
      <c r="J59" s="3231"/>
      <c r="K59" s="3231"/>
      <c r="L59" s="3231"/>
      <c r="M59" s="3231"/>
      <c r="N59" s="3231"/>
      <c r="O59" s="3231"/>
      <c r="P59" s="3231"/>
      <c r="Q59" s="65"/>
      <c r="R59" s="65"/>
      <c r="S59" s="1133"/>
      <c r="T59" s="66"/>
    </row>
    <row r="60" spans="2:20">
      <c r="B60" s="64"/>
      <c r="C60" s="65"/>
      <c r="D60" s="65"/>
      <c r="E60" s="65"/>
      <c r="F60" s="3231"/>
      <c r="G60" s="3231"/>
      <c r="H60" s="3231"/>
      <c r="I60" s="3231"/>
      <c r="J60" s="3231"/>
      <c r="K60" s="3231"/>
      <c r="L60" s="3231"/>
      <c r="M60" s="3231"/>
      <c r="N60" s="3231"/>
      <c r="O60" s="3231"/>
      <c r="P60" s="3231"/>
      <c r="Q60" s="65"/>
      <c r="R60" s="65"/>
      <c r="S60" s="65"/>
      <c r="T60" s="66"/>
    </row>
    <row r="61" spans="2:20" ht="19">
      <c r="B61" s="64"/>
      <c r="C61" s="65"/>
      <c r="D61" s="65"/>
      <c r="E61" s="65"/>
      <c r="F61" s="3231" t="s">
        <v>1477</v>
      </c>
      <c r="G61" s="3231"/>
      <c r="H61" s="3231"/>
      <c r="I61" s="3231"/>
      <c r="J61" s="3231"/>
      <c r="K61" s="3231"/>
      <c r="L61" s="3231"/>
      <c r="M61" s="3231"/>
      <c r="N61" s="3231"/>
      <c r="O61" s="3231"/>
      <c r="P61" s="3231"/>
      <c r="Q61" s="65"/>
      <c r="R61" s="65"/>
      <c r="S61" s="1133"/>
      <c r="T61" s="66"/>
    </row>
    <row r="62" spans="2:20" ht="57" customHeight="1">
      <c r="B62" s="64"/>
      <c r="C62" s="65"/>
      <c r="D62" s="65"/>
      <c r="E62" s="65"/>
      <c r="F62" s="3231"/>
      <c r="G62" s="3231"/>
      <c r="H62" s="3231"/>
      <c r="I62" s="3231"/>
      <c r="J62" s="3231"/>
      <c r="K62" s="3231"/>
      <c r="L62" s="3231"/>
      <c r="M62" s="3231"/>
      <c r="N62" s="3231"/>
      <c r="O62" s="3231"/>
      <c r="P62" s="3231"/>
      <c r="Q62" s="65"/>
      <c r="R62" s="65"/>
      <c r="S62" s="65"/>
      <c r="T62" s="66"/>
    </row>
    <row r="63" spans="2:20">
      <c r="B63" s="64"/>
      <c r="C63" s="65"/>
      <c r="D63" s="65"/>
      <c r="E63" s="65"/>
      <c r="F63" s="65"/>
      <c r="G63" s="65"/>
      <c r="H63" s="65"/>
      <c r="I63" s="65"/>
      <c r="J63" s="65"/>
      <c r="K63" s="65"/>
      <c r="L63" s="65"/>
      <c r="M63" s="65"/>
      <c r="N63" s="65"/>
      <c r="O63" s="65"/>
      <c r="P63" s="65"/>
      <c r="Q63" s="65"/>
      <c r="R63" s="65"/>
      <c r="S63" s="65"/>
      <c r="T63" s="66"/>
    </row>
    <row r="64" spans="2:20" ht="30" customHeight="1">
      <c r="B64" s="64"/>
      <c r="C64" s="1137"/>
      <c r="D64" s="675" t="s">
        <v>1338</v>
      </c>
      <c r="E64" s="3250" t="s">
        <v>1478</v>
      </c>
      <c r="F64" s="3250"/>
      <c r="G64" s="3250"/>
      <c r="H64" s="3250"/>
      <c r="I64" s="3250"/>
      <c r="J64" s="3250"/>
      <c r="K64" s="3250"/>
      <c r="L64" s="3250"/>
      <c r="M64" s="3250"/>
      <c r="N64" s="3250"/>
      <c r="O64" s="3250"/>
      <c r="P64" s="3250"/>
      <c r="Q64" s="3250"/>
      <c r="R64" s="3250"/>
      <c r="S64" s="3250"/>
      <c r="T64" s="3252"/>
    </row>
    <row r="65" spans="2:20">
      <c r="B65" s="64"/>
      <c r="C65" s="65"/>
      <c r="D65" s="65"/>
      <c r="E65" s="65"/>
      <c r="F65" s="3249" t="s">
        <v>1479</v>
      </c>
      <c r="G65" s="3249"/>
      <c r="H65" s="3249"/>
      <c r="I65" s="3249"/>
      <c r="J65" s="3249"/>
      <c r="K65" s="3249"/>
      <c r="L65" s="3249"/>
      <c r="M65" s="3249"/>
      <c r="N65" s="3249"/>
      <c r="O65" s="3249"/>
      <c r="P65" s="3249"/>
      <c r="Q65" s="65"/>
      <c r="R65" s="65"/>
      <c r="S65" s="65"/>
      <c r="T65" s="66"/>
    </row>
    <row r="66" spans="2:20" ht="93.75" customHeight="1">
      <c r="B66" s="64"/>
      <c r="C66" s="65"/>
      <c r="D66" s="65"/>
      <c r="E66" s="65"/>
      <c r="F66" s="3249"/>
      <c r="G66" s="3249"/>
      <c r="H66" s="3249"/>
      <c r="I66" s="3249"/>
      <c r="J66" s="3249"/>
      <c r="K66" s="3249"/>
      <c r="L66" s="3249"/>
      <c r="M66" s="3249"/>
      <c r="N66" s="3249"/>
      <c r="O66" s="3249"/>
      <c r="P66" s="3249"/>
      <c r="Q66" s="65"/>
      <c r="R66" s="65"/>
      <c r="S66" s="1133"/>
      <c r="T66" s="66"/>
    </row>
    <row r="67" spans="2:20">
      <c r="B67" s="64"/>
      <c r="C67" s="65"/>
      <c r="D67" s="65"/>
      <c r="E67" s="65"/>
      <c r="F67" s="68"/>
      <c r="G67" s="68"/>
      <c r="H67" s="68"/>
      <c r="I67" s="68"/>
      <c r="J67" s="68"/>
      <c r="K67" s="68"/>
      <c r="L67" s="68"/>
      <c r="M67" s="68"/>
      <c r="N67" s="68"/>
      <c r="O67" s="68"/>
      <c r="P67" s="68"/>
      <c r="Q67" s="65"/>
      <c r="R67" s="65"/>
      <c r="S67" s="65"/>
      <c r="T67" s="66"/>
    </row>
    <row r="68" spans="2:20" ht="51" customHeight="1">
      <c r="B68" s="64"/>
      <c r="C68" s="65"/>
      <c r="D68" s="65"/>
      <c r="E68" s="65"/>
      <c r="F68" s="3231" t="s">
        <v>1480</v>
      </c>
      <c r="G68" s="3231"/>
      <c r="H68" s="3231"/>
      <c r="I68" s="3231"/>
      <c r="J68" s="3231"/>
      <c r="K68" s="3231"/>
      <c r="L68" s="3231"/>
      <c r="M68" s="3231"/>
      <c r="N68" s="3231"/>
      <c r="O68" s="3231"/>
      <c r="P68" s="3231"/>
      <c r="Q68" s="65"/>
      <c r="R68" s="65"/>
      <c r="S68" s="1133"/>
      <c r="T68" s="66"/>
    </row>
    <row r="69" spans="2:20">
      <c r="B69" s="64"/>
      <c r="C69" s="65"/>
      <c r="D69" s="65"/>
      <c r="E69" s="65"/>
      <c r="F69" s="68"/>
      <c r="G69" s="68"/>
      <c r="H69" s="68"/>
      <c r="I69" s="68"/>
      <c r="J69" s="68"/>
      <c r="K69" s="68"/>
      <c r="L69" s="68"/>
      <c r="M69" s="68"/>
      <c r="N69" s="68"/>
      <c r="O69" s="68"/>
      <c r="P69" s="68"/>
      <c r="Q69" s="65"/>
      <c r="R69" s="65"/>
      <c r="S69" s="68"/>
      <c r="T69" s="66"/>
    </row>
    <row r="70" spans="2:20" ht="14.5" customHeight="1">
      <c r="B70" s="64"/>
      <c r="C70" s="65"/>
      <c r="D70" s="3249" t="s">
        <v>1481</v>
      </c>
      <c r="E70" s="3249"/>
      <c r="F70" s="3249"/>
      <c r="G70" s="3249"/>
      <c r="H70" s="3249"/>
      <c r="I70" s="3249"/>
      <c r="J70" s="3249"/>
      <c r="K70" s="3249"/>
      <c r="L70" s="3249"/>
      <c r="M70" s="3249"/>
      <c r="N70" s="3249"/>
      <c r="O70" s="3249"/>
      <c r="P70" s="3249"/>
      <c r="Q70" s="69"/>
      <c r="R70" s="69"/>
      <c r="S70" s="1133"/>
      <c r="T70" s="66"/>
    </row>
    <row r="71" spans="2:20">
      <c r="B71" s="64"/>
      <c r="C71" s="65"/>
      <c r="D71" s="3249"/>
      <c r="E71" s="3249"/>
      <c r="F71" s="3249"/>
      <c r="G71" s="3249"/>
      <c r="H71" s="3249"/>
      <c r="I71" s="3249"/>
      <c r="J71" s="3249"/>
      <c r="K71" s="3249"/>
      <c r="L71" s="3249"/>
      <c r="M71" s="3249"/>
      <c r="N71" s="3249"/>
      <c r="O71" s="3249"/>
      <c r="P71" s="3249"/>
      <c r="Q71" s="69"/>
      <c r="R71" s="69"/>
      <c r="S71" s="65"/>
      <c r="T71" s="66"/>
    </row>
    <row r="72" spans="2:20">
      <c r="B72" s="64"/>
      <c r="C72" s="65"/>
      <c r="D72" s="3249"/>
      <c r="E72" s="3249"/>
      <c r="F72" s="3249"/>
      <c r="G72" s="3249"/>
      <c r="H72" s="3249"/>
      <c r="I72" s="3249"/>
      <c r="J72" s="3249"/>
      <c r="K72" s="3249"/>
      <c r="L72" s="3249"/>
      <c r="M72" s="3249"/>
      <c r="N72" s="3249"/>
      <c r="O72" s="3249"/>
      <c r="P72" s="3249"/>
      <c r="Q72" s="69"/>
      <c r="R72" s="69"/>
      <c r="S72" s="65"/>
      <c r="T72" s="66"/>
    </row>
    <row r="73" spans="2:20">
      <c r="B73" s="64"/>
      <c r="C73" s="65"/>
      <c r="D73" s="3235" t="s">
        <v>1474</v>
      </c>
      <c r="E73" s="3235"/>
      <c r="F73" s="3235"/>
      <c r="G73" s="3236"/>
      <c r="H73" s="3237"/>
      <c r="I73" s="3238"/>
      <c r="J73" s="3238"/>
      <c r="K73" s="3238"/>
      <c r="L73" s="3238"/>
      <c r="M73" s="3238"/>
      <c r="N73" s="3238"/>
      <c r="O73" s="3238"/>
      <c r="P73" s="3238"/>
      <c r="Q73" s="3239"/>
      <c r="R73" s="69"/>
      <c r="S73" s="65"/>
      <c r="T73" s="66"/>
    </row>
    <row r="74" spans="2:20">
      <c r="B74" s="64"/>
      <c r="C74" s="65"/>
      <c r="D74" s="65"/>
      <c r="E74" s="65"/>
      <c r="F74" s="65"/>
      <c r="G74" s="65"/>
      <c r="H74" s="3240"/>
      <c r="I74" s="3241"/>
      <c r="J74" s="3241"/>
      <c r="K74" s="3241"/>
      <c r="L74" s="3241"/>
      <c r="M74" s="3241"/>
      <c r="N74" s="3241"/>
      <c r="O74" s="3241"/>
      <c r="P74" s="3241"/>
      <c r="Q74" s="3242"/>
      <c r="R74" s="65"/>
      <c r="S74" s="65"/>
      <c r="T74" s="66"/>
    </row>
    <row r="75" spans="2:20">
      <c r="B75" s="64"/>
      <c r="C75" s="65"/>
      <c r="D75" s="65"/>
      <c r="E75" s="65"/>
      <c r="F75" s="65"/>
      <c r="G75" s="65"/>
      <c r="H75" s="3243"/>
      <c r="I75" s="3244"/>
      <c r="J75" s="3244"/>
      <c r="K75" s="3244"/>
      <c r="L75" s="3244"/>
      <c r="M75" s="3244"/>
      <c r="N75" s="3244"/>
      <c r="O75" s="3244"/>
      <c r="P75" s="3244"/>
      <c r="Q75" s="3245"/>
      <c r="R75" s="65"/>
      <c r="S75" s="65"/>
      <c r="T75" s="66"/>
    </row>
    <row r="76" spans="2:20">
      <c r="B76" s="64"/>
      <c r="C76" s="65"/>
      <c r="D76" s="65"/>
      <c r="E76" s="65"/>
      <c r="F76" s="68"/>
      <c r="G76" s="68"/>
      <c r="H76" s="68"/>
      <c r="I76" s="68"/>
      <c r="J76" s="68"/>
      <c r="K76" s="68"/>
      <c r="L76" s="68"/>
      <c r="M76" s="68"/>
      <c r="N76" s="68"/>
      <c r="O76" s="68"/>
      <c r="P76" s="68"/>
      <c r="Q76" s="65"/>
      <c r="R76" s="65"/>
      <c r="S76" s="65"/>
      <c r="T76" s="66"/>
    </row>
    <row r="77" spans="2:20">
      <c r="B77" s="64"/>
      <c r="C77" s="65"/>
      <c r="D77" s="65"/>
      <c r="E77" s="3231" t="s">
        <v>1482</v>
      </c>
      <c r="F77" s="3246"/>
      <c r="G77" s="3246"/>
      <c r="H77" s="3246"/>
      <c r="I77" s="3246"/>
      <c r="J77" s="3246"/>
      <c r="K77" s="3246"/>
      <c r="L77" s="3246"/>
      <c r="M77" s="3246"/>
      <c r="N77" s="3246"/>
      <c r="O77" s="3246"/>
      <c r="P77" s="3246"/>
      <c r="Q77" s="65"/>
      <c r="R77" s="65"/>
      <c r="S77" s="65"/>
      <c r="T77" s="66"/>
    </row>
    <row r="78" spans="2:20">
      <c r="B78" s="64"/>
      <c r="C78" s="65"/>
      <c r="D78" s="65"/>
      <c r="E78" s="3246"/>
      <c r="F78" s="3246"/>
      <c r="G78" s="3246"/>
      <c r="H78" s="3246"/>
      <c r="I78" s="3246"/>
      <c r="J78" s="3246"/>
      <c r="K78" s="3246"/>
      <c r="L78" s="3246"/>
      <c r="M78" s="3246"/>
      <c r="N78" s="3246"/>
      <c r="O78" s="3246"/>
      <c r="P78" s="3246"/>
      <c r="Q78" s="65"/>
      <c r="R78" s="65"/>
      <c r="S78" s="65"/>
      <c r="T78" s="66"/>
    </row>
    <row r="79" spans="2:20">
      <c r="B79" s="64"/>
      <c r="C79" s="65"/>
      <c r="D79" s="65"/>
      <c r="E79" s="3246"/>
      <c r="F79" s="3246"/>
      <c r="G79" s="3246"/>
      <c r="H79" s="3246"/>
      <c r="I79" s="3246"/>
      <c r="J79" s="3246"/>
      <c r="K79" s="3246"/>
      <c r="L79" s="3246"/>
      <c r="M79" s="3246"/>
      <c r="N79" s="3246"/>
      <c r="O79" s="3246"/>
      <c r="P79" s="3246"/>
      <c r="Q79" s="65"/>
      <c r="R79" s="65"/>
      <c r="S79" s="65"/>
      <c r="T79" s="66"/>
    </row>
    <row r="80" spans="2:20">
      <c r="B80" s="64"/>
      <c r="C80" s="65"/>
      <c r="D80" s="65"/>
      <c r="E80" s="3246"/>
      <c r="F80" s="3246"/>
      <c r="G80" s="3246"/>
      <c r="H80" s="3246"/>
      <c r="I80" s="3246"/>
      <c r="J80" s="3246"/>
      <c r="K80" s="3246"/>
      <c r="L80" s="3246"/>
      <c r="M80" s="3246"/>
      <c r="N80" s="3246"/>
      <c r="O80" s="3246"/>
      <c r="P80" s="3246"/>
      <c r="Q80" s="65"/>
      <c r="R80" s="65"/>
      <c r="S80" s="65"/>
      <c r="T80" s="66"/>
    </row>
    <row r="81" spans="2:20" ht="15.5" customHeight="1">
      <c r="B81" s="64"/>
      <c r="C81" s="65"/>
      <c r="D81" s="65"/>
      <c r="E81" s="65"/>
      <c r="F81" s="3231" t="s">
        <v>1483</v>
      </c>
      <c r="G81" s="3231"/>
      <c r="H81" s="3231"/>
      <c r="I81" s="3231"/>
      <c r="J81" s="3231"/>
      <c r="K81" s="3231"/>
      <c r="L81" s="3231"/>
      <c r="M81" s="3231"/>
      <c r="N81" s="3231"/>
      <c r="O81" s="3231"/>
      <c r="P81" s="3231"/>
      <c r="Q81" s="65"/>
      <c r="R81" s="65"/>
      <c r="S81" s="65"/>
      <c r="T81" s="66"/>
    </row>
    <row r="82" spans="2:20" ht="19">
      <c r="B82" s="64"/>
      <c r="C82" s="65"/>
      <c r="D82" s="65"/>
      <c r="E82" s="65"/>
      <c r="F82" s="3231"/>
      <c r="G82" s="3231"/>
      <c r="H82" s="3231"/>
      <c r="I82" s="3231"/>
      <c r="J82" s="3231"/>
      <c r="K82" s="3231"/>
      <c r="L82" s="3231"/>
      <c r="M82" s="3231"/>
      <c r="N82" s="3231"/>
      <c r="O82" s="3231"/>
      <c r="P82" s="3231"/>
      <c r="Q82" s="65"/>
      <c r="R82" s="65"/>
      <c r="S82" s="1133"/>
      <c r="T82" s="66"/>
    </row>
    <row r="83" spans="2:20">
      <c r="B83" s="64"/>
      <c r="C83" s="65"/>
      <c r="D83" s="65"/>
      <c r="E83" s="65"/>
      <c r="F83" s="3231"/>
      <c r="G83" s="3231"/>
      <c r="H83" s="3231"/>
      <c r="I83" s="3231"/>
      <c r="J83" s="3231"/>
      <c r="K83" s="3231"/>
      <c r="L83" s="3231"/>
      <c r="M83" s="3231"/>
      <c r="N83" s="3231"/>
      <c r="O83" s="3231"/>
      <c r="P83" s="3231"/>
      <c r="Q83" s="65"/>
      <c r="R83" s="65"/>
      <c r="S83" s="65"/>
      <c r="T83" s="66"/>
    </row>
    <row r="84" spans="2:20">
      <c r="B84" s="64"/>
      <c r="C84" s="65"/>
      <c r="D84" s="65"/>
      <c r="E84" s="65"/>
      <c r="F84" s="3231" t="s">
        <v>1484</v>
      </c>
      <c r="G84" s="3231"/>
      <c r="H84" s="3231"/>
      <c r="I84" s="3231"/>
      <c r="J84" s="3231"/>
      <c r="K84" s="3231"/>
      <c r="L84" s="3231"/>
      <c r="M84" s="3231"/>
      <c r="N84" s="3231"/>
      <c r="O84" s="3231"/>
      <c r="P84" s="3231"/>
      <c r="Q84" s="65"/>
      <c r="R84" s="65"/>
      <c r="S84" s="65"/>
      <c r="T84" s="66"/>
    </row>
    <row r="85" spans="2:20" ht="19">
      <c r="B85" s="64"/>
      <c r="C85" s="65"/>
      <c r="D85" s="65"/>
      <c r="E85" s="65"/>
      <c r="F85" s="3231"/>
      <c r="G85" s="3231"/>
      <c r="H85" s="3231"/>
      <c r="I85" s="3231"/>
      <c r="J85" s="3231"/>
      <c r="K85" s="3231"/>
      <c r="L85" s="3231"/>
      <c r="M85" s="3231"/>
      <c r="N85" s="3231"/>
      <c r="O85" s="3231"/>
      <c r="P85" s="3231"/>
      <c r="Q85" s="65"/>
      <c r="R85" s="65"/>
      <c r="S85" s="1133"/>
      <c r="T85" s="66"/>
    </row>
    <row r="86" spans="2:20">
      <c r="B86" s="64"/>
      <c r="C86" s="65"/>
      <c r="D86" s="65"/>
      <c r="E86" s="65"/>
      <c r="F86" s="65"/>
      <c r="G86" s="65"/>
      <c r="H86" s="65"/>
      <c r="I86" s="65"/>
      <c r="J86" s="65"/>
      <c r="K86" s="65"/>
      <c r="L86" s="65"/>
      <c r="M86" s="65"/>
      <c r="N86" s="65"/>
      <c r="O86" s="65"/>
      <c r="P86" s="65"/>
      <c r="Q86" s="65"/>
      <c r="R86" s="65"/>
      <c r="S86" s="65"/>
      <c r="T86" s="66"/>
    </row>
    <row r="87" spans="2:20" ht="31.5" customHeight="1">
      <c r="B87" s="64"/>
      <c r="C87" s="1137"/>
      <c r="D87" s="680" t="s">
        <v>1333</v>
      </c>
      <c r="E87" s="3247" t="s">
        <v>1485</v>
      </c>
      <c r="F87" s="3247"/>
      <c r="G87" s="3247"/>
      <c r="H87" s="3247"/>
      <c r="I87" s="3247"/>
      <c r="J87" s="3247"/>
      <c r="K87" s="3247"/>
      <c r="L87" s="3247"/>
      <c r="M87" s="3247"/>
      <c r="N87" s="3247"/>
      <c r="O87" s="3247"/>
      <c r="P87" s="3247"/>
      <c r="Q87" s="3247"/>
      <c r="R87" s="3247"/>
      <c r="S87" s="3247"/>
      <c r="T87" s="3248"/>
    </row>
    <row r="88" spans="2:20" ht="53.25" customHeight="1">
      <c r="B88" s="64"/>
      <c r="C88" s="65"/>
      <c r="D88" s="65"/>
      <c r="E88" s="65"/>
      <c r="F88" s="3249" t="s">
        <v>1486</v>
      </c>
      <c r="G88" s="3249"/>
      <c r="H88" s="3249"/>
      <c r="I88" s="3249"/>
      <c r="J88" s="3249"/>
      <c r="K88" s="3249"/>
      <c r="L88" s="3249"/>
      <c r="M88" s="3249"/>
      <c r="N88" s="3249"/>
      <c r="O88" s="3249"/>
      <c r="P88" s="3249"/>
      <c r="Q88" s="65"/>
      <c r="R88" s="65"/>
      <c r="S88" s="65"/>
      <c r="T88" s="66"/>
    </row>
    <row r="89" spans="2:20" ht="93.75" customHeight="1">
      <c r="B89" s="64"/>
      <c r="C89" s="65"/>
      <c r="D89" s="65"/>
      <c r="E89" s="65"/>
      <c r="F89" s="3249"/>
      <c r="G89" s="3249"/>
      <c r="H89" s="3249"/>
      <c r="I89" s="3249"/>
      <c r="J89" s="3249"/>
      <c r="K89" s="3249"/>
      <c r="L89" s="3249"/>
      <c r="M89" s="3249"/>
      <c r="N89" s="3249"/>
      <c r="O89" s="3249"/>
      <c r="P89" s="3249"/>
      <c r="Q89" s="65"/>
      <c r="R89" s="65"/>
      <c r="S89" s="1133"/>
      <c r="T89" s="66"/>
    </row>
    <row r="90" spans="2:20">
      <c r="B90" s="64"/>
      <c r="C90" s="65"/>
      <c r="D90" s="65"/>
      <c r="E90" s="65"/>
      <c r="F90" s="65"/>
      <c r="G90" s="65"/>
      <c r="H90" s="65"/>
      <c r="I90" s="65"/>
      <c r="J90" s="65"/>
      <c r="K90" s="65"/>
      <c r="L90" s="65"/>
      <c r="M90" s="65"/>
      <c r="N90" s="65"/>
      <c r="O90" s="65"/>
      <c r="P90" s="65"/>
      <c r="Q90" s="65"/>
      <c r="R90" s="65"/>
      <c r="S90" s="65"/>
      <c r="T90" s="66"/>
    </row>
    <row r="91" spans="2:20" ht="40.5" customHeight="1">
      <c r="B91" s="64"/>
      <c r="C91" s="65"/>
      <c r="D91" s="3249" t="s">
        <v>1487</v>
      </c>
      <c r="E91" s="3249"/>
      <c r="F91" s="3249"/>
      <c r="G91" s="3249"/>
      <c r="H91" s="3249"/>
      <c r="I91" s="3249"/>
      <c r="J91" s="3249"/>
      <c r="K91" s="3249"/>
      <c r="L91" s="3249"/>
      <c r="M91" s="3249"/>
      <c r="N91" s="3249"/>
      <c r="O91" s="3249"/>
      <c r="P91" s="3249"/>
      <c r="Q91" s="3249"/>
      <c r="R91" s="3249"/>
      <c r="S91" s="65"/>
      <c r="T91" s="66"/>
    </row>
    <row r="92" spans="2:20">
      <c r="B92" s="64"/>
      <c r="C92" s="65"/>
      <c r="D92" s="3235" t="s">
        <v>1474</v>
      </c>
      <c r="E92" s="3235"/>
      <c r="F92" s="3235"/>
      <c r="G92" s="3236"/>
      <c r="H92" s="3237"/>
      <c r="I92" s="3238"/>
      <c r="J92" s="3238"/>
      <c r="K92" s="3238"/>
      <c r="L92" s="3238"/>
      <c r="M92" s="3238"/>
      <c r="N92" s="3238"/>
      <c r="O92" s="3238"/>
      <c r="P92" s="3238"/>
      <c r="Q92" s="3239"/>
      <c r="R92" s="69"/>
      <c r="S92" s="65"/>
      <c r="T92" s="66"/>
    </row>
    <row r="93" spans="2:20">
      <c r="B93" s="64"/>
      <c r="C93" s="65"/>
      <c r="D93" s="65"/>
      <c r="E93" s="65"/>
      <c r="F93" s="65"/>
      <c r="G93" s="65"/>
      <c r="H93" s="3240"/>
      <c r="I93" s="3241"/>
      <c r="J93" s="3241"/>
      <c r="K93" s="3241"/>
      <c r="L93" s="3241"/>
      <c r="M93" s="3241"/>
      <c r="N93" s="3241"/>
      <c r="O93" s="3241"/>
      <c r="P93" s="3241"/>
      <c r="Q93" s="3242"/>
      <c r="R93" s="65"/>
      <c r="S93" s="65"/>
      <c r="T93" s="66"/>
    </row>
    <row r="94" spans="2:20">
      <c r="B94" s="64"/>
      <c r="C94" s="65"/>
      <c r="D94" s="65"/>
      <c r="E94" s="65"/>
      <c r="F94" s="65"/>
      <c r="G94" s="65"/>
      <c r="H94" s="3243"/>
      <c r="I94" s="3244"/>
      <c r="J94" s="3244"/>
      <c r="K94" s="3244"/>
      <c r="L94" s="3244"/>
      <c r="M94" s="3244"/>
      <c r="N94" s="3244"/>
      <c r="O94" s="3244"/>
      <c r="P94" s="3244"/>
      <c r="Q94" s="3245"/>
      <c r="R94" s="65"/>
      <c r="S94" s="65"/>
      <c r="T94" s="66"/>
    </row>
    <row r="95" spans="2:20">
      <c r="B95" s="64"/>
      <c r="C95" s="65"/>
      <c r="D95" s="65"/>
      <c r="E95" s="65"/>
      <c r="F95" s="65"/>
      <c r="G95" s="65"/>
      <c r="H95" s="65"/>
      <c r="I95" s="65"/>
      <c r="J95" s="65"/>
      <c r="K95" s="65"/>
      <c r="L95" s="65"/>
      <c r="M95" s="65"/>
      <c r="N95" s="65"/>
      <c r="O95" s="65"/>
      <c r="P95" s="65"/>
      <c r="Q95" s="65"/>
      <c r="R95" s="65"/>
      <c r="S95" s="65"/>
      <c r="T95" s="66"/>
    </row>
    <row r="96" spans="2:20">
      <c r="B96" s="64"/>
      <c r="C96" s="65"/>
      <c r="D96" s="65"/>
      <c r="E96" s="3231" t="s">
        <v>1482</v>
      </c>
      <c r="F96" s="3246"/>
      <c r="G96" s="3246"/>
      <c r="H96" s="3246"/>
      <c r="I96" s="3246"/>
      <c r="J96" s="3246"/>
      <c r="K96" s="3246"/>
      <c r="L96" s="3246"/>
      <c r="M96" s="3246"/>
      <c r="N96" s="3246"/>
      <c r="O96" s="3246"/>
      <c r="P96" s="3246"/>
      <c r="Q96" s="65"/>
      <c r="R96" s="65"/>
      <c r="S96" s="65"/>
      <c r="T96" s="66"/>
    </row>
    <row r="97" spans="2:20">
      <c r="B97" s="64"/>
      <c r="C97" s="65"/>
      <c r="D97" s="65"/>
      <c r="E97" s="3246"/>
      <c r="F97" s="3246"/>
      <c r="G97" s="3246"/>
      <c r="H97" s="3246"/>
      <c r="I97" s="3246"/>
      <c r="J97" s="3246"/>
      <c r="K97" s="3246"/>
      <c r="L97" s="3246"/>
      <c r="M97" s="3246"/>
      <c r="N97" s="3246"/>
      <c r="O97" s="3246"/>
      <c r="P97" s="3246"/>
      <c r="Q97" s="65"/>
      <c r="R97" s="65"/>
      <c r="S97" s="65"/>
      <c r="T97" s="66"/>
    </row>
    <row r="98" spans="2:20">
      <c r="B98" s="64"/>
      <c r="C98" s="65"/>
      <c r="D98" s="65"/>
      <c r="E98" s="3246"/>
      <c r="F98" s="3246"/>
      <c r="G98" s="3246"/>
      <c r="H98" s="3246"/>
      <c r="I98" s="3246"/>
      <c r="J98" s="3246"/>
      <c r="K98" s="3246"/>
      <c r="L98" s="3246"/>
      <c r="M98" s="3246"/>
      <c r="N98" s="3246"/>
      <c r="O98" s="3246"/>
      <c r="P98" s="3246"/>
      <c r="Q98" s="65"/>
      <c r="R98" s="65"/>
      <c r="S98" s="65"/>
      <c r="T98" s="66"/>
    </row>
    <row r="99" spans="2:20">
      <c r="B99" s="64"/>
      <c r="C99" s="65"/>
      <c r="D99" s="65"/>
      <c r="E99" s="3246"/>
      <c r="F99" s="3246"/>
      <c r="G99" s="3246"/>
      <c r="H99" s="3246"/>
      <c r="I99" s="3246"/>
      <c r="J99" s="3246"/>
      <c r="K99" s="3246"/>
      <c r="L99" s="3246"/>
      <c r="M99" s="3246"/>
      <c r="N99" s="3246"/>
      <c r="O99" s="3246"/>
      <c r="P99" s="3246"/>
      <c r="Q99" s="65"/>
      <c r="R99" s="65"/>
      <c r="S99" s="65"/>
      <c r="T99" s="66"/>
    </row>
    <row r="100" spans="2:20" ht="15.5" customHeight="1">
      <c r="B100" s="64"/>
      <c r="C100" s="65"/>
      <c r="D100" s="65"/>
      <c r="E100" s="65"/>
      <c r="F100" s="3231" t="s">
        <v>1483</v>
      </c>
      <c r="G100" s="3231"/>
      <c r="H100" s="3231"/>
      <c r="I100" s="3231"/>
      <c r="J100" s="3231"/>
      <c r="K100" s="3231"/>
      <c r="L100" s="3231"/>
      <c r="M100" s="3231"/>
      <c r="N100" s="3231"/>
      <c r="O100" s="3231"/>
      <c r="P100" s="3231"/>
      <c r="Q100" s="65"/>
      <c r="R100" s="65"/>
      <c r="S100" s="65"/>
      <c r="T100" s="66"/>
    </row>
    <row r="101" spans="2:20" ht="19">
      <c r="B101" s="64"/>
      <c r="C101" s="65"/>
      <c r="D101" s="65"/>
      <c r="E101" s="65"/>
      <c r="F101" s="3231"/>
      <c r="G101" s="3231"/>
      <c r="H101" s="3231"/>
      <c r="I101" s="3231"/>
      <c r="J101" s="3231"/>
      <c r="K101" s="3231"/>
      <c r="L101" s="3231"/>
      <c r="M101" s="3231"/>
      <c r="N101" s="3231"/>
      <c r="O101" s="3231"/>
      <c r="P101" s="3231"/>
      <c r="Q101" s="65"/>
      <c r="R101" s="65"/>
      <c r="S101" s="1133"/>
      <c r="T101" s="66"/>
    </row>
    <row r="102" spans="2:20">
      <c r="B102" s="64"/>
      <c r="C102" s="65"/>
      <c r="D102" s="65"/>
      <c r="E102" s="65"/>
      <c r="F102" s="3231"/>
      <c r="G102" s="3231"/>
      <c r="H102" s="3231"/>
      <c r="I102" s="3231"/>
      <c r="J102" s="3231"/>
      <c r="K102" s="3231"/>
      <c r="L102" s="3231"/>
      <c r="M102" s="3231"/>
      <c r="N102" s="3231"/>
      <c r="O102" s="3231"/>
      <c r="P102" s="3231"/>
      <c r="Q102" s="65"/>
      <c r="R102" s="65"/>
      <c r="S102" s="65"/>
      <c r="T102" s="66"/>
    </row>
    <row r="103" spans="2:20">
      <c r="B103" s="64"/>
      <c r="C103" s="65"/>
      <c r="D103" s="65"/>
      <c r="E103" s="65"/>
      <c r="F103" s="3231" t="s">
        <v>1484</v>
      </c>
      <c r="G103" s="3231"/>
      <c r="H103" s="3231"/>
      <c r="I103" s="3231"/>
      <c r="J103" s="3231"/>
      <c r="K103" s="3231"/>
      <c r="L103" s="3231"/>
      <c r="M103" s="3231"/>
      <c r="N103" s="3231"/>
      <c r="O103" s="3231"/>
      <c r="P103" s="3231"/>
      <c r="Q103" s="65"/>
      <c r="R103" s="65"/>
      <c r="S103" s="65"/>
      <c r="T103" s="66"/>
    </row>
    <row r="104" spans="2:20" ht="19">
      <c r="B104" s="64"/>
      <c r="C104" s="65"/>
      <c r="D104" s="65"/>
      <c r="E104" s="65"/>
      <c r="F104" s="3231"/>
      <c r="G104" s="3231"/>
      <c r="H104" s="3231"/>
      <c r="I104" s="3231"/>
      <c r="J104" s="3231"/>
      <c r="K104" s="3231"/>
      <c r="L104" s="3231"/>
      <c r="M104" s="3231"/>
      <c r="N104" s="3231"/>
      <c r="O104" s="3231"/>
      <c r="P104" s="3231"/>
      <c r="Q104" s="65"/>
      <c r="R104" s="65"/>
      <c r="S104" s="1133"/>
      <c r="T104" s="66"/>
    </row>
    <row r="105" spans="2:20">
      <c r="B105" s="64"/>
      <c r="C105" s="65"/>
      <c r="D105" s="65"/>
      <c r="E105" s="65"/>
      <c r="F105" s="65"/>
      <c r="G105" s="65"/>
      <c r="H105" s="65"/>
      <c r="I105" s="65"/>
      <c r="J105" s="65"/>
      <c r="K105" s="65"/>
      <c r="L105" s="65"/>
      <c r="M105" s="65"/>
      <c r="N105" s="65"/>
      <c r="O105" s="65"/>
      <c r="P105" s="65"/>
      <c r="Q105" s="65"/>
      <c r="R105" s="65"/>
      <c r="S105" s="65"/>
      <c r="T105" s="66"/>
    </row>
    <row r="106" spans="2:20">
      <c r="B106" s="64"/>
      <c r="C106" s="65"/>
      <c r="D106" s="3139" t="s">
        <v>1488</v>
      </c>
      <c r="E106" s="3139"/>
      <c r="F106" s="3139"/>
      <c r="G106" s="3139"/>
      <c r="H106" s="3139"/>
      <c r="I106" s="3140"/>
      <c r="J106" s="3141"/>
      <c r="K106" s="65"/>
      <c r="L106" s="65"/>
      <c r="M106" s="65"/>
      <c r="N106" s="65"/>
      <c r="O106" s="65"/>
      <c r="P106" s="65"/>
      <c r="Q106" s="65"/>
      <c r="R106" s="65"/>
      <c r="S106" s="65"/>
      <c r="T106" s="66"/>
    </row>
    <row r="107" spans="2:20">
      <c r="B107" s="64"/>
      <c r="C107" s="65"/>
      <c r="D107" s="3139" t="s">
        <v>1361</v>
      </c>
      <c r="E107" s="3139"/>
      <c r="F107" s="3142"/>
      <c r="G107" s="3142"/>
      <c r="H107" s="3142"/>
      <c r="I107" s="3142"/>
      <c r="J107" s="3142"/>
      <c r="K107" s="65"/>
      <c r="L107" s="65"/>
      <c r="M107" s="65"/>
      <c r="N107" s="65"/>
      <c r="O107" s="65"/>
      <c r="P107" s="65"/>
      <c r="Q107" s="65"/>
      <c r="R107" s="65"/>
      <c r="S107" s="65"/>
      <c r="T107" s="66"/>
    </row>
    <row r="108" spans="2:20" ht="17" thickBot="1">
      <c r="B108" s="70"/>
      <c r="C108" s="71"/>
      <c r="D108" s="71"/>
      <c r="E108" s="71"/>
      <c r="F108" s="71"/>
      <c r="G108" s="71"/>
      <c r="H108" s="71"/>
      <c r="I108" s="71"/>
      <c r="J108" s="71"/>
      <c r="K108" s="71"/>
      <c r="L108" s="71"/>
      <c r="M108" s="71"/>
      <c r="N108" s="71"/>
      <c r="O108" s="71"/>
      <c r="P108" s="71"/>
      <c r="Q108" s="71"/>
      <c r="R108" s="71"/>
      <c r="S108" s="71"/>
      <c r="T108" s="72"/>
    </row>
    <row r="109" spans="2:20">
      <c r="B109" s="3232" t="s">
        <v>1489</v>
      </c>
      <c r="C109" s="3233"/>
      <c r="D109" s="3233"/>
      <c r="E109" s="3233"/>
      <c r="F109" s="3233"/>
      <c r="G109" s="3233"/>
      <c r="H109" s="3233"/>
      <c r="I109" s="3233"/>
      <c r="J109" s="3233"/>
      <c r="K109" s="3233"/>
      <c r="L109" s="3233"/>
      <c r="M109" s="3233"/>
      <c r="N109" s="3233"/>
      <c r="O109" s="3233"/>
      <c r="P109" s="3233"/>
      <c r="Q109" s="3233"/>
      <c r="R109" s="3233"/>
      <c r="S109" s="3233"/>
      <c r="T109" s="3234"/>
    </row>
    <row r="110" spans="2:20">
      <c r="B110" s="64"/>
      <c r="C110" s="65"/>
      <c r="D110" s="65"/>
      <c r="E110" s="65"/>
      <c r="F110" s="3227" t="s">
        <v>1490</v>
      </c>
      <c r="G110" s="3227"/>
      <c r="H110" s="3227"/>
      <c r="I110" s="3227"/>
      <c r="J110" s="3227"/>
      <c r="K110" s="3227"/>
      <c r="L110" s="3227"/>
      <c r="M110" s="3227"/>
      <c r="N110" s="3227"/>
      <c r="O110" s="3227"/>
      <c r="P110" s="3227"/>
      <c r="Q110" s="3227"/>
      <c r="R110" s="65"/>
      <c r="S110" s="65"/>
      <c r="T110" s="66"/>
    </row>
    <row r="111" spans="2:20">
      <c r="B111" s="64"/>
      <c r="C111" s="65"/>
      <c r="D111" s="65"/>
      <c r="E111" s="65"/>
      <c r="F111" s="3228" t="s">
        <v>1491</v>
      </c>
      <c r="G111" s="3228"/>
      <c r="H111" s="3228"/>
      <c r="I111" s="3228"/>
      <c r="J111" s="3228"/>
      <c r="K111" s="65"/>
      <c r="L111" s="65"/>
      <c r="M111" s="3228" t="s">
        <v>1492</v>
      </c>
      <c r="N111" s="3228"/>
      <c r="O111" s="3228"/>
      <c r="P111" s="3228"/>
      <c r="Q111" s="3228"/>
      <c r="R111" s="65"/>
      <c r="S111" s="65"/>
      <c r="T111" s="66"/>
    </row>
    <row r="112" spans="2:20">
      <c r="B112" s="64"/>
      <c r="C112" s="65"/>
      <c r="D112" s="65"/>
      <c r="E112" s="65"/>
      <c r="F112" s="73" t="s">
        <v>1493</v>
      </c>
      <c r="G112" s="3226"/>
      <c r="H112" s="3226"/>
      <c r="I112" s="3226"/>
      <c r="J112" s="3226"/>
      <c r="K112" s="65"/>
      <c r="L112" s="65"/>
      <c r="M112" s="73" t="s">
        <v>1493</v>
      </c>
      <c r="N112" s="3226"/>
      <c r="O112" s="3226"/>
      <c r="P112" s="3226"/>
      <c r="Q112" s="3226"/>
      <c r="R112" s="65"/>
      <c r="S112" s="65"/>
      <c r="T112" s="66"/>
    </row>
    <row r="113" spans="2:20">
      <c r="B113" s="64"/>
      <c r="C113" s="65"/>
      <c r="D113" s="65"/>
      <c r="E113" s="65"/>
      <c r="F113" s="74" t="s">
        <v>1494</v>
      </c>
      <c r="G113" s="3226"/>
      <c r="H113" s="3226"/>
      <c r="I113" s="75" t="s">
        <v>130</v>
      </c>
      <c r="J113" s="1318"/>
      <c r="K113" s="65"/>
      <c r="L113" s="65"/>
      <c r="M113" s="74" t="s">
        <v>1494</v>
      </c>
      <c r="N113" s="3229"/>
      <c r="O113" s="3230"/>
      <c r="P113" s="75" t="s">
        <v>130</v>
      </c>
      <c r="Q113" s="76"/>
      <c r="R113" s="65"/>
      <c r="S113" s="65"/>
      <c r="T113" s="66"/>
    </row>
    <row r="114" spans="2:20">
      <c r="B114" s="64"/>
      <c r="C114" s="65"/>
      <c r="D114" s="65"/>
      <c r="E114" s="65"/>
      <c r="F114" s="74" t="s">
        <v>1494</v>
      </c>
      <c r="G114" s="3226"/>
      <c r="H114" s="3226"/>
      <c r="I114" s="75" t="s">
        <v>130</v>
      </c>
      <c r="J114" s="1318"/>
      <c r="K114" s="65"/>
      <c r="L114" s="65"/>
      <c r="M114" s="74" t="s">
        <v>1494</v>
      </c>
      <c r="N114" s="3229"/>
      <c r="O114" s="3230"/>
      <c r="P114" s="75" t="s">
        <v>130</v>
      </c>
      <c r="Q114" s="76"/>
      <c r="R114" s="65"/>
      <c r="S114" s="65"/>
      <c r="T114" s="66"/>
    </row>
    <row r="115" spans="2:20">
      <c r="B115" s="64"/>
      <c r="C115" s="65"/>
      <c r="D115" s="65"/>
      <c r="E115" s="65"/>
      <c r="F115" s="74" t="s">
        <v>1494</v>
      </c>
      <c r="G115" s="3226"/>
      <c r="H115" s="3226"/>
      <c r="I115" s="75" t="s">
        <v>130</v>
      </c>
      <c r="J115" s="1318"/>
      <c r="K115" s="65"/>
      <c r="L115" s="65"/>
      <c r="M115" s="74" t="s">
        <v>1494</v>
      </c>
      <c r="N115" s="3229"/>
      <c r="O115" s="3230"/>
      <c r="P115" s="75" t="s">
        <v>130</v>
      </c>
      <c r="Q115" s="76"/>
      <c r="R115" s="65"/>
      <c r="S115" s="65"/>
      <c r="T115" s="66"/>
    </row>
    <row r="116" spans="2:20">
      <c r="B116" s="64"/>
      <c r="C116" s="65"/>
      <c r="D116" s="65"/>
      <c r="E116" s="65"/>
      <c r="F116" s="74" t="s">
        <v>1494</v>
      </c>
      <c r="G116" s="3226"/>
      <c r="H116" s="3226"/>
      <c r="I116" s="75" t="s">
        <v>130</v>
      </c>
      <c r="J116" s="1318"/>
      <c r="K116" s="65"/>
      <c r="L116" s="65"/>
      <c r="M116" s="74" t="s">
        <v>1494</v>
      </c>
      <c r="N116" s="3225"/>
      <c r="O116" s="3225"/>
      <c r="P116" s="75" t="s">
        <v>130</v>
      </c>
      <c r="Q116" s="76"/>
      <c r="R116" s="65"/>
      <c r="S116" s="65"/>
      <c r="T116" s="66"/>
    </row>
    <row r="117" spans="2:20">
      <c r="B117" s="64"/>
      <c r="C117" s="65"/>
      <c r="D117" s="65"/>
      <c r="E117" s="65"/>
      <c r="F117" s="74" t="s">
        <v>1494</v>
      </c>
      <c r="G117" s="3226"/>
      <c r="H117" s="3226"/>
      <c r="I117" s="75" t="s">
        <v>130</v>
      </c>
      <c r="J117" s="1318"/>
      <c r="K117" s="65"/>
      <c r="L117" s="65"/>
      <c r="M117" s="74" t="s">
        <v>1494</v>
      </c>
      <c r="N117" s="3225"/>
      <c r="O117" s="3225"/>
      <c r="P117" s="75" t="s">
        <v>130</v>
      </c>
      <c r="Q117" s="76"/>
      <c r="R117" s="65"/>
      <c r="S117" s="65"/>
      <c r="T117" s="66"/>
    </row>
    <row r="118" spans="2:20">
      <c r="B118" s="64"/>
      <c r="C118" s="65"/>
      <c r="D118" s="65"/>
      <c r="E118" s="65"/>
      <c r="F118" s="74" t="s">
        <v>1494</v>
      </c>
      <c r="G118" s="3226"/>
      <c r="H118" s="3226"/>
      <c r="I118" s="75" t="s">
        <v>130</v>
      </c>
      <c r="J118" s="1318"/>
      <c r="K118" s="65"/>
      <c r="L118" s="65"/>
      <c r="M118" s="74" t="s">
        <v>1494</v>
      </c>
      <c r="N118" s="3225"/>
      <c r="O118" s="3225"/>
      <c r="P118" s="75" t="s">
        <v>130</v>
      </c>
      <c r="Q118" s="76"/>
      <c r="R118" s="65"/>
      <c r="S118" s="65"/>
      <c r="T118" s="66"/>
    </row>
    <row r="119" spans="2:20">
      <c r="B119" s="64"/>
      <c r="C119" s="65"/>
      <c r="D119" s="65"/>
      <c r="E119" s="65"/>
      <c r="F119" s="74" t="s">
        <v>1494</v>
      </c>
      <c r="G119" s="3226"/>
      <c r="H119" s="3226"/>
      <c r="I119" s="75" t="s">
        <v>130</v>
      </c>
      <c r="J119" s="1318"/>
      <c r="K119" s="65"/>
      <c r="L119" s="65"/>
      <c r="M119" s="74" t="s">
        <v>1494</v>
      </c>
      <c r="N119" s="3225"/>
      <c r="O119" s="3225"/>
      <c r="P119" s="75" t="s">
        <v>130</v>
      </c>
      <c r="Q119" s="76"/>
      <c r="R119" s="65"/>
      <c r="S119" s="65"/>
      <c r="T119" s="66"/>
    </row>
    <row r="120" spans="2:20">
      <c r="B120" s="64"/>
      <c r="C120" s="65"/>
      <c r="D120" s="65"/>
      <c r="E120" s="65"/>
      <c r="F120" s="74" t="s">
        <v>1494</v>
      </c>
      <c r="G120" s="3226"/>
      <c r="H120" s="3226"/>
      <c r="I120" s="75" t="s">
        <v>130</v>
      </c>
      <c r="J120" s="1318"/>
      <c r="K120" s="65"/>
      <c r="L120" s="65"/>
      <c r="M120" s="74" t="s">
        <v>1494</v>
      </c>
      <c r="N120" s="3225"/>
      <c r="O120" s="3225"/>
      <c r="P120" s="75" t="s">
        <v>130</v>
      </c>
      <c r="Q120" s="76"/>
      <c r="R120" s="65"/>
      <c r="S120" s="65"/>
      <c r="T120" s="66"/>
    </row>
    <row r="121" spans="2:20">
      <c r="B121" s="64"/>
      <c r="C121" s="65"/>
      <c r="D121" s="65"/>
      <c r="E121" s="65"/>
      <c r="F121" s="65"/>
      <c r="G121" s="65"/>
      <c r="H121" s="65"/>
      <c r="I121" s="65" t="s">
        <v>104</v>
      </c>
      <c r="J121" s="77">
        <f>SUM(J113:J120)</f>
        <v>0</v>
      </c>
      <c r="K121" s="65"/>
      <c r="L121" s="65"/>
      <c r="M121" s="65"/>
      <c r="N121" s="65"/>
      <c r="O121" s="65"/>
      <c r="P121" s="65" t="s">
        <v>104</v>
      </c>
      <c r="Q121" s="77">
        <f>SUM(Q113:Q120)</f>
        <v>0</v>
      </c>
      <c r="R121" s="65"/>
      <c r="S121" s="65"/>
      <c r="T121" s="66"/>
    </row>
    <row r="122" spans="2:20">
      <c r="B122" s="64"/>
      <c r="C122" s="65"/>
      <c r="D122" s="65"/>
      <c r="E122" s="65"/>
      <c r="F122" s="65"/>
      <c r="G122" s="65"/>
      <c r="H122" s="65"/>
      <c r="I122" s="65"/>
      <c r="J122" s="77"/>
      <c r="K122" s="65"/>
      <c r="L122" s="65"/>
      <c r="M122" s="65"/>
      <c r="N122" s="65"/>
      <c r="O122" s="65"/>
      <c r="P122" s="65"/>
      <c r="Q122" s="77"/>
      <c r="R122" s="65"/>
      <c r="S122" s="65"/>
      <c r="T122" s="66"/>
    </row>
    <row r="123" spans="2:20">
      <c r="B123" s="64"/>
      <c r="C123" s="65"/>
      <c r="D123" s="65"/>
      <c r="E123" s="65"/>
      <c r="F123" s="3227" t="s">
        <v>1495</v>
      </c>
      <c r="G123" s="3227"/>
      <c r="H123" s="3227"/>
      <c r="I123" s="3227"/>
      <c r="J123" s="3227"/>
      <c r="K123" s="3227"/>
      <c r="L123" s="3227"/>
      <c r="M123" s="3227"/>
      <c r="N123" s="3227"/>
      <c r="O123" s="3227"/>
      <c r="P123" s="3227"/>
      <c r="Q123" s="3227"/>
      <c r="R123" s="65"/>
      <c r="S123" s="65"/>
      <c r="T123" s="66"/>
    </row>
    <row r="124" spans="2:20">
      <c r="B124" s="64"/>
      <c r="C124" s="65"/>
      <c r="D124" s="65"/>
      <c r="E124" s="65"/>
      <c r="F124" s="3228" t="s">
        <v>1491</v>
      </c>
      <c r="G124" s="3228"/>
      <c r="H124" s="3228"/>
      <c r="I124" s="3228"/>
      <c r="J124" s="3228"/>
      <c r="K124" s="65"/>
      <c r="L124" s="65"/>
      <c r="M124" s="3228" t="s">
        <v>1492</v>
      </c>
      <c r="N124" s="3228"/>
      <c r="O124" s="3228"/>
      <c r="P124" s="3228"/>
      <c r="Q124" s="3228"/>
      <c r="R124" s="65"/>
      <c r="S124" s="65"/>
      <c r="T124" s="66"/>
    </row>
    <row r="125" spans="2:20">
      <c r="B125" s="64"/>
      <c r="C125" s="65"/>
      <c r="D125" s="65"/>
      <c r="E125" s="65"/>
      <c r="F125" s="73" t="s">
        <v>1493</v>
      </c>
      <c r="G125" s="3226"/>
      <c r="H125" s="3226"/>
      <c r="I125" s="3226"/>
      <c r="J125" s="3226"/>
      <c r="K125" s="65"/>
      <c r="L125" s="65"/>
      <c r="M125" s="73" t="s">
        <v>1493</v>
      </c>
      <c r="N125" s="3226"/>
      <c r="O125" s="3226"/>
      <c r="P125" s="3226"/>
      <c r="Q125" s="3226"/>
      <c r="R125" s="65"/>
      <c r="S125" s="65"/>
      <c r="T125" s="66"/>
    </row>
    <row r="126" spans="2:20">
      <c r="B126" s="64"/>
      <c r="C126" s="65"/>
      <c r="D126" s="65"/>
      <c r="E126" s="65"/>
      <c r="F126" s="74" t="s">
        <v>1494</v>
      </c>
      <c r="G126" s="3225"/>
      <c r="H126" s="3225"/>
      <c r="I126" s="75" t="s">
        <v>130</v>
      </c>
      <c r="J126" s="76"/>
      <c r="K126" s="65"/>
      <c r="L126" s="65"/>
      <c r="M126" s="74" t="s">
        <v>1494</v>
      </c>
      <c r="N126" s="3225"/>
      <c r="O126" s="3225"/>
      <c r="P126" s="75" t="s">
        <v>130</v>
      </c>
      <c r="Q126" s="76"/>
      <c r="R126" s="65"/>
      <c r="S126" s="65"/>
      <c r="T126" s="66"/>
    </row>
    <row r="127" spans="2:20">
      <c r="B127" s="64"/>
      <c r="C127" s="65"/>
      <c r="D127" s="65"/>
      <c r="E127" s="65"/>
      <c r="F127" s="74" t="s">
        <v>1494</v>
      </c>
      <c r="G127" s="3225"/>
      <c r="H127" s="3225"/>
      <c r="I127" s="75" t="s">
        <v>130</v>
      </c>
      <c r="J127" s="76"/>
      <c r="K127" s="65"/>
      <c r="L127" s="65"/>
      <c r="M127" s="74" t="s">
        <v>1494</v>
      </c>
      <c r="N127" s="3225"/>
      <c r="O127" s="3225"/>
      <c r="P127" s="75" t="s">
        <v>130</v>
      </c>
      <c r="Q127" s="76"/>
      <c r="R127" s="65"/>
      <c r="S127" s="65"/>
      <c r="T127" s="66"/>
    </row>
    <row r="128" spans="2:20">
      <c r="B128" s="64"/>
      <c r="C128" s="65"/>
      <c r="D128" s="65"/>
      <c r="E128" s="65"/>
      <c r="F128" s="74" t="s">
        <v>1494</v>
      </c>
      <c r="G128" s="3225"/>
      <c r="H128" s="3225"/>
      <c r="I128" s="75" t="s">
        <v>130</v>
      </c>
      <c r="J128" s="76"/>
      <c r="K128" s="65"/>
      <c r="L128" s="65"/>
      <c r="M128" s="74" t="s">
        <v>1494</v>
      </c>
      <c r="N128" s="3225"/>
      <c r="O128" s="3225"/>
      <c r="P128" s="75" t="s">
        <v>130</v>
      </c>
      <c r="Q128" s="76"/>
      <c r="R128" s="65"/>
      <c r="S128" s="65"/>
      <c r="T128" s="66"/>
    </row>
    <row r="129" spans="2:20">
      <c r="B129" s="64"/>
      <c r="C129" s="65"/>
      <c r="D129" s="65"/>
      <c r="E129" s="65"/>
      <c r="F129" s="74" t="s">
        <v>1494</v>
      </c>
      <c r="G129" s="3225"/>
      <c r="H129" s="3225"/>
      <c r="I129" s="75" t="s">
        <v>130</v>
      </c>
      <c r="J129" s="76"/>
      <c r="K129" s="65"/>
      <c r="L129" s="65"/>
      <c r="M129" s="74" t="s">
        <v>1494</v>
      </c>
      <c r="N129" s="3225"/>
      <c r="O129" s="3225"/>
      <c r="P129" s="75" t="s">
        <v>130</v>
      </c>
      <c r="Q129" s="76"/>
      <c r="R129" s="65"/>
      <c r="S129" s="65"/>
      <c r="T129" s="66"/>
    </row>
    <row r="130" spans="2:20">
      <c r="B130" s="64"/>
      <c r="C130" s="65"/>
      <c r="D130" s="65"/>
      <c r="E130" s="65"/>
      <c r="F130" s="74" t="s">
        <v>1494</v>
      </c>
      <c r="G130" s="3225"/>
      <c r="H130" s="3225"/>
      <c r="I130" s="75" t="s">
        <v>130</v>
      </c>
      <c r="J130" s="76"/>
      <c r="K130" s="65"/>
      <c r="L130" s="65"/>
      <c r="M130" s="74" t="s">
        <v>1494</v>
      </c>
      <c r="N130" s="3225"/>
      <c r="O130" s="3225"/>
      <c r="P130" s="75" t="s">
        <v>130</v>
      </c>
      <c r="Q130" s="76"/>
      <c r="R130" s="65"/>
      <c r="S130" s="65"/>
      <c r="T130" s="66"/>
    </row>
    <row r="131" spans="2:20">
      <c r="B131" s="64"/>
      <c r="C131" s="65"/>
      <c r="D131" s="65"/>
      <c r="E131" s="65"/>
      <c r="F131" s="74" t="s">
        <v>1494</v>
      </c>
      <c r="G131" s="3225"/>
      <c r="H131" s="3225"/>
      <c r="I131" s="75" t="s">
        <v>130</v>
      </c>
      <c r="J131" s="76"/>
      <c r="K131" s="65"/>
      <c r="L131" s="65"/>
      <c r="M131" s="74" t="s">
        <v>1494</v>
      </c>
      <c r="N131" s="3225"/>
      <c r="O131" s="3225"/>
      <c r="P131" s="75" t="s">
        <v>130</v>
      </c>
      <c r="Q131" s="76"/>
      <c r="R131" s="65"/>
      <c r="S131" s="65"/>
      <c r="T131" s="66"/>
    </row>
    <row r="132" spans="2:20">
      <c r="B132" s="64"/>
      <c r="C132" s="65"/>
      <c r="D132" s="65"/>
      <c r="E132" s="65"/>
      <c r="F132" s="74" t="s">
        <v>1494</v>
      </c>
      <c r="G132" s="3225"/>
      <c r="H132" s="3225"/>
      <c r="I132" s="75" t="s">
        <v>130</v>
      </c>
      <c r="J132" s="76"/>
      <c r="K132" s="65"/>
      <c r="L132" s="65"/>
      <c r="M132" s="74" t="s">
        <v>1494</v>
      </c>
      <c r="N132" s="3225"/>
      <c r="O132" s="3225"/>
      <c r="P132" s="75" t="s">
        <v>130</v>
      </c>
      <c r="Q132" s="76"/>
      <c r="R132" s="65"/>
      <c r="S132" s="65"/>
      <c r="T132" s="66"/>
    </row>
    <row r="133" spans="2:20">
      <c r="B133" s="64"/>
      <c r="C133" s="65"/>
      <c r="D133" s="65"/>
      <c r="E133" s="65"/>
      <c r="F133" s="74" t="s">
        <v>1494</v>
      </c>
      <c r="G133" s="3225"/>
      <c r="H133" s="3225"/>
      <c r="I133" s="75" t="s">
        <v>130</v>
      </c>
      <c r="J133" s="76"/>
      <c r="K133" s="65"/>
      <c r="L133" s="65"/>
      <c r="M133" s="74" t="s">
        <v>1494</v>
      </c>
      <c r="N133" s="3225"/>
      <c r="O133" s="3225"/>
      <c r="P133" s="75" t="s">
        <v>130</v>
      </c>
      <c r="Q133" s="76"/>
      <c r="R133" s="65"/>
      <c r="S133" s="65"/>
      <c r="T133" s="66"/>
    </row>
    <row r="134" spans="2:20">
      <c r="B134" s="64"/>
      <c r="C134" s="65"/>
      <c r="D134" s="65"/>
      <c r="E134" s="65"/>
      <c r="F134" s="65"/>
      <c r="G134" s="65"/>
      <c r="H134" s="65"/>
      <c r="I134" s="65" t="s">
        <v>104</v>
      </c>
      <c r="J134" s="77">
        <f>SUM(J126:J133)</f>
        <v>0</v>
      </c>
      <c r="K134" s="65"/>
      <c r="L134" s="65"/>
      <c r="M134" s="65"/>
      <c r="N134" s="65"/>
      <c r="O134" s="65"/>
      <c r="P134" s="65" t="s">
        <v>104</v>
      </c>
      <c r="Q134" s="77">
        <f>SUM(Q126:Q133)</f>
        <v>0</v>
      </c>
      <c r="R134" s="65"/>
      <c r="S134" s="65"/>
      <c r="T134" s="66"/>
    </row>
    <row r="135" spans="2:20">
      <c r="B135" s="64"/>
      <c r="C135" s="65"/>
      <c r="D135" s="65"/>
      <c r="E135" s="65"/>
      <c r="F135" s="65"/>
      <c r="G135" s="65"/>
      <c r="H135" s="65"/>
      <c r="I135" s="65"/>
      <c r="J135" s="77"/>
      <c r="K135" s="65"/>
      <c r="L135" s="65"/>
      <c r="M135" s="65"/>
      <c r="N135" s="65"/>
      <c r="O135" s="65"/>
      <c r="P135" s="65"/>
      <c r="Q135" s="77"/>
      <c r="R135" s="65"/>
      <c r="S135" s="65"/>
      <c r="T135" s="66"/>
    </row>
    <row r="136" spans="2:20">
      <c r="B136" s="64"/>
      <c r="C136" s="65"/>
      <c r="D136" s="65"/>
      <c r="E136" s="65"/>
      <c r="F136" s="65"/>
      <c r="G136" s="65"/>
      <c r="H136" s="65"/>
      <c r="I136" s="65"/>
      <c r="J136" s="65"/>
      <c r="K136" s="65"/>
      <c r="L136" s="65"/>
      <c r="M136" s="65"/>
      <c r="N136" s="65"/>
      <c r="O136" s="65"/>
      <c r="P136" s="65"/>
      <c r="Q136" s="65"/>
      <c r="R136" s="65"/>
      <c r="S136" s="65"/>
      <c r="T136" s="66"/>
    </row>
    <row r="137" spans="2:20" ht="17" thickBot="1">
      <c r="B137" s="70"/>
      <c r="C137" s="71"/>
      <c r="D137" s="71"/>
      <c r="E137" s="71"/>
      <c r="F137" s="71"/>
      <c r="G137" s="71"/>
      <c r="H137" s="71"/>
      <c r="I137" s="71"/>
      <c r="J137" s="71"/>
      <c r="K137" s="71"/>
      <c r="L137" s="71"/>
      <c r="M137" s="71"/>
      <c r="N137" s="71"/>
      <c r="O137" s="71"/>
      <c r="P137" s="71"/>
      <c r="Q137" s="71"/>
      <c r="R137" s="71"/>
      <c r="S137" s="71"/>
      <c r="T137" s="72"/>
    </row>
  </sheetData>
  <sheetProtection algorithmName="SHA-512" hashValue="WYn5b3cpWe4lJwFUlRUIcV7Aka1lnorrqJBXsW9m43wIXy3t48LquCYwTAXglT3q2Nj4wC9cWCWTVldBvIiXMQ==" saltValue="Dy7GL8gig/i33gPxQBkc2Q==" spinCount="100000" sheet="1" scenarios="1" formatCells="0" formatColumns="0" formatRows="0"/>
  <mergeCells count="92">
    <mergeCell ref="B2:T2"/>
    <mergeCell ref="B3:T5"/>
    <mergeCell ref="C7:P7"/>
    <mergeCell ref="C9:P9"/>
    <mergeCell ref="C16:D16"/>
    <mergeCell ref="C11:P11"/>
    <mergeCell ref="C13:P13"/>
    <mergeCell ref="F45:P45"/>
    <mergeCell ref="E17:Q18"/>
    <mergeCell ref="E20:Q22"/>
    <mergeCell ref="D24:F24"/>
    <mergeCell ref="D25:R28"/>
    <mergeCell ref="D31:Q31"/>
    <mergeCell ref="B38:O38"/>
    <mergeCell ref="E40:T40"/>
    <mergeCell ref="F41:Q41"/>
    <mergeCell ref="F42:P42"/>
    <mergeCell ref="F44:P44"/>
    <mergeCell ref="Q44:R44"/>
    <mergeCell ref="F43:P43"/>
    <mergeCell ref="D70:P72"/>
    <mergeCell ref="F46:P46"/>
    <mergeCell ref="F49:P49"/>
    <mergeCell ref="D50:P52"/>
    <mergeCell ref="D53:G53"/>
    <mergeCell ref="H53:Q55"/>
    <mergeCell ref="E57:P57"/>
    <mergeCell ref="F58:P60"/>
    <mergeCell ref="F61:P62"/>
    <mergeCell ref="E64:T64"/>
    <mergeCell ref="F65:P66"/>
    <mergeCell ref="F68:P68"/>
    <mergeCell ref="F100:P102"/>
    <mergeCell ref="D73:G73"/>
    <mergeCell ref="H73:Q75"/>
    <mergeCell ref="E77:P80"/>
    <mergeCell ref="F81:P83"/>
    <mergeCell ref="F84:P85"/>
    <mergeCell ref="E87:T87"/>
    <mergeCell ref="F88:P89"/>
    <mergeCell ref="D91:R91"/>
    <mergeCell ref="D92:G92"/>
    <mergeCell ref="H92:Q94"/>
    <mergeCell ref="E96:P99"/>
    <mergeCell ref="G113:H113"/>
    <mergeCell ref="N113:O113"/>
    <mergeCell ref="F103:P104"/>
    <mergeCell ref="D106:H106"/>
    <mergeCell ref="I106:J106"/>
    <mergeCell ref="D107:E107"/>
    <mergeCell ref="F107:J107"/>
    <mergeCell ref="B109:T109"/>
    <mergeCell ref="F110:Q110"/>
    <mergeCell ref="F111:J111"/>
    <mergeCell ref="M111:Q111"/>
    <mergeCell ref="G112:J112"/>
    <mergeCell ref="N112:Q112"/>
    <mergeCell ref="G114:H114"/>
    <mergeCell ref="N114:O114"/>
    <mergeCell ref="G115:H115"/>
    <mergeCell ref="N115:O115"/>
    <mergeCell ref="G116:H116"/>
    <mergeCell ref="N116:O116"/>
    <mergeCell ref="G125:J125"/>
    <mergeCell ref="N125:Q125"/>
    <mergeCell ref="G117:H117"/>
    <mergeCell ref="N117:O117"/>
    <mergeCell ref="G118:H118"/>
    <mergeCell ref="N118:O118"/>
    <mergeCell ref="G119:H119"/>
    <mergeCell ref="N119:O119"/>
    <mergeCell ref="G120:H120"/>
    <mergeCell ref="N120:O120"/>
    <mergeCell ref="F123:Q123"/>
    <mergeCell ref="F124:J124"/>
    <mergeCell ref="M124:Q124"/>
    <mergeCell ref="G126:H126"/>
    <mergeCell ref="N126:O126"/>
    <mergeCell ref="G127:H127"/>
    <mergeCell ref="N127:O127"/>
    <mergeCell ref="G128:H128"/>
    <mergeCell ref="N128:O128"/>
    <mergeCell ref="G132:H132"/>
    <mergeCell ref="N132:O132"/>
    <mergeCell ref="G133:H133"/>
    <mergeCell ref="N133:O133"/>
    <mergeCell ref="G129:H129"/>
    <mergeCell ref="N129:O129"/>
    <mergeCell ref="G130:H130"/>
    <mergeCell ref="N130:O130"/>
    <mergeCell ref="G131:H131"/>
    <mergeCell ref="N131:O131"/>
  </mergeCells>
  <printOptions horizontalCentered="1"/>
  <pageMargins left="0.7" right="0.7" top="0.75" bottom="0.75" header="0.3" footer="0.3"/>
  <pageSetup scale="47" orientation="portrait" r:id="rId1"/>
  <rowBreaks count="2" manualBreakCount="2">
    <brk id="47" min="1" max="19" man="1"/>
    <brk id="90" min="1" max="19" man="1"/>
  </rowBreaks>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93AF07B-7073-4CF8-8905-DE674C319117}">
          <x14:formula1>
            <xm:f>Lists!$D$11:$D$13</xm:f>
          </x14:formula1>
          <xm:sqref>S7 S9 S30 S32 S34 S36 S41 S43 S45 S48 S50 S59 S61 S66 S68 S70 S82 S85 S89 S101 S104 I106:J106 S11 S13</xm:sqref>
        </x14:dataValidation>
        <x14:dataValidation type="list" allowBlank="1" showInputMessage="1" showErrorMessage="1" xr:uid="{FA695CA4-1136-42DB-B27F-A04CB9DD1AE7}">
          <x14:formula1>
            <xm:f>Lists!$E$2:$E$11</xm:f>
          </x14:formula1>
          <xm:sqref>F107:J107</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tabColor rgb="FF00B050"/>
    <pageSetUpPr autoPageBreaks="0"/>
  </sheetPr>
  <dimension ref="B1:W75"/>
  <sheetViews>
    <sheetView showGridLines="0" zoomScale="85" zoomScaleNormal="85" zoomScaleSheetLayoutView="70"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3" ht="16">
      <c r="B1" s="2880" t="s">
        <v>177</v>
      </c>
      <c r="C1" s="2881"/>
      <c r="D1" s="2881"/>
      <c r="E1" s="2881"/>
      <c r="F1" s="2881"/>
      <c r="G1" s="2881"/>
      <c r="H1" s="2881"/>
      <c r="I1" s="2881"/>
      <c r="J1" s="2881"/>
      <c r="K1" s="2881"/>
      <c r="L1" s="2881"/>
      <c r="M1" s="2881"/>
      <c r="N1" s="2881"/>
      <c r="O1" s="2882"/>
      <c r="R1" s="1179"/>
      <c r="S1" s="1179"/>
      <c r="T1" s="1179"/>
    </row>
    <row r="2" spans="2:23" ht="16">
      <c r="B2" s="2383" t="s">
        <v>179</v>
      </c>
      <c r="C2" s="2385"/>
      <c r="D2" s="2385"/>
      <c r="E2" s="2385"/>
      <c r="F2" s="2385"/>
      <c r="G2" s="2385"/>
      <c r="H2" s="2385"/>
      <c r="I2" s="2385"/>
      <c r="J2" s="2385"/>
      <c r="K2" s="2385"/>
      <c r="L2" s="2385"/>
      <c r="M2" s="2385"/>
      <c r="N2" s="2385"/>
      <c r="O2" s="2386"/>
      <c r="R2" s="1189"/>
      <c r="S2" s="1189"/>
      <c r="T2" s="1189"/>
      <c r="U2" s="2914" t="str" cm="1">
        <f t="array" aca="1" ref="U2" ca="1">MID(CELL("filename",A1),FIND("]",CELL("filename",A1))+1,256)</f>
        <v>Aff 1 IS</v>
      </c>
      <c r="V2" s="2914"/>
      <c r="W2" s="2914"/>
    </row>
    <row r="3" spans="2:23" ht="16">
      <c r="B3" s="1181"/>
      <c r="C3" s="237"/>
      <c r="D3" s="237"/>
      <c r="E3" s="237"/>
      <c r="F3" s="237"/>
      <c r="G3" s="237"/>
      <c r="H3" s="237"/>
      <c r="I3" s="237"/>
      <c r="J3" s="237"/>
      <c r="K3" s="237"/>
      <c r="L3" s="237"/>
      <c r="M3" s="237"/>
      <c r="N3" s="237"/>
      <c r="O3" s="263"/>
      <c r="R3" s="1189"/>
      <c r="S3" s="1189"/>
      <c r="T3" s="1189"/>
    </row>
    <row r="4" spans="2:23"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3" ht="16">
      <c r="B5" s="312" t="s">
        <v>183</v>
      </c>
      <c r="C5" s="270"/>
      <c r="D5" s="136">
        <v>12</v>
      </c>
      <c r="E5" s="316"/>
      <c r="F5" s="136">
        <v>12</v>
      </c>
      <c r="G5" s="316"/>
      <c r="H5" s="136">
        <v>12</v>
      </c>
      <c r="I5" s="316"/>
      <c r="J5" s="136">
        <v>3</v>
      </c>
      <c r="K5" s="1183"/>
      <c r="L5" s="1183"/>
      <c r="M5" s="1183"/>
      <c r="N5" s="1183"/>
      <c r="O5" s="322"/>
      <c r="R5" s="2901"/>
      <c r="S5" s="2901"/>
      <c r="T5" s="2901"/>
    </row>
    <row r="6" spans="2:23" ht="16">
      <c r="B6" s="312" t="s">
        <v>185</v>
      </c>
      <c r="C6" s="270"/>
      <c r="D6" s="137"/>
      <c r="E6" s="317"/>
      <c r="F6" s="137"/>
      <c r="G6" s="317"/>
      <c r="H6" s="1187"/>
      <c r="I6" s="317"/>
      <c r="J6" s="137"/>
      <c r="K6" s="1183"/>
      <c r="L6" s="1183"/>
      <c r="M6" s="2893" t="s">
        <v>737</v>
      </c>
      <c r="N6" s="296"/>
      <c r="O6" s="322"/>
      <c r="R6" s="2901"/>
      <c r="S6" s="2901"/>
      <c r="T6" s="2901"/>
    </row>
    <row r="7" spans="2:23" ht="16">
      <c r="B7" s="312" t="s">
        <v>188</v>
      </c>
      <c r="C7" s="270"/>
      <c r="D7" s="137"/>
      <c r="E7" s="317"/>
      <c r="F7" s="137"/>
      <c r="G7" s="317"/>
      <c r="H7" s="1187"/>
      <c r="I7" s="317"/>
      <c r="J7" s="137"/>
      <c r="K7" s="1183"/>
      <c r="L7" s="1183"/>
      <c r="M7" s="2894"/>
      <c r="N7" s="296"/>
      <c r="O7" s="322"/>
      <c r="R7" s="2901"/>
      <c r="S7" s="2901"/>
      <c r="T7" s="2901"/>
    </row>
    <row r="8" spans="2:23" ht="16">
      <c r="B8" s="236" t="s">
        <v>189</v>
      </c>
      <c r="C8" s="234" t="s">
        <v>795</v>
      </c>
      <c r="D8" s="314"/>
      <c r="E8" s="315"/>
      <c r="F8" s="314"/>
      <c r="G8" s="315"/>
      <c r="H8" s="314"/>
      <c r="I8" s="315"/>
      <c r="J8" s="314"/>
      <c r="K8" s="315"/>
      <c r="L8" s="315"/>
      <c r="M8" s="314"/>
      <c r="N8" s="314"/>
      <c r="O8" s="323"/>
      <c r="R8" s="2901"/>
      <c r="S8" s="2901"/>
      <c r="T8" s="2901"/>
    </row>
    <row r="9" spans="2:23"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3"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3"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3"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3"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3"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3"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3"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3023"/>
      <c r="C67" s="3023"/>
      <c r="D67" s="3023"/>
      <c r="E67" s="3023"/>
      <c r="F67" s="3023"/>
      <c r="G67" s="3023"/>
      <c r="H67" s="3023"/>
      <c r="I67" s="3023"/>
      <c r="J67" s="3023"/>
      <c r="K67" s="3023"/>
      <c r="L67" s="3023"/>
      <c r="M67" s="3023"/>
      <c r="N67" s="3023"/>
      <c r="O67" s="3023"/>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CnjXJxsTToapC3HXIqfXlISHQkOGDIdSGB4SkjYdA4lO+sKrrllL976nQdbTjaxQwTXCKFE2gdiNgPQgaiwJug==" saltValue="2+qm/0VNTWZ+ehJuUm7WXA==" spinCount="100000" sheet="1" scenarios="1" formatCells="0" formatColumns="0" formatRows="0"/>
  <customSheetViews>
    <customSheetView guid="{EDC0EC15-0264-48C8-A990-093960AE8EF3}" scale="85" showGridLines="0" printArea="1" hiddenRows="1">
      <selection activeCell="T35" sqref="T35"/>
      <rowBreaks count="1" manualBreakCount="1">
        <brk id="61" max="13" man="1"/>
      </rowBreaks>
      <pageMargins left="0" right="0" top="0" bottom="0" header="0" footer="0"/>
      <printOptions horizontalCentered="1"/>
      <pageSetup scale="68" orientation="portrait" r:id="rId1"/>
      <headerFooter differentFirst="1">
        <firstHeader>&amp;L&amp;G&amp;C&amp;8
&amp;18Credit Memo</firstHeader>
      </headerFooter>
    </customSheetView>
    <customSheetView guid="{6E1FDEE6-49D0-4876-8C7C-09893145D2CE}"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2"/>
      <headerFooter differentFirst="1">
        <firstHeader>&amp;L&amp;G&amp;C&amp;8
&amp;18Credit Memo</firstHeader>
      </headerFooter>
    </customSheetView>
    <customSheetView guid="{DB1F6E98-7FCC-445F-9DA6-47D8BF8BE969}"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3"/>
      <headerFooter differentFirst="1">
        <firstHeader>&amp;L&amp;G&amp;C&amp;8
&amp;18Credit Memo</firstHeader>
      </headerFooter>
    </customSheetView>
    <customSheetView guid="{C02CA8E5-5D4C-45E5-BC4A-4C9BE481059B}"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4"/>
      <headerFooter differentFirst="1">
        <firstHeader>&amp;L&amp;G&amp;C&amp;8
&amp;18Credit Memo</firstHeader>
      </headerFooter>
    </customSheetView>
  </customSheetViews>
  <mergeCells count="46">
    <mergeCell ref="U2:W2"/>
    <mergeCell ref="B2:O2"/>
    <mergeCell ref="B1:O1"/>
    <mergeCell ref="R5:T5"/>
    <mergeCell ref="M6:M7"/>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4:T24"/>
    <mergeCell ref="R25:T25"/>
    <mergeCell ref="R26:T26"/>
    <mergeCell ref="R27:T27"/>
    <mergeCell ref="R28:T28"/>
    <mergeCell ref="R29:T29"/>
    <mergeCell ref="R30:T30"/>
    <mergeCell ref="R31:T31"/>
    <mergeCell ref="R32:T32"/>
    <mergeCell ref="R33:T33"/>
    <mergeCell ref="R34:T34"/>
    <mergeCell ref="R35:T35"/>
    <mergeCell ref="R36:T36"/>
    <mergeCell ref="R37:T37"/>
    <mergeCell ref="R38:T38"/>
    <mergeCell ref="B65:O65"/>
    <mergeCell ref="B66:O66"/>
    <mergeCell ref="B67:O67"/>
    <mergeCell ref="B73:O73"/>
    <mergeCell ref="B74:O74"/>
    <mergeCell ref="B75:O75"/>
    <mergeCell ref="B68:O68"/>
    <mergeCell ref="B69:O69"/>
    <mergeCell ref="B70:O70"/>
    <mergeCell ref="B71:O71"/>
    <mergeCell ref="B72:O72"/>
  </mergeCells>
  <printOptions horizontalCentered="1"/>
  <pageMargins left="0.7" right="0.7" top="0.75" bottom="0.75" header="0.3" footer="0.3"/>
  <pageSetup scale="68" orientation="portrait" r:id="rId5"/>
  <headerFooter differentFirst="1">
    <firstHeader>&amp;L&amp;G&amp;C&amp;8
&amp;18Credit Memo</firstHeader>
  </headerFooter>
  <rowBreaks count="1" manualBreakCount="1">
    <brk id="64" min="1" max="14" man="1"/>
  </rowBreaks>
  <drawing r:id="rId6"/>
  <legacyDrawing r:id="rId7"/>
  <extLst>
    <ext xmlns:x14="http://schemas.microsoft.com/office/spreadsheetml/2009/9/main" uri="{CCE6A557-97BC-4b89-ADB6-D9C93CAAB3DF}">
      <x14:dataValidations xmlns:xm="http://schemas.microsoft.com/office/excel/2006/main" count="2">
        <x14:dataValidation type="list" allowBlank="1" showInputMessage="1" showErrorMessage="1" xr:uid="{F40E0338-D07B-4E71-A4F6-CD1C741EF417}">
          <x14:formula1>
            <xm:f>Lists!$E$16:$E$20</xm:f>
          </x14:formula1>
          <xm:sqref>D7 J7 H7 F7</xm:sqref>
        </x14:dataValidation>
        <x14:dataValidation type="list" allowBlank="1" showInputMessage="1" showErrorMessage="1" xr:uid="{896A2B87-C746-4645-BDED-68402BE25E96}">
          <x14:formula1>
            <xm:f>Lists!$D$16:$D$24</xm:f>
          </x14:formula1>
          <xm:sqref>D6 J6 H6 F6</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5">
    <tabColor rgb="FF00B050"/>
    <pageSetUpPr autoPageBreaks="0"/>
  </sheetPr>
  <dimension ref="A1:Z122"/>
  <sheetViews>
    <sheetView showGridLines="0" zoomScale="85" zoomScaleNormal="85" zoomScaleSheetLayoutView="70"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1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1 IS'!D4</f>
        <v>44561</v>
      </c>
      <c r="D3" s="1151"/>
      <c r="E3" s="1190">
        <f>'Aff 1 IS'!F4</f>
        <v>44926</v>
      </c>
      <c r="F3" s="1151"/>
      <c r="G3" s="1190">
        <f>'Aff 1 IS'!H4</f>
        <v>45291</v>
      </c>
      <c r="H3" s="1151"/>
      <c r="I3" s="1190">
        <f>'Aff 1 IS'!J4</f>
        <v>45382</v>
      </c>
      <c r="J3" s="1154"/>
      <c r="K3" s="26"/>
      <c r="L3" s="26"/>
      <c r="M3" s="1347"/>
      <c r="N3" s="1347"/>
      <c r="O3" s="1347"/>
      <c r="P3" s="26"/>
      <c r="Q3" s="26"/>
      <c r="R3" s="26"/>
      <c r="S3" s="26"/>
      <c r="T3" s="26"/>
      <c r="U3" s="26"/>
      <c r="V3" s="26"/>
      <c r="W3" s="26"/>
      <c r="X3" s="26"/>
      <c r="Y3" s="26"/>
      <c r="Z3" s="26"/>
    </row>
    <row r="4" spans="1:26" ht="16">
      <c r="A4" s="1155" t="s">
        <v>183</v>
      </c>
      <c r="B4" s="1150"/>
      <c r="C4" s="1201">
        <f>'Aff 1 IS'!D5</f>
        <v>12</v>
      </c>
      <c r="D4" s="1151"/>
      <c r="E4" s="1201">
        <f>'Aff 1 IS'!F5</f>
        <v>12</v>
      </c>
      <c r="F4" s="1151"/>
      <c r="G4" s="1201">
        <f>'Aff 1 IS'!H5</f>
        <v>12</v>
      </c>
      <c r="H4" s="1151"/>
      <c r="I4" s="1201">
        <f>'Aff 1 IS'!J5</f>
        <v>3</v>
      </c>
      <c r="J4" s="1160"/>
      <c r="K4" s="26"/>
      <c r="L4" s="26"/>
      <c r="M4" s="1347"/>
      <c r="N4" s="1347"/>
      <c r="O4" s="1347"/>
      <c r="P4" s="26"/>
      <c r="Q4" s="26"/>
      <c r="R4" s="26"/>
      <c r="S4" s="26"/>
      <c r="T4" s="26"/>
      <c r="U4" s="26"/>
      <c r="V4" s="26"/>
      <c r="W4" s="26"/>
      <c r="X4" s="26"/>
      <c r="Y4" s="26"/>
      <c r="Z4" s="26"/>
    </row>
    <row r="5" spans="1:26" ht="16">
      <c r="A5" s="1155" t="s">
        <v>185</v>
      </c>
      <c r="B5" s="1150"/>
      <c r="C5" s="1191">
        <f>'Aff 1 IS'!D6</f>
        <v>0</v>
      </c>
      <c r="D5" s="1162"/>
      <c r="E5" s="1191">
        <f>'Aff 1 IS'!F6</f>
        <v>0</v>
      </c>
      <c r="F5" s="1162"/>
      <c r="G5" s="1191">
        <f>'Aff 1 IS'!H6</f>
        <v>0</v>
      </c>
      <c r="H5" s="1162"/>
      <c r="I5" s="1191">
        <f>'Aff 1 IS'!J6</f>
        <v>0</v>
      </c>
      <c r="J5" s="1160"/>
      <c r="K5" s="26"/>
      <c r="L5" s="26"/>
      <c r="M5" s="1347"/>
      <c r="N5" s="1347"/>
      <c r="O5" s="1347"/>
      <c r="P5" s="26"/>
      <c r="Q5" s="26"/>
      <c r="R5" s="26"/>
      <c r="S5" s="26"/>
      <c r="T5" s="26"/>
      <c r="U5" s="26"/>
      <c r="V5" s="26"/>
      <c r="W5" s="26"/>
      <c r="X5" s="26"/>
      <c r="Y5" s="26"/>
      <c r="Z5" s="26"/>
    </row>
    <row r="6" spans="1:26" ht="16">
      <c r="A6" s="1155" t="s">
        <v>188</v>
      </c>
      <c r="B6" s="1150"/>
      <c r="C6" s="1203">
        <f>'Aff 1 IS'!D7</f>
        <v>0</v>
      </c>
      <c r="D6" s="1162"/>
      <c r="E6" s="1203">
        <f>'Aff 1 IS'!F7</f>
        <v>0</v>
      </c>
      <c r="F6" s="1162"/>
      <c r="G6" s="1203">
        <f>'Aff 1 IS'!H7</f>
        <v>0</v>
      </c>
      <c r="H6" s="1162"/>
      <c r="I6" s="1203">
        <f>'Aff 1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SUBTOTAL(109,AFF1Debt[Curr Bal])</f>
        <v>0</v>
      </c>
      <c r="O30" s="1357">
        <f>SUBTOTAL(109,AFF1Debt[Curr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hidden="1" thickBot="1">
      <c r="A61" s="2979" t="str">
        <f>A2</f>
        <v>{Insert business name which represents PSOR}</v>
      </c>
      <c r="B61" s="2980"/>
      <c r="C61" s="2980"/>
      <c r="D61" s="2980"/>
      <c r="E61" s="2980"/>
      <c r="F61" s="2980"/>
      <c r="G61" s="2980"/>
      <c r="H61" s="2980"/>
      <c r="I61" s="2980"/>
      <c r="J61" s="2981"/>
    </row>
    <row r="62" spans="1:10" ht="17" hidden="1" thickBot="1">
      <c r="A62" s="2990" t="s">
        <v>968</v>
      </c>
      <c r="B62" s="2991"/>
      <c r="C62" s="2991"/>
      <c r="D62" s="2991"/>
      <c r="E62" s="2991"/>
      <c r="F62" s="2991"/>
      <c r="G62" s="2991"/>
      <c r="H62" s="2991"/>
      <c r="I62" s="2991"/>
      <c r="J62" s="2992"/>
    </row>
    <row r="63" spans="1:10" ht="16" hidden="1">
      <c r="A63" s="1167" t="s">
        <v>969</v>
      </c>
      <c r="B63" s="311"/>
      <c r="C63" s="310"/>
      <c r="D63" s="1193"/>
      <c r="E63" s="1172">
        <f>C76</f>
        <v>0</v>
      </c>
      <c r="F63" s="1194"/>
      <c r="G63" s="1172">
        <f>E76</f>
        <v>0</v>
      </c>
      <c r="H63" s="1195"/>
      <c r="I63" s="1172">
        <f>G76</f>
        <v>0</v>
      </c>
      <c r="J63" s="1154"/>
    </row>
    <row r="64" spans="1:10" ht="16" hidden="1">
      <c r="A64" s="1167" t="s">
        <v>970</v>
      </c>
      <c r="B64" s="311"/>
      <c r="C64" s="1196">
        <f>'Aff 1 IS'!D60</f>
        <v>0</v>
      </c>
      <c r="D64" s="1193"/>
      <c r="E64" s="1196">
        <f>'Aff 1 IS'!F60</f>
        <v>0</v>
      </c>
      <c r="F64" s="1194"/>
      <c r="G64" s="1196">
        <f>'Aff 1 IS'!H60</f>
        <v>0</v>
      </c>
      <c r="H64" s="1195"/>
      <c r="I64" s="1196">
        <f>'Aff 1 IS'!J60</f>
        <v>0</v>
      </c>
      <c r="J64" s="1154"/>
    </row>
    <row r="65" spans="1:10" ht="16" hidden="1">
      <c r="A65" s="1167" t="s">
        <v>971</v>
      </c>
      <c r="B65" s="311"/>
      <c r="C65" s="309"/>
      <c r="D65" s="1193"/>
      <c r="E65" s="309"/>
      <c r="F65" s="1194"/>
      <c r="G65" s="309"/>
      <c r="H65" s="1195"/>
      <c r="I65" s="309"/>
      <c r="J65" s="1154"/>
    </row>
    <row r="66" spans="1:10" ht="16" hidden="1">
      <c r="A66" s="1167" t="s">
        <v>972</v>
      </c>
      <c r="B66" s="311"/>
      <c r="C66" s="309"/>
      <c r="D66" s="1193"/>
      <c r="E66" s="309"/>
      <c r="F66" s="1194"/>
      <c r="G66" s="309"/>
      <c r="H66" s="1195"/>
      <c r="I66" s="309"/>
      <c r="J66" s="1154"/>
    </row>
    <row r="67" spans="1:10" ht="16" hidden="1">
      <c r="A67" s="1167" t="s">
        <v>973</v>
      </c>
      <c r="B67" s="311"/>
      <c r="C67" s="309"/>
      <c r="D67" s="1193"/>
      <c r="E67" s="309"/>
      <c r="F67" s="1194"/>
      <c r="G67" s="309"/>
      <c r="H67" s="1195"/>
      <c r="I67" s="309"/>
      <c r="J67" s="1154"/>
    </row>
    <row r="68" spans="1:10" ht="16" hidden="1">
      <c r="A68" s="1167" t="s">
        <v>974</v>
      </c>
      <c r="B68" s="311"/>
      <c r="C68" s="309"/>
      <c r="D68" s="1193"/>
      <c r="E68" s="309"/>
      <c r="F68" s="1194"/>
      <c r="G68" s="309"/>
      <c r="H68" s="1195"/>
      <c r="I68" s="309"/>
      <c r="J68" s="1154"/>
    </row>
    <row r="69" spans="1:10" ht="15" hidden="1" customHeight="1">
      <c r="A69" s="1167" t="s">
        <v>975</v>
      </c>
      <c r="B69" s="311"/>
      <c r="C69" s="309"/>
      <c r="D69" s="1193"/>
      <c r="E69" s="309"/>
      <c r="F69" s="1194"/>
      <c r="G69" s="309"/>
      <c r="H69" s="1195"/>
      <c r="I69" s="309"/>
      <c r="J69" s="1154"/>
    </row>
    <row r="70" spans="1:10" ht="15" hidden="1" customHeight="1">
      <c r="A70" s="1167" t="s">
        <v>976</v>
      </c>
      <c r="B70" s="311"/>
      <c r="C70" s="309"/>
      <c r="D70" s="1193"/>
      <c r="E70" s="309"/>
      <c r="F70" s="1194"/>
      <c r="G70" s="309"/>
      <c r="H70" s="1195"/>
      <c r="I70" s="309"/>
      <c r="J70" s="1154"/>
    </row>
    <row r="71" spans="1:10" ht="15" hidden="1" customHeight="1">
      <c r="A71" s="1167" t="s">
        <v>977</v>
      </c>
      <c r="B71" s="311"/>
      <c r="C71" s="309"/>
      <c r="D71" s="1193"/>
      <c r="E71" s="309"/>
      <c r="F71" s="1194"/>
      <c r="G71" s="309"/>
      <c r="H71" s="1195"/>
      <c r="I71" s="309"/>
      <c r="J71" s="1154"/>
    </row>
    <row r="72" spans="1:10" ht="15" hidden="1" customHeight="1">
      <c r="A72" s="1167" t="s">
        <v>292</v>
      </c>
      <c r="B72" s="311"/>
      <c r="C72" s="309"/>
      <c r="D72" s="1193"/>
      <c r="E72" s="309"/>
      <c r="F72" s="1194"/>
      <c r="G72" s="309"/>
      <c r="H72" s="1195"/>
      <c r="I72" s="309"/>
      <c r="J72" s="1154"/>
    </row>
    <row r="73" spans="1:10" ht="15" hidden="1" customHeight="1">
      <c r="A73" s="1167" t="s">
        <v>962</v>
      </c>
      <c r="B73" s="311"/>
      <c r="C73" s="309"/>
      <c r="D73" s="1193"/>
      <c r="E73" s="309"/>
      <c r="F73" s="1194"/>
      <c r="G73" s="309"/>
      <c r="H73" s="1195"/>
      <c r="I73" s="309"/>
      <c r="J73" s="1154"/>
    </row>
    <row r="74" spans="1:10" ht="15" hidden="1" customHeight="1">
      <c r="A74" s="1167" t="s">
        <v>978</v>
      </c>
      <c r="B74" s="311"/>
      <c r="C74" s="309"/>
      <c r="D74" s="1193"/>
      <c r="E74" s="309"/>
      <c r="F74" s="1194"/>
      <c r="G74" s="309"/>
      <c r="H74" s="1195"/>
      <c r="I74" s="309"/>
      <c r="J74" s="1154"/>
    </row>
    <row r="75" spans="1:10" ht="15" hidden="1" customHeight="1">
      <c r="A75" s="1167" t="s">
        <v>979</v>
      </c>
      <c r="B75" s="311"/>
      <c r="C75" s="309"/>
      <c r="D75" s="1193"/>
      <c r="E75" s="309"/>
      <c r="F75" s="1194"/>
      <c r="G75" s="309"/>
      <c r="H75" s="1195"/>
      <c r="I75" s="309"/>
      <c r="J75" s="1154"/>
    </row>
    <row r="76" spans="1:10" ht="15" hidden="1" customHeight="1">
      <c r="A76" s="1167" t="s">
        <v>980</v>
      </c>
      <c r="B76" s="311"/>
      <c r="C76" s="1196">
        <f>SUM(C63:C75)</f>
        <v>0</v>
      </c>
      <c r="D76" s="1197"/>
      <c r="E76" s="1196">
        <f>SUM(E63:E75)</f>
        <v>0</v>
      </c>
      <c r="F76" s="1197"/>
      <c r="G76" s="1196">
        <f>SUM(G63:G75)</f>
        <v>0</v>
      </c>
      <c r="H76" s="1163"/>
      <c r="I76" s="1196">
        <f>SUM(I63:I75)</f>
        <v>0</v>
      </c>
      <c r="J76" s="1154"/>
    </row>
    <row r="77" spans="1:10" ht="17" hidden="1"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19EWXkEbHZ8Mln34cH8IlNl5UNH7z9mjKLFHHN87ITeBxWM6Q2QuY4CE4CJOu/l7rLTUE77e7kpZHAiOXzOatA==" saltValue="N4XxW9tjf0+aDDTJCF+0+A==" spinCount="100000" sheet="1" scenarios="1" formatCells="0" formatColumns="0" formatRows="0"/>
  <customSheetViews>
    <customSheetView guid="{EDC0EC15-0264-48C8-A990-093960AE8EF3}" scale="85" showGridLines="0" printArea="1">
      <selection activeCell="C8" sqref="C8"/>
      <rowBreaks count="1" manualBreakCount="1">
        <brk id="67" max="9"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6E1FDEE6-49D0-4876-8C7C-09893145D2CE}" scale="85" showGridLines="0" printArea="1" state="hidden">
      <selection activeCell="U1" sqref="U1:W1"/>
      <rowBreaks count="1" manualBreakCount="1">
        <brk id="67" max="9"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DB1F6E98-7FCC-445F-9DA6-47D8BF8BE969}" scale="85" showGridLines="0" printArea="1" state="hidden">
      <selection activeCell="U1" sqref="U1:W1"/>
      <rowBreaks count="1" manualBreakCount="1">
        <brk id="67" max="9" man="1"/>
      </rowBreaks>
      <pageMargins left="0" right="0" top="0" bottom="0" header="0" footer="0"/>
      <printOptions horizontalCentered="1"/>
      <pageSetup scale="64" orientation="portrait" r:id="rId3"/>
      <headerFooter differentFirst="1">
        <firstHeader>&amp;L&amp;G&amp;C&amp;8
&amp;18Credit Memo</firstHeader>
      </headerFooter>
    </customSheetView>
    <customSheetView guid="{C02CA8E5-5D4C-45E5-BC4A-4C9BE481059B}" scale="85" showGridLines="0" printArea="1" state="hidden">
      <selection activeCell="U1" sqref="U1:W1"/>
      <rowBreaks count="1" manualBreakCount="1">
        <brk id="67" max="9" man="1"/>
      </rowBreaks>
      <pageMargins left="0" right="0" top="0" bottom="0" header="0" footer="0"/>
      <printOptions horizontalCentered="1"/>
      <pageSetup scale="64" orientation="portrait" r:id="rId4"/>
      <headerFooter differentFirst="1">
        <firstHeader>&amp;L&amp;G&amp;C&amp;8
&amp;18Credit Memo</firstHeader>
      </headerFooter>
    </customSheetView>
  </customSheetViews>
  <mergeCells count="54">
    <mergeCell ref="A1:J1"/>
    <mergeCell ref="A2:J2"/>
    <mergeCell ref="A62:J62"/>
    <mergeCell ref="A61:J61"/>
    <mergeCell ref="M34:O34"/>
    <mergeCell ref="M31:O31"/>
    <mergeCell ref="A81:J81"/>
    <mergeCell ref="A78:J78"/>
    <mergeCell ref="A79:J79"/>
    <mergeCell ref="A80:J80"/>
    <mergeCell ref="M32:O32"/>
    <mergeCell ref="M33:O33"/>
    <mergeCell ref="M35:O35"/>
    <mergeCell ref="A82:J82"/>
    <mergeCell ref="A83:J83"/>
    <mergeCell ref="A84:J84"/>
    <mergeCell ref="A85:J85"/>
    <mergeCell ref="A86:J86"/>
    <mergeCell ref="A87:J87"/>
    <mergeCell ref="A88:J88"/>
    <mergeCell ref="A89:J89"/>
    <mergeCell ref="A90:J90"/>
    <mergeCell ref="A91:J91"/>
    <mergeCell ref="A92:J92"/>
    <mergeCell ref="A93:J93"/>
    <mergeCell ref="A94:J94"/>
    <mergeCell ref="A95:J95"/>
    <mergeCell ref="A96:J96"/>
    <mergeCell ref="A97:J97"/>
    <mergeCell ref="A98:J98"/>
    <mergeCell ref="A99:J99"/>
    <mergeCell ref="A100:J100"/>
    <mergeCell ref="A101:J101"/>
    <mergeCell ref="A102:J102"/>
    <mergeCell ref="A103:J103"/>
    <mergeCell ref="A104:J104"/>
    <mergeCell ref="A105:J105"/>
    <mergeCell ref="A106:J106"/>
    <mergeCell ref="A107:J107"/>
    <mergeCell ref="A108:J108"/>
    <mergeCell ref="A109:J109"/>
    <mergeCell ref="A110:J110"/>
    <mergeCell ref="A111:J111"/>
    <mergeCell ref="A112:J112"/>
    <mergeCell ref="A113:J113"/>
    <mergeCell ref="A114:J114"/>
    <mergeCell ref="A115:J115"/>
    <mergeCell ref="A116:J116"/>
    <mergeCell ref="A122:J122"/>
    <mergeCell ref="A117:J117"/>
    <mergeCell ref="A118:J118"/>
    <mergeCell ref="A119:J119"/>
    <mergeCell ref="A120:J120"/>
    <mergeCell ref="A121:J121"/>
  </mergeCells>
  <printOptions horizontalCentered="1"/>
  <pageMargins left="0.7" right="0.7" top="0.75" bottom="0.75" header="0.3" footer="0.3"/>
  <pageSetup scale="56" orientation="portrait" r:id="rId5"/>
  <headerFooter differentFirst="1">
    <firstHeader>&amp;L&amp;G&amp;C&amp;8
&amp;18Credit Memo</firstHeader>
  </headerFooter>
  <rowBreaks count="1" manualBreakCount="1">
    <brk id="77" max="9" man="1"/>
  </rowBreaks>
  <drawing r:id="rId6"/>
  <legacyDrawing r:id="rId7"/>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30B581B6-BFCD-4DBE-93A6-4764C6FF708F}">
          <x14:formula1>
            <xm:f>Lists!$C$2:$C$4</xm:f>
          </x14:formula1>
          <xm:sqref>Q9:Q29</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55607-5A65-4D6E-BC36-85FEFA37504F}">
  <sheetPr codeName="Sheet23">
    <tabColor rgb="FF00B050"/>
    <pageSetUpPr autoPageBreaks="0"/>
  </sheetPr>
  <dimension ref="A1:AC64"/>
  <sheetViews>
    <sheetView showGridLines="0" zoomScale="85" zoomScaleNormal="85" zoomScaleSheetLayoutView="70"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9.83203125"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 CF</v>
      </c>
      <c r="V2" s="2901"/>
      <c r="W2" s="2901"/>
    </row>
    <row r="3" spans="1:29" ht="15.5" customHeight="1">
      <c r="A3" s="261" t="s">
        <v>182</v>
      </c>
      <c r="B3" s="262"/>
      <c r="C3" s="1086">
        <f>'Aff 1 IS'!D4</f>
        <v>44561</v>
      </c>
      <c r="D3" s="296"/>
      <c r="E3" s="1086">
        <f>'Aff 1 IS'!F4</f>
        <v>44926</v>
      </c>
      <c r="F3" s="296"/>
      <c r="G3" s="1086">
        <f>'Aff 1 IS'!H4</f>
        <v>45291</v>
      </c>
      <c r="H3" s="296"/>
      <c r="I3" s="1086">
        <f>'Aff 1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 IS'!D5</f>
        <v>12</v>
      </c>
      <c r="D5" s="298"/>
      <c r="E5" s="266">
        <f>'Aff 1 IS'!F5</f>
        <v>12</v>
      </c>
      <c r="F5" s="298"/>
      <c r="G5" s="266">
        <f>'Aff 1 IS'!H5</f>
        <v>12</v>
      </c>
      <c r="H5" s="298"/>
      <c r="I5" s="266">
        <f>'Aff 1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1 IS'!D63</f>
        <v>0</v>
      </c>
      <c r="D7" s="1523"/>
      <c r="E7" s="1522">
        <f>'Aff 1 IS'!F63</f>
        <v>0</v>
      </c>
      <c r="F7" s="1523"/>
      <c r="G7" s="1522">
        <f>'Aff 1 IS'!H63</f>
        <v>0</v>
      </c>
      <c r="H7" s="1523"/>
      <c r="I7" s="1522">
        <f>'Aff 1 IS'!J63</f>
        <v>0</v>
      </c>
      <c r="J7" s="1523"/>
      <c r="K7" s="1556">
        <f>IF(K$4=1,$C7,IF(K$4=2,$E7,IF(K$4=3,$G7,IF(K$4=4,$I7,0))))</f>
        <v>0</v>
      </c>
      <c r="L7" s="1523"/>
      <c r="M7" s="1556">
        <f>IF(M$4=1,$C7,IF(M$4=2,$E7,IF(M$4=3,$G7,IF(M$4=4,$I7,0))))</f>
        <v>0</v>
      </c>
      <c r="N7" s="1523"/>
      <c r="O7" s="1556">
        <f>IF(O$4=1,$C7,IF(O$4=2,$E7,IF(O$4=3,$G7,IF(O$4=4,$I7,0))))</f>
        <v>0</v>
      </c>
      <c r="P7" s="1523"/>
      <c r="Q7" s="1556">
        <f>IF(Q$4=1,$C7,IF(Q$4=2,$E7,IF(Q$4=3,$G7,IF(Q$4=4,$I7,0))))</f>
        <v>0</v>
      </c>
      <c r="R7" s="288"/>
      <c r="T7" s="1375"/>
      <c r="U7" s="1381"/>
      <c r="V7" s="1382"/>
      <c r="W7" s="1382"/>
      <c r="X7" s="1382"/>
      <c r="Y7" s="1382"/>
      <c r="Z7" s="1382"/>
      <c r="AA7" s="1382"/>
      <c r="AB7" s="195"/>
      <c r="AC7" s="1379">
        <f>E3</f>
        <v>44926</v>
      </c>
    </row>
    <row r="8" spans="1:29" ht="17" thickBot="1">
      <c r="A8" s="353" t="s">
        <v>811</v>
      </c>
      <c r="B8" s="354"/>
      <c r="C8" s="1525">
        <f>'Aff 1 IS'!D33</f>
        <v>0</v>
      </c>
      <c r="D8" s="1526"/>
      <c r="E8" s="1525">
        <f>'Aff 1 IS'!F33</f>
        <v>0</v>
      </c>
      <c r="F8" s="1526"/>
      <c r="G8" s="1525">
        <f>'Aff 1 IS'!H33</f>
        <v>0</v>
      </c>
      <c r="H8" s="1526"/>
      <c r="I8" s="1525">
        <f>'Aff 1 IS'!J33</f>
        <v>0</v>
      </c>
      <c r="J8" s="1526"/>
      <c r="K8" s="1555">
        <f t="shared" ref="K8:Q16" si="0">IF(K$4=1,$C8,IF(K$4=2,$E8,IF(K$4=3,$G8,IF(K$4=4,$I8,0))))</f>
        <v>0</v>
      </c>
      <c r="L8" s="1526"/>
      <c r="M8" s="1555">
        <f t="shared" si="0"/>
        <v>0</v>
      </c>
      <c r="N8" s="1526"/>
      <c r="O8" s="1555">
        <f t="shared" si="0"/>
        <v>0</v>
      </c>
      <c r="P8" s="1526"/>
      <c r="Q8" s="1555">
        <f t="shared" si="0"/>
        <v>0</v>
      </c>
      <c r="R8" s="301"/>
      <c r="T8" s="1375"/>
      <c r="U8" s="1383"/>
      <c r="V8" s="1384"/>
      <c r="W8" s="1384"/>
      <c r="X8" s="1384"/>
      <c r="Y8" s="1384"/>
      <c r="Z8" s="1384"/>
      <c r="AA8" s="1384"/>
      <c r="AB8" s="491"/>
      <c r="AC8" s="1379">
        <f>G3</f>
        <v>45291</v>
      </c>
    </row>
    <row r="9" spans="1:29" ht="16">
      <c r="A9" s="353" t="s">
        <v>812</v>
      </c>
      <c r="B9" s="354"/>
      <c r="C9" s="1525">
        <f>'Aff 1 IS'!D32</f>
        <v>0</v>
      </c>
      <c r="D9" s="1526"/>
      <c r="E9" s="1525">
        <f>'Aff 1 IS'!F32</f>
        <v>0</v>
      </c>
      <c r="F9" s="1526"/>
      <c r="G9" s="1525">
        <f>'Aff 1 IS'!H32</f>
        <v>0</v>
      </c>
      <c r="H9" s="1526"/>
      <c r="I9" s="1525">
        <f>'Aff 1 IS'!J32</f>
        <v>0</v>
      </c>
      <c r="J9" s="1526"/>
      <c r="K9" s="1555">
        <f t="shared" si="0"/>
        <v>0</v>
      </c>
      <c r="L9" s="1526"/>
      <c r="M9" s="1555">
        <f t="shared" si="0"/>
        <v>0</v>
      </c>
      <c r="N9" s="1526"/>
      <c r="O9" s="1555">
        <f t="shared" si="0"/>
        <v>0</v>
      </c>
      <c r="P9" s="1526"/>
      <c r="Q9" s="1555">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5">
        <f t="shared" si="0"/>
        <v>0</v>
      </c>
      <c r="L10" s="1526"/>
      <c r="M10" s="1555">
        <f t="shared" si="0"/>
        <v>0</v>
      </c>
      <c r="N10" s="1526"/>
      <c r="O10" s="1555">
        <f t="shared" si="0"/>
        <v>0</v>
      </c>
      <c r="P10" s="1526"/>
      <c r="Q10" s="1555">
        <f t="shared" si="0"/>
        <v>0</v>
      </c>
      <c r="R10" s="301"/>
      <c r="T10" s="1375"/>
      <c r="U10" s="1375"/>
      <c r="V10" s="1375"/>
      <c r="W10" s="1375"/>
      <c r="X10" s="1375"/>
      <c r="Y10" s="1375"/>
      <c r="Z10" s="1375"/>
      <c r="AA10" s="1375"/>
      <c r="AC10" s="1387"/>
    </row>
    <row r="11" spans="1:29" ht="17.5" customHeight="1">
      <c r="A11" s="353" t="s">
        <v>814</v>
      </c>
      <c r="B11" s="354"/>
      <c r="C11" s="1525">
        <f>'Aff 1 IS'!D61</f>
        <v>0</v>
      </c>
      <c r="D11" s="1529"/>
      <c r="E11" s="1525">
        <f>'Aff 1 IS'!F61</f>
        <v>0</v>
      </c>
      <c r="F11" s="1529"/>
      <c r="G11" s="1525">
        <f>'Aff 1 IS'!H61</f>
        <v>0</v>
      </c>
      <c r="H11" s="1529"/>
      <c r="I11" s="1525">
        <f>'Aff 1 IS'!J61</f>
        <v>0</v>
      </c>
      <c r="J11" s="1529"/>
      <c r="K11" s="1555">
        <f t="shared" si="0"/>
        <v>0</v>
      </c>
      <c r="L11" s="1526"/>
      <c r="M11" s="1555">
        <f t="shared" si="0"/>
        <v>0</v>
      </c>
      <c r="N11" s="1526"/>
      <c r="O11" s="1555">
        <f t="shared" si="0"/>
        <v>0</v>
      </c>
      <c r="P11" s="1526"/>
      <c r="Q11" s="1555">
        <f t="shared" si="0"/>
        <v>0</v>
      </c>
      <c r="R11" s="301"/>
      <c r="U11" s="2776"/>
      <c r="V11" s="2776"/>
      <c r="W11" s="2776"/>
    </row>
    <row r="12" spans="1:29" ht="16">
      <c r="A12" s="353" t="s">
        <v>815</v>
      </c>
      <c r="B12" s="354"/>
      <c r="C12" s="1525"/>
      <c r="D12" s="1529"/>
      <c r="E12" s="1525"/>
      <c r="F12" s="1529"/>
      <c r="G12" s="1525"/>
      <c r="H12" s="1529"/>
      <c r="I12" s="1525"/>
      <c r="J12" s="1529"/>
      <c r="K12" s="1555">
        <f t="shared" si="0"/>
        <v>0</v>
      </c>
      <c r="L12" s="1526"/>
      <c r="M12" s="1555">
        <f t="shared" si="0"/>
        <v>0</v>
      </c>
      <c r="N12" s="1526"/>
      <c r="O12" s="1555">
        <f t="shared" si="0"/>
        <v>0</v>
      </c>
      <c r="P12" s="1526"/>
      <c r="Q12" s="1555">
        <f t="shared" si="0"/>
        <v>0</v>
      </c>
      <c r="R12" s="301"/>
      <c r="U12" s="2776"/>
      <c r="V12" s="2776"/>
      <c r="W12" s="2776"/>
    </row>
    <row r="13" spans="1:29" ht="16">
      <c r="A13" s="353" t="s">
        <v>816</v>
      </c>
      <c r="B13" s="354"/>
      <c r="C13" s="1528"/>
      <c r="D13" s="1529"/>
      <c r="E13" s="1525"/>
      <c r="F13" s="1529"/>
      <c r="G13" s="1525"/>
      <c r="H13" s="1529"/>
      <c r="I13" s="1525"/>
      <c r="J13" s="1529"/>
      <c r="K13" s="1555">
        <f t="shared" si="0"/>
        <v>0</v>
      </c>
      <c r="L13" s="1526"/>
      <c r="M13" s="1555">
        <f t="shared" si="0"/>
        <v>0</v>
      </c>
      <c r="N13" s="1526"/>
      <c r="O13" s="1555">
        <f t="shared" si="0"/>
        <v>0</v>
      </c>
      <c r="P13" s="1526"/>
      <c r="Q13" s="1555">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5">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4">
        <f>SUM(O7:O16)</f>
        <v>0</v>
      </c>
      <c r="P17" s="1537"/>
      <c r="Q17" s="1533">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AFF1Debt[[#Totals],[Curr Pmt]]*'Aff 1 CF'!C5</f>
        <v>0</v>
      </c>
      <c r="D27" s="1543"/>
      <c r="E27" s="1524">
        <f>AFF1Debt[[#Totals],[Curr Pmt]]*'Aff 1 CF'!E5</f>
        <v>0</v>
      </c>
      <c r="F27" s="1543"/>
      <c r="G27" s="1524">
        <f>AFF1Debt[[#Totals],[Curr Pmt]]*'Aff 1 CF'!G5</f>
        <v>0</v>
      </c>
      <c r="H27" s="1543"/>
      <c r="I27" s="1524">
        <f>AFF1Debt[[#Totals],[Curr Pmt]]*'Aff 1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4"/>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4"/>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301"/>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88"/>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291"/>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288"/>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1082"/>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93"/>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93"/>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121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121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5" hidden="1" customHeight="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295"/>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F+OCK2l8jkGf2+kKKtR1xZ9ggSwKA7CzCeTM+QuVbgeKC9jI0w6XA43LTESnfMtEsFH1t3bprz6LIctGxCiCXg==" saltValue="EO9ThKLG9b50RFSxGlqR/g==" spinCount="100000" sheet="1" scenarios="1" formatCells="0" formatColumns="0" formatRows="0"/>
  <customSheetViews>
    <customSheetView guid="{6E1FDEE6-49D0-4876-8C7C-09893145D2CE}" scale="85" showGridLines="0" printArea="1" hiddenRows="1" state="hidden">
      <selection activeCell="U1" sqref="U1:W1"/>
      <rowBreaks count="1" manualBreakCount="1">
        <brk id="74" max="17"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DB1F6E98-7FCC-445F-9DA6-47D8BF8BE969}" scale="85" showGridLines="0" printArea="1" hiddenRows="1" state="hidden">
      <selection activeCell="U1" sqref="U1:W1"/>
      <rowBreaks count="1" manualBreakCount="1">
        <brk id="74" max="17"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C02CA8E5-5D4C-45E5-BC4A-4C9BE481059B}" scale="85" showGridLines="0" printArea="1" hiddenRows="1" state="hidden">
      <selection activeCell="U1" sqref="U1:W1"/>
      <rowBreaks count="1" manualBreakCount="1">
        <brk id="74" max="17" man="1"/>
      </rowBreaks>
      <pageMargins left="0" right="0" top="0" bottom="0" header="0" footer="0"/>
      <printOptions horizontalCentered="1"/>
      <pageSetup scale="64" orientation="portrait" r:id="rId3"/>
      <headerFooter differentFirst="1">
        <firstHeader>&amp;L&amp;G&amp;C&amp;8
&amp;18Credit Memo</firstHeader>
      </headerFooter>
    </customSheetView>
  </customSheetViews>
  <mergeCells count="11">
    <mergeCell ref="A1:Q1"/>
    <mergeCell ref="A2:R2"/>
    <mergeCell ref="U2:W2"/>
    <mergeCell ref="U3:W3"/>
    <mergeCell ref="A58:R58"/>
    <mergeCell ref="U11:W11"/>
    <mergeCell ref="U12:W12"/>
    <mergeCell ref="A17:B17"/>
    <mergeCell ref="A26:B26"/>
    <mergeCell ref="A57:R57"/>
    <mergeCell ref="A34:B34"/>
  </mergeCells>
  <printOptions horizontalCentered="1"/>
  <pageMargins left="0.7" right="0.7" top="0.75" bottom="0.75" header="0.3" footer="0.3"/>
  <pageSetup scale="63" orientation="portrait" r:id="rId4"/>
  <headerFooter differentFirst="1">
    <firstHeader>&amp;L&amp;G&amp;C&amp;8
&amp;18Credit Memo</firstHeader>
  </headerFooter>
  <rowBreaks count="1" manualBreakCount="1">
    <brk id="78" max="17" man="1"/>
  </rowBreaks>
  <drawing r:id="rId5"/>
  <legacyDrawing r:id="rId6"/>
  <mc:AlternateContent xmlns:mc="http://schemas.openxmlformats.org/markup-compatibility/2006">
    <mc:Choice Requires="x14">
      <controls>
        <mc:AlternateContent xmlns:mc="http://schemas.openxmlformats.org/markup-compatibility/2006">
          <mc:Choice Requires="x14">
            <control shapeId="210947" r:id="rId7" name="Drop Down 3">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210948" r:id="rId8" name="Drop Down 4">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210949" r:id="rId9" name="Drop Down 5">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210950" r:id="rId10" name="Drop Down 6">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tabColor rgb="FF00B050"/>
    <pageSetUpPr autoPageBreaks="0"/>
  </sheetPr>
  <dimension ref="B1:W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3" ht="16">
      <c r="B1" s="2880" t="s">
        <v>177</v>
      </c>
      <c r="C1" s="2881"/>
      <c r="D1" s="2881"/>
      <c r="E1" s="2881"/>
      <c r="F1" s="2881"/>
      <c r="G1" s="2881"/>
      <c r="H1" s="2881"/>
      <c r="I1" s="2881"/>
      <c r="J1" s="2881"/>
      <c r="K1" s="2881"/>
      <c r="L1" s="2881"/>
      <c r="M1" s="2881"/>
      <c r="N1" s="2881"/>
      <c r="O1" s="2882"/>
      <c r="R1" s="1179"/>
      <c r="S1" s="1179"/>
      <c r="T1" s="1179"/>
    </row>
    <row r="2" spans="2:23" ht="16">
      <c r="B2" s="2383" t="s">
        <v>179</v>
      </c>
      <c r="C2" s="2385"/>
      <c r="D2" s="2385"/>
      <c r="E2" s="2385"/>
      <c r="F2" s="2385"/>
      <c r="G2" s="2385"/>
      <c r="H2" s="2385"/>
      <c r="I2" s="2385"/>
      <c r="J2" s="2385"/>
      <c r="K2" s="2385"/>
      <c r="L2" s="2385"/>
      <c r="M2" s="2385"/>
      <c r="N2" s="2385"/>
      <c r="O2" s="2386"/>
      <c r="R2" s="1189"/>
      <c r="S2" s="1189"/>
      <c r="T2" s="1189"/>
      <c r="U2" s="2914" t="str" cm="1">
        <f t="array" aca="1" ref="U2" ca="1">MID(CELL("filename",A1),FIND("]",CELL("filename",A1))+1,256)</f>
        <v>Aff 2 IS</v>
      </c>
      <c r="V2" s="2914"/>
      <c r="W2" s="2914"/>
    </row>
    <row r="3" spans="2:23" ht="16">
      <c r="B3" s="1181"/>
      <c r="C3" s="237"/>
      <c r="D3" s="237"/>
      <c r="E3" s="237"/>
      <c r="F3" s="237"/>
      <c r="G3" s="237"/>
      <c r="H3" s="237"/>
      <c r="I3" s="237"/>
      <c r="J3" s="237"/>
      <c r="K3" s="237"/>
      <c r="L3" s="237"/>
      <c r="M3" s="237"/>
      <c r="N3" s="237"/>
      <c r="O3" s="263"/>
      <c r="R3" s="1189"/>
      <c r="S3" s="1189"/>
      <c r="T3" s="1189"/>
    </row>
    <row r="4" spans="2:23"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3" ht="16">
      <c r="B5" s="312" t="s">
        <v>183</v>
      </c>
      <c r="C5" s="270"/>
      <c r="D5" s="136">
        <v>12</v>
      </c>
      <c r="E5" s="316"/>
      <c r="F5" s="136">
        <v>12</v>
      </c>
      <c r="G5" s="316"/>
      <c r="H5" s="136">
        <v>12</v>
      </c>
      <c r="I5" s="316"/>
      <c r="J5" s="136">
        <v>3</v>
      </c>
      <c r="K5" s="1183"/>
      <c r="L5" s="1183"/>
      <c r="M5" s="1183"/>
      <c r="N5" s="1183"/>
      <c r="O5" s="322"/>
      <c r="R5" s="2901"/>
      <c r="S5" s="2901"/>
      <c r="T5" s="2901"/>
    </row>
    <row r="6" spans="2:23" ht="16">
      <c r="B6" s="312" t="s">
        <v>185</v>
      </c>
      <c r="C6" s="270"/>
      <c r="D6" s="137"/>
      <c r="E6" s="317"/>
      <c r="F6" s="137"/>
      <c r="G6" s="317"/>
      <c r="H6" s="1187"/>
      <c r="I6" s="317"/>
      <c r="J6" s="137"/>
      <c r="K6" s="1183"/>
      <c r="L6" s="1183"/>
      <c r="M6" s="2893" t="s">
        <v>737</v>
      </c>
      <c r="N6" s="296"/>
      <c r="O6" s="322"/>
      <c r="R6" s="2901"/>
      <c r="S6" s="2901"/>
      <c r="T6" s="2901"/>
    </row>
    <row r="7" spans="2:23" ht="16">
      <c r="B7" s="312" t="s">
        <v>188</v>
      </c>
      <c r="C7" s="270"/>
      <c r="D7" s="137"/>
      <c r="E7" s="317"/>
      <c r="F7" s="137"/>
      <c r="G7" s="317"/>
      <c r="H7" s="1187"/>
      <c r="I7" s="317"/>
      <c r="J7" s="137"/>
      <c r="K7" s="1183"/>
      <c r="L7" s="1183"/>
      <c r="M7" s="2894"/>
      <c r="N7" s="296"/>
      <c r="O7" s="322"/>
      <c r="R7" s="2901"/>
      <c r="S7" s="2901"/>
      <c r="T7" s="2901"/>
    </row>
    <row r="8" spans="2:23" ht="16">
      <c r="B8" s="236" t="s">
        <v>189</v>
      </c>
      <c r="C8" s="234" t="s">
        <v>795</v>
      </c>
      <c r="D8" s="314"/>
      <c r="E8" s="315"/>
      <c r="F8" s="314"/>
      <c r="G8" s="315"/>
      <c r="H8" s="314"/>
      <c r="I8" s="315"/>
      <c r="J8" s="314"/>
      <c r="K8" s="315"/>
      <c r="L8" s="315"/>
      <c r="M8" s="314"/>
      <c r="N8" s="314"/>
      <c r="O8" s="323"/>
      <c r="R8" s="2901"/>
      <c r="S8" s="2901"/>
      <c r="T8" s="2901"/>
    </row>
    <row r="9" spans="2:23"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3"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3"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3"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3"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3"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3"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3"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zBYcrb14R770m/lN3vyE5jodmNVGTtVlA4I6l1LvubMhbu2bn/B6FnGYr43lQJ4sINltfvUQpUA4gC6mbUWxSQ==" saltValue="AqggmEI44sCsKDExWFyJxw==" spinCount="100000" sheet="1" scenarios="1" formatCells="0" formatColumns="0" formatRows="0"/>
  <customSheetViews>
    <customSheetView guid="{EDC0EC15-0264-48C8-A990-093960AE8EF3}" scale="85" showGridLines="0" printArea="1" hiddenRows="1">
      <selection activeCell="C4" sqref="C4"/>
      <rowBreaks count="1" manualBreakCount="1">
        <brk id="61" max="13" man="1"/>
      </rowBreaks>
      <pageMargins left="0" right="0" top="0" bottom="0" header="0" footer="0"/>
      <printOptions horizontalCentered="1"/>
      <pageSetup scale="68" orientation="portrait" r:id="rId1"/>
      <headerFooter differentFirst="1">
        <firstHeader>&amp;L&amp;G&amp;C&amp;8
&amp;18Credit Memo</firstHeader>
      </headerFooter>
    </customSheetView>
    <customSheetView guid="{6E1FDEE6-49D0-4876-8C7C-09893145D2CE}"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2"/>
      <headerFooter differentFirst="1">
        <firstHeader>&amp;L&amp;G&amp;C&amp;8
&amp;18Credit Memo</firstHeader>
      </headerFooter>
    </customSheetView>
    <customSheetView guid="{DB1F6E98-7FCC-445F-9DA6-47D8BF8BE969}"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3"/>
      <headerFooter differentFirst="1">
        <firstHeader>&amp;L&amp;G&amp;C&amp;8
&amp;18Credit Memo</firstHeader>
      </headerFooter>
    </customSheetView>
    <customSheetView guid="{C02CA8E5-5D4C-45E5-BC4A-4C9BE481059B}"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4"/>
      <headerFooter differentFirst="1">
        <firstHeader>&amp;L&amp;G&amp;C&amp;8
&amp;18Credit Memo</firstHeader>
      </headerFooter>
    </customSheetView>
  </customSheetViews>
  <mergeCells count="46">
    <mergeCell ref="U2:W2"/>
    <mergeCell ref="B2:O2"/>
    <mergeCell ref="B1:O1"/>
    <mergeCell ref="R5:T5"/>
    <mergeCell ref="M6:M7"/>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4:T24"/>
    <mergeCell ref="R25:T25"/>
    <mergeCell ref="R26:T26"/>
    <mergeCell ref="R27:T27"/>
    <mergeCell ref="R28:T28"/>
    <mergeCell ref="R29:T29"/>
    <mergeCell ref="R30:T30"/>
    <mergeCell ref="R31:T31"/>
    <mergeCell ref="R32:T32"/>
    <mergeCell ref="R33:T33"/>
    <mergeCell ref="R34:T34"/>
    <mergeCell ref="R35:T35"/>
    <mergeCell ref="R36:T36"/>
    <mergeCell ref="R37:T37"/>
    <mergeCell ref="R38:T38"/>
    <mergeCell ref="B65:O65"/>
    <mergeCell ref="B66:O66"/>
    <mergeCell ref="B67:O67"/>
    <mergeCell ref="B73:O73"/>
    <mergeCell ref="B74:O74"/>
    <mergeCell ref="B75:O75"/>
    <mergeCell ref="B68:O68"/>
    <mergeCell ref="B69:O69"/>
    <mergeCell ref="B70:O70"/>
    <mergeCell ref="B71:O71"/>
    <mergeCell ref="B72:O72"/>
  </mergeCells>
  <printOptions horizontalCentered="1"/>
  <pageMargins left="0.7" right="0.7" top="0.75" bottom="0.75" header="0.3" footer="0.3"/>
  <pageSetup scale="68" orientation="portrait" r:id="rId5"/>
  <headerFooter differentFirst="1">
    <firstHeader>&amp;L&amp;G&amp;C&amp;8
&amp;18Credit Memo</firstHeader>
  </headerFooter>
  <rowBreaks count="1" manualBreakCount="1">
    <brk id="64" min="1" max="14" man="1"/>
  </rowBreaks>
  <drawing r:id="rId6"/>
  <legacyDrawing r:id="rId7"/>
  <extLst>
    <ext xmlns:x14="http://schemas.microsoft.com/office/spreadsheetml/2009/9/main" uri="{CCE6A557-97BC-4b89-ADB6-D9C93CAAB3DF}">
      <x14:dataValidations xmlns:xm="http://schemas.microsoft.com/office/excel/2006/main" count="2">
        <x14:dataValidation type="list" allowBlank="1" showInputMessage="1" showErrorMessage="1" xr:uid="{E7E27865-68F2-488F-98AA-F35050C2DD71}">
          <x14:formula1>
            <xm:f>Lists!$E$16:$E$20</xm:f>
          </x14:formula1>
          <xm:sqref>D7 J7 H7 F7</xm:sqref>
        </x14:dataValidation>
        <x14:dataValidation type="list" allowBlank="1" showInputMessage="1" showErrorMessage="1" xr:uid="{B15070AD-F880-40E0-92D8-22BE84CB1BF6}">
          <x14:formula1>
            <xm:f>Lists!$D$16:$D$24</xm:f>
          </x14:formula1>
          <xm:sqref>D6 J6 H6 F6</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9" t="s">
        <v>921</v>
      </c>
      <c r="B1" s="2930"/>
      <c r="C1" s="2930"/>
      <c r="D1" s="2930"/>
      <c r="E1" s="2930"/>
      <c r="F1" s="2930"/>
      <c r="G1" s="2930"/>
      <c r="H1" s="2930"/>
      <c r="I1" s="2930"/>
      <c r="J1" s="2931"/>
      <c r="K1" s="26"/>
      <c r="L1" s="26"/>
      <c r="M1" s="1346"/>
      <c r="N1" s="1346"/>
      <c r="O1" s="1346"/>
      <c r="P1" s="26"/>
      <c r="Q1" s="26"/>
      <c r="R1" s="26"/>
      <c r="S1" s="26"/>
      <c r="T1" s="26"/>
      <c r="U1" s="26"/>
      <c r="V1" s="26"/>
      <c r="W1" s="26"/>
      <c r="X1" s="26"/>
      <c r="Y1" s="26"/>
      <c r="Z1" s="26"/>
    </row>
    <row r="2" spans="1:26" ht="16">
      <c r="A2" s="2927" t="str">
        <f>'Aff 2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2 IS'!D4</f>
        <v>44561</v>
      </c>
      <c r="D3" s="1151"/>
      <c r="E3" s="1190">
        <f>'Aff 2 IS'!F4</f>
        <v>44926</v>
      </c>
      <c r="F3" s="1151"/>
      <c r="G3" s="1190">
        <f>'Aff 2 IS'!H4</f>
        <v>45291</v>
      </c>
      <c r="H3" s="1151"/>
      <c r="I3" s="1190">
        <f>'Aff 2 IS'!J4</f>
        <v>45382</v>
      </c>
      <c r="J3" s="1154"/>
      <c r="K3" s="26"/>
      <c r="L3" s="26"/>
      <c r="M3" s="1347"/>
      <c r="N3" s="1347"/>
      <c r="O3" s="1347"/>
      <c r="P3" s="26"/>
      <c r="Q3" s="26"/>
      <c r="R3" s="26"/>
      <c r="S3" s="26"/>
      <c r="T3" s="26"/>
      <c r="U3" s="26"/>
      <c r="V3" s="26"/>
      <c r="W3" s="26"/>
      <c r="X3" s="26"/>
      <c r="Y3" s="26"/>
      <c r="Z3" s="26"/>
    </row>
    <row r="4" spans="1:26" ht="16">
      <c r="A4" s="1155" t="s">
        <v>183</v>
      </c>
      <c r="B4" s="1150"/>
      <c r="C4" s="1191">
        <f>'Aff 2 IS'!D5</f>
        <v>12</v>
      </c>
      <c r="D4" s="1151"/>
      <c r="E4" s="1191">
        <f>'Aff 2 IS'!F5</f>
        <v>12</v>
      </c>
      <c r="F4" s="1151"/>
      <c r="G4" s="1191">
        <f>'Aff 2 IS'!H5</f>
        <v>12</v>
      </c>
      <c r="H4" s="1151"/>
      <c r="I4" s="1191">
        <f>'Aff 2 IS'!J5</f>
        <v>3</v>
      </c>
      <c r="J4" s="1160"/>
      <c r="K4" s="26"/>
      <c r="L4" s="26"/>
      <c r="M4" s="1347"/>
      <c r="N4" s="1347"/>
      <c r="O4" s="1347"/>
      <c r="P4" s="26"/>
      <c r="Q4" s="26"/>
      <c r="R4" s="26"/>
      <c r="S4" s="26"/>
      <c r="T4" s="26"/>
      <c r="U4" s="26"/>
      <c r="V4" s="26"/>
      <c r="W4" s="26"/>
      <c r="X4" s="26"/>
      <c r="Y4" s="26"/>
      <c r="Z4" s="26"/>
    </row>
    <row r="5" spans="1:26" ht="16">
      <c r="A5" s="1155" t="s">
        <v>185</v>
      </c>
      <c r="B5" s="1150"/>
      <c r="C5" s="1191">
        <f>'Aff 2 IS'!D6</f>
        <v>0</v>
      </c>
      <c r="D5" s="1162"/>
      <c r="E5" s="1191">
        <f>'Aff 2 IS'!F6</f>
        <v>0</v>
      </c>
      <c r="F5" s="1162"/>
      <c r="G5" s="1191">
        <f>'Aff 2 IS'!H6</f>
        <v>0</v>
      </c>
      <c r="H5" s="1162"/>
      <c r="I5" s="1191">
        <f>'Aff 2 IS'!J6</f>
        <v>0</v>
      </c>
      <c r="J5" s="1160"/>
      <c r="K5" s="26"/>
      <c r="L5" s="26"/>
      <c r="M5" s="1347"/>
      <c r="N5" s="1347"/>
      <c r="O5" s="1347"/>
      <c r="P5" s="26"/>
      <c r="Q5" s="26"/>
      <c r="R5" s="26"/>
      <c r="S5" s="26"/>
      <c r="T5" s="26"/>
      <c r="U5" s="26"/>
      <c r="V5" s="26"/>
      <c r="W5" s="26"/>
      <c r="X5" s="26"/>
      <c r="Y5" s="26"/>
      <c r="Z5" s="26"/>
    </row>
    <row r="6" spans="1:26" ht="16">
      <c r="A6" s="1155" t="s">
        <v>188</v>
      </c>
      <c r="B6" s="1150"/>
      <c r="C6" s="1191">
        <f>'Aff 2 IS'!D7</f>
        <v>0</v>
      </c>
      <c r="D6" s="1162"/>
      <c r="E6" s="1191">
        <f>'Aff 2 IS'!F7</f>
        <v>0</v>
      </c>
      <c r="F6" s="1162"/>
      <c r="G6" s="1191">
        <f>'Aff 2 IS'!H7</f>
        <v>0</v>
      </c>
      <c r="H6" s="1162"/>
      <c r="I6" s="1191">
        <f>'Aff 2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SUBTOTAL(109,AFF2Debt[Curr Bal])</f>
        <v>0</v>
      </c>
      <c r="O30" s="1357">
        <f>SUBTOTAL(109,AFF2Debt[Curr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2 IS'!D60</f>
        <v>0</v>
      </c>
      <c r="D64" s="1193"/>
      <c r="E64" s="1196">
        <f>'Aff 2 IS'!F60</f>
        <v>0</v>
      </c>
      <c r="F64" s="1194"/>
      <c r="G64" s="1196">
        <f>'Aff 2 IS'!H60</f>
        <v>0</v>
      </c>
      <c r="H64" s="1195"/>
      <c r="I64" s="1196">
        <f>'Aff 2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in3bj86ZMbPuQiSysBCwoxntAiMT/VA7di5/O03YwbiStU3dG1K/khnLeZwqj5J/ZdW5TT9kNH3B0KTAMBm3Aw==" saltValue="nwgGl7tuQhNZVWela8wNtQ==" spinCount="100000" sheet="1" scenarios="1" formatCells="0" formatColumns="0" formatRows="0"/>
  <customSheetViews>
    <customSheetView guid="{EDC0EC15-0264-48C8-A990-093960AE8EF3}" scale="85" showGridLines="0" printArea="1">
      <selection activeCell="C8" sqref="C8"/>
      <rowBreaks count="1" manualBreakCount="1">
        <brk id="67" max="9"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6E1FDEE6-49D0-4876-8C7C-09893145D2CE}" scale="85" showGridLines="0" printArea="1" state="hidden">
      <selection activeCell="U1" sqref="U1:W1"/>
      <rowBreaks count="1" manualBreakCount="1">
        <brk id="67" max="9"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DB1F6E98-7FCC-445F-9DA6-47D8BF8BE969}" scale="85" showGridLines="0" printArea="1" state="hidden">
      <selection activeCell="U1" sqref="U1:W1"/>
      <rowBreaks count="1" manualBreakCount="1">
        <brk id="67" max="9" man="1"/>
      </rowBreaks>
      <pageMargins left="0" right="0" top="0" bottom="0" header="0" footer="0"/>
      <printOptions horizontalCentered="1"/>
      <pageSetup scale="64" orientation="portrait" r:id="rId3"/>
      <headerFooter differentFirst="1">
        <firstHeader>&amp;L&amp;G&amp;C&amp;8
&amp;18Credit Memo</firstHeader>
      </headerFooter>
    </customSheetView>
    <customSheetView guid="{C02CA8E5-5D4C-45E5-BC4A-4C9BE481059B}" scale="85" showGridLines="0" printArea="1" state="hidden">
      <selection activeCell="U1" sqref="U1:W1"/>
      <rowBreaks count="1" manualBreakCount="1">
        <brk id="67" max="9" man="1"/>
      </rowBreaks>
      <pageMargins left="0" right="0" top="0" bottom="0" header="0" footer="0"/>
      <printOptions horizontalCentered="1"/>
      <pageSetup scale="64" orientation="portrait" r:id="rId4"/>
      <headerFooter differentFirst="1">
        <firstHeader>&amp;L&amp;G&amp;C&amp;8
&amp;18Credit Memo</firstHeader>
      </headerFooter>
    </customSheetView>
  </customSheetViews>
  <mergeCells count="54">
    <mergeCell ref="A1:J1"/>
    <mergeCell ref="A2:J2"/>
    <mergeCell ref="A62:J62"/>
    <mergeCell ref="A61:J61"/>
    <mergeCell ref="M34:O34"/>
    <mergeCell ref="M31:O31"/>
    <mergeCell ref="A81:J81"/>
    <mergeCell ref="A78:J78"/>
    <mergeCell ref="A79:J79"/>
    <mergeCell ref="A80:J80"/>
    <mergeCell ref="M32:O32"/>
    <mergeCell ref="M33:O33"/>
    <mergeCell ref="M35:O35"/>
    <mergeCell ref="A82:J82"/>
    <mergeCell ref="A83:J83"/>
    <mergeCell ref="A84:J84"/>
    <mergeCell ref="A85:J85"/>
    <mergeCell ref="A86:J86"/>
    <mergeCell ref="A87:J87"/>
    <mergeCell ref="A88:J88"/>
    <mergeCell ref="A89:J89"/>
    <mergeCell ref="A90:J90"/>
    <mergeCell ref="A91:J91"/>
    <mergeCell ref="A92:J92"/>
    <mergeCell ref="A93:J93"/>
    <mergeCell ref="A94:J94"/>
    <mergeCell ref="A95:J95"/>
    <mergeCell ref="A96:J96"/>
    <mergeCell ref="A97:J97"/>
    <mergeCell ref="A98:J98"/>
    <mergeCell ref="A99:J99"/>
    <mergeCell ref="A100:J100"/>
    <mergeCell ref="A101:J101"/>
    <mergeCell ref="A102:J102"/>
    <mergeCell ref="A103:J103"/>
    <mergeCell ref="A104:J104"/>
    <mergeCell ref="A105:J105"/>
    <mergeCell ref="A106:J106"/>
    <mergeCell ref="A107:J107"/>
    <mergeCell ref="A108:J108"/>
    <mergeCell ref="A109:J109"/>
    <mergeCell ref="A110:J110"/>
    <mergeCell ref="A111:J111"/>
    <mergeCell ref="A112:J112"/>
    <mergeCell ref="A113:J113"/>
    <mergeCell ref="A114:J114"/>
    <mergeCell ref="A115:J115"/>
    <mergeCell ref="A116:J116"/>
    <mergeCell ref="A122:J122"/>
    <mergeCell ref="A117:J117"/>
    <mergeCell ref="A118:J118"/>
    <mergeCell ref="A119:J119"/>
    <mergeCell ref="A120:J120"/>
    <mergeCell ref="A121:J121"/>
  </mergeCells>
  <printOptions horizontalCentered="1"/>
  <pageMargins left="0.7" right="0.7" top="0.75" bottom="0.75" header="0.3" footer="0.3"/>
  <pageSetup scale="56" orientation="portrait" r:id="rId5"/>
  <headerFooter differentFirst="1">
    <firstHeader>&amp;L&amp;G&amp;C&amp;8
&amp;18Credit Memo</firstHeader>
  </headerFooter>
  <rowBreaks count="1" manualBreakCount="1">
    <brk id="77" max="9" man="1"/>
  </rowBreaks>
  <drawing r:id="rId6"/>
  <legacyDrawing r:id="rId7"/>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556CD7CA-CBEB-4144-8204-4F2A6B351BF0}">
          <x14:formula1>
            <xm:f>Lists!$C$2:$C$4</xm:f>
          </x14:formula1>
          <xm:sqref>Q9:Q29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D0D5F-7465-4C45-A9CE-476CB65F47A3}">
  <sheetPr codeName="Sheet26">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2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2 CF</v>
      </c>
      <c r="V2" s="2901"/>
      <c r="W2" s="2901"/>
    </row>
    <row r="3" spans="1:29" ht="15.5" customHeight="1">
      <c r="A3" s="261" t="s">
        <v>182</v>
      </c>
      <c r="B3" s="262"/>
      <c r="C3" s="1086">
        <f>'Aff 2 IS'!D4</f>
        <v>44561</v>
      </c>
      <c r="D3" s="296"/>
      <c r="E3" s="1086">
        <f>'Aff 2 IS'!F4</f>
        <v>44926</v>
      </c>
      <c r="F3" s="296"/>
      <c r="G3" s="1086">
        <f>'Aff 2 IS'!H4</f>
        <v>45291</v>
      </c>
      <c r="H3" s="296"/>
      <c r="I3" s="1086">
        <f>'Aff 2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2 IS'!D5</f>
        <v>12</v>
      </c>
      <c r="D5" s="298"/>
      <c r="E5" s="266">
        <f>'Aff 2 IS'!F5</f>
        <v>12</v>
      </c>
      <c r="F5" s="298"/>
      <c r="G5" s="266">
        <f>'Aff 2 IS'!H5</f>
        <v>12</v>
      </c>
      <c r="H5" s="298"/>
      <c r="I5" s="266">
        <f>'Aff 2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2 IS'!D63</f>
        <v>0</v>
      </c>
      <c r="D7" s="1523"/>
      <c r="E7" s="1522">
        <f>'Aff 2 IS'!F63</f>
        <v>0</v>
      </c>
      <c r="F7" s="1523"/>
      <c r="G7" s="1522">
        <f>'Aff 2 IS'!H63</f>
        <v>0</v>
      </c>
      <c r="H7" s="1523"/>
      <c r="I7" s="1522">
        <f>'Aff 2 IS'!J63</f>
        <v>0</v>
      </c>
      <c r="J7" s="1523"/>
      <c r="K7" s="1556">
        <f>IF(K$4=1,C7,IF(K$4=2,E7,IF(K$4=3,G7,IF(K$4=4,I7,0))))</f>
        <v>0</v>
      </c>
      <c r="L7" s="1523"/>
      <c r="M7" s="1556">
        <f>IF(M$4=1,E7,IF(M$4=2,G7,IF(M$4=3,I7,IF(M$4=4,K7,0))))</f>
        <v>0</v>
      </c>
      <c r="N7" s="1523"/>
      <c r="O7" s="1556">
        <f>IF(O$4=1,G7,IF(O$4=2,I7,IF(O$4=3,K7,IF(O$4=4,M7,0))))</f>
        <v>0</v>
      </c>
      <c r="P7" s="1523"/>
      <c r="Q7" s="1556">
        <f>IF(Q$4=1,I7,IF(Q$4=2,K7,IF(Q$4=3,M7,IF(Q$4=4,O7,0))))</f>
        <v>0</v>
      </c>
      <c r="R7" s="288"/>
      <c r="T7" s="1375"/>
      <c r="U7" s="1381"/>
      <c r="V7" s="1382"/>
      <c r="W7" s="1382"/>
      <c r="X7" s="1382"/>
      <c r="Y7" s="1382"/>
      <c r="Z7" s="1382"/>
      <c r="AA7" s="1382"/>
      <c r="AB7" s="195"/>
      <c r="AC7" s="1379">
        <f>E3</f>
        <v>44926</v>
      </c>
    </row>
    <row r="8" spans="1:29" ht="17" thickBot="1">
      <c r="A8" s="353" t="s">
        <v>811</v>
      </c>
      <c r="B8" s="354"/>
      <c r="C8" s="1525">
        <f>'Aff 2 IS'!D33</f>
        <v>0</v>
      </c>
      <c r="D8" s="1526"/>
      <c r="E8" s="1525">
        <f>'Aff 2 IS'!F33</f>
        <v>0</v>
      </c>
      <c r="F8" s="1526"/>
      <c r="G8" s="1525">
        <f>'Aff 2 IS'!H33</f>
        <v>0</v>
      </c>
      <c r="H8" s="1526"/>
      <c r="I8" s="1525">
        <f>'Aff 2 IS'!J33</f>
        <v>0</v>
      </c>
      <c r="J8" s="1526"/>
      <c r="K8" s="1555">
        <f t="shared" ref="K8:Q16" si="0">IF(K$4=1,C8,IF(K$4=2,E8,IF(K$4=3,G8,IF(K$4=4,I8,0))))</f>
        <v>0</v>
      </c>
      <c r="L8" s="1526"/>
      <c r="M8" s="1555">
        <f t="shared" si="0"/>
        <v>0</v>
      </c>
      <c r="N8" s="1526"/>
      <c r="O8" s="1555">
        <f t="shared" si="0"/>
        <v>0</v>
      </c>
      <c r="P8" s="1526"/>
      <c r="Q8" s="1555">
        <f t="shared" si="0"/>
        <v>0</v>
      </c>
      <c r="R8" s="301"/>
      <c r="T8" s="1375"/>
      <c r="U8" s="1383"/>
      <c r="V8" s="1384"/>
      <c r="W8" s="1384"/>
      <c r="X8" s="1384"/>
      <c r="Y8" s="1384"/>
      <c r="Z8" s="1384"/>
      <c r="AA8" s="1384"/>
      <c r="AB8" s="491"/>
      <c r="AC8" s="1379">
        <f>G3</f>
        <v>45291</v>
      </c>
    </row>
    <row r="9" spans="1:29" ht="16">
      <c r="A9" s="353" t="s">
        <v>812</v>
      </c>
      <c r="B9" s="354"/>
      <c r="C9" s="1525">
        <f>'Aff 2 IS'!D32</f>
        <v>0</v>
      </c>
      <c r="D9" s="1526"/>
      <c r="E9" s="1525">
        <f>'Aff 2 IS'!F32</f>
        <v>0</v>
      </c>
      <c r="F9" s="1526"/>
      <c r="G9" s="1525">
        <f>'Aff 2 IS'!H32</f>
        <v>0</v>
      </c>
      <c r="H9" s="1526"/>
      <c r="I9" s="1525">
        <f>'Aff 2 IS'!J32</f>
        <v>0</v>
      </c>
      <c r="J9" s="1526"/>
      <c r="K9" s="1555">
        <f t="shared" si="0"/>
        <v>0</v>
      </c>
      <c r="L9" s="1526"/>
      <c r="M9" s="1555">
        <f t="shared" si="0"/>
        <v>0</v>
      </c>
      <c r="N9" s="1526"/>
      <c r="O9" s="1555">
        <f t="shared" si="0"/>
        <v>0</v>
      </c>
      <c r="P9" s="1526"/>
      <c r="Q9" s="1555">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5">
        <f t="shared" si="0"/>
        <v>0</v>
      </c>
      <c r="L10" s="1526"/>
      <c r="M10" s="1555">
        <f t="shared" si="0"/>
        <v>0</v>
      </c>
      <c r="N10" s="1526"/>
      <c r="O10" s="1555">
        <f t="shared" si="0"/>
        <v>0</v>
      </c>
      <c r="P10" s="1526"/>
      <c r="Q10" s="1555">
        <f t="shared" si="0"/>
        <v>0</v>
      </c>
      <c r="R10" s="301"/>
      <c r="T10" s="1375"/>
      <c r="U10" s="1375"/>
      <c r="V10" s="1375"/>
      <c r="W10" s="1375"/>
      <c r="X10" s="1375"/>
      <c r="Y10" s="1375"/>
      <c r="Z10" s="1375"/>
      <c r="AA10" s="1375"/>
      <c r="AC10" s="1387"/>
    </row>
    <row r="11" spans="1:29" ht="17.5" customHeight="1">
      <c r="A11" s="353" t="s">
        <v>814</v>
      </c>
      <c r="B11" s="354"/>
      <c r="C11" s="1525">
        <f>'Aff 2 IS'!D61</f>
        <v>0</v>
      </c>
      <c r="D11" s="1529"/>
      <c r="E11" s="1525">
        <f>'Aff 2 IS'!F61</f>
        <v>0</v>
      </c>
      <c r="F11" s="1529"/>
      <c r="G11" s="1525">
        <f>'Aff 2 IS'!H61</f>
        <v>0</v>
      </c>
      <c r="H11" s="1529"/>
      <c r="I11" s="1525">
        <f>'Aff 2 IS'!J61</f>
        <v>0</v>
      </c>
      <c r="J11" s="1529"/>
      <c r="K11" s="1555">
        <f t="shared" si="0"/>
        <v>0</v>
      </c>
      <c r="L11" s="1526"/>
      <c r="M11" s="1555">
        <f t="shared" si="0"/>
        <v>0</v>
      </c>
      <c r="N11" s="1526"/>
      <c r="O11" s="1555">
        <f t="shared" si="0"/>
        <v>0</v>
      </c>
      <c r="P11" s="1526"/>
      <c r="Q11" s="1555">
        <f t="shared" si="0"/>
        <v>0</v>
      </c>
      <c r="R11" s="301"/>
      <c r="U11" s="2776"/>
      <c r="V11" s="2776"/>
      <c r="W11" s="2776"/>
    </row>
    <row r="12" spans="1:29" ht="16">
      <c r="A12" s="353" t="s">
        <v>815</v>
      </c>
      <c r="B12" s="354"/>
      <c r="C12" s="1525"/>
      <c r="D12" s="1529"/>
      <c r="E12" s="1525"/>
      <c r="F12" s="1529"/>
      <c r="G12" s="1525"/>
      <c r="H12" s="1529"/>
      <c r="I12" s="1525"/>
      <c r="J12" s="1529"/>
      <c r="K12" s="1555">
        <f t="shared" si="0"/>
        <v>0</v>
      </c>
      <c r="L12" s="1526"/>
      <c r="M12" s="1555">
        <f t="shared" si="0"/>
        <v>0</v>
      </c>
      <c r="N12" s="1526"/>
      <c r="O12" s="1555">
        <f t="shared" si="0"/>
        <v>0</v>
      </c>
      <c r="P12" s="1526"/>
      <c r="Q12" s="1555">
        <f t="shared" si="0"/>
        <v>0</v>
      </c>
      <c r="R12" s="301"/>
      <c r="U12" s="2776"/>
      <c r="V12" s="2776"/>
      <c r="W12" s="2776"/>
    </row>
    <row r="13" spans="1:29" ht="16">
      <c r="A13" s="353" t="s">
        <v>816</v>
      </c>
      <c r="B13" s="354"/>
      <c r="C13" s="1528"/>
      <c r="D13" s="1529"/>
      <c r="E13" s="1525"/>
      <c r="F13" s="1529"/>
      <c r="G13" s="1525"/>
      <c r="H13" s="1529"/>
      <c r="I13" s="1525"/>
      <c r="J13" s="1529"/>
      <c r="K13" s="1555">
        <f t="shared" si="0"/>
        <v>0</v>
      </c>
      <c r="L13" s="1526"/>
      <c r="M13" s="1555">
        <f t="shared" si="0"/>
        <v>0</v>
      </c>
      <c r="N13" s="1526"/>
      <c r="O13" s="1555">
        <f t="shared" si="0"/>
        <v>0</v>
      </c>
      <c r="P13" s="1526"/>
      <c r="Q13" s="1555">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5">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4">
        <f>SUM(O7:O16)</f>
        <v>0</v>
      </c>
      <c r="P17" s="1537"/>
      <c r="Q17" s="1533">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AFF2Debt[[#Totals],[Curr Pmt]]*'Aff 2 CF'!C5</f>
        <v>0</v>
      </c>
      <c r="D27" s="1543"/>
      <c r="E27" s="1524">
        <f>AFF2Debt[[#Totals],[Curr Pmt]]*'Aff 2 CF'!E5</f>
        <v>0</v>
      </c>
      <c r="F27" s="1541">
        <f>AFF2Debt[[#Totals],[Curr Pmt]]*'Aff 2 CF'!F5</f>
        <v>0</v>
      </c>
      <c r="G27" s="1524">
        <f>AFF2Debt[[#Totals],[Curr Pmt]]*'Aff 2 CF'!G5</f>
        <v>0</v>
      </c>
      <c r="H27" s="1538"/>
      <c r="I27" s="1524">
        <f>AFF2Debt[[#Totals],[Curr Pmt]]*'Aff 2 CF'!I5</f>
        <v>0</v>
      </c>
      <c r="J27" s="1538"/>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4"/>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4"/>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301"/>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88"/>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291"/>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288"/>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1082"/>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93"/>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93"/>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121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121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5" hidden="1" customHeight="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295"/>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N1A/Uu3X8UOcBU7Fnzkf+BIjgsrLOMogxEVsR5UdYRtLUKCgiF9BXxS4iP9RrI9Oz4CMhKCVxdIKqCzE9r9Anw==" saltValue="H+HZ15013LuL+Hp3dPy5UQ==" spinCount="100000" sheet="1" scenarios="1" formatCells="0" formatColumns="0" formatRows="0"/>
  <customSheetViews>
    <customSheetView guid="{6E1FDEE6-49D0-4876-8C7C-09893145D2CE}" scale="85" showPageBreaks="1" showGridLines="0" printArea="1" hiddenRows="1" state="hidden" topLeftCell="A19">
      <selection activeCell="U1" sqref="U1:W1"/>
      <rowBreaks count="1" manualBreakCount="1">
        <brk id="75" max="17" man="1"/>
      </rowBreaks>
      <pageMargins left="0" right="0" top="0" bottom="0" header="0" footer="0"/>
      <printOptions horizontalCentered="1"/>
      <pageSetup scale="61" orientation="portrait" r:id="rId1"/>
      <headerFooter differentFirst="1">
        <firstHeader>&amp;L&amp;G&amp;C&amp;8
&amp;18Credit Memo</firstHeader>
      </headerFooter>
    </customSheetView>
    <customSheetView guid="{DB1F6E98-7FCC-445F-9DA6-47D8BF8BE969}" scale="85" showPageBreaks="1" showGridLines="0" printArea="1" hiddenRows="1" state="hidden" topLeftCell="A19">
      <selection activeCell="U1" sqref="U1:W1"/>
      <rowBreaks count="1" manualBreakCount="1">
        <brk id="75" max="17" man="1"/>
      </rowBreaks>
      <pageMargins left="0" right="0" top="0" bottom="0" header="0" footer="0"/>
      <printOptions horizontalCentered="1"/>
      <pageSetup scale="61" orientation="portrait" r:id="rId2"/>
      <headerFooter differentFirst="1">
        <firstHeader>&amp;L&amp;G&amp;C&amp;8
&amp;18Credit Memo</firstHeader>
      </headerFooter>
    </customSheetView>
    <customSheetView guid="{C02CA8E5-5D4C-45E5-BC4A-4C9BE481059B}" scale="85" showPageBreaks="1" showGridLines="0" printArea="1" hiddenRows="1" state="hidden" topLeftCell="A19">
      <selection activeCell="U1" sqref="U1:W1"/>
      <rowBreaks count="1" manualBreakCount="1">
        <brk id="75" max="17" man="1"/>
      </rowBreaks>
      <pageMargins left="0" right="0" top="0" bottom="0" header="0" footer="0"/>
      <printOptions horizontalCentered="1"/>
      <pageSetup scale="61" orientation="portrait" r:id="rId3"/>
      <headerFooter differentFirst="1">
        <firstHeader>&amp;L&amp;G&amp;C&amp;8
&amp;18Credit Memo</firstHeader>
      </headerFooter>
    </customSheetView>
  </customSheetViews>
  <mergeCells count="11">
    <mergeCell ref="A1:Q1"/>
    <mergeCell ref="A2:R2"/>
    <mergeCell ref="U2:W2"/>
    <mergeCell ref="U3:W3"/>
    <mergeCell ref="A58:R58"/>
    <mergeCell ref="U11:W11"/>
    <mergeCell ref="U12:W12"/>
    <mergeCell ref="A17:B17"/>
    <mergeCell ref="A26:B26"/>
    <mergeCell ref="A57:R57"/>
    <mergeCell ref="A34:B34"/>
  </mergeCells>
  <printOptions horizontalCentered="1"/>
  <pageMargins left="0.7" right="0.7" top="0.75" bottom="0.75" header="0.3" footer="0.3"/>
  <pageSetup scale="61" orientation="portrait" r:id="rId4"/>
  <headerFooter differentFirst="1">
    <firstHeader>&amp;L&amp;G&amp;C&amp;8
&amp;18Credit Memo</firstHeader>
  </headerFooter>
  <rowBreaks count="1" manualBreakCount="1">
    <brk id="79" max="17" man="1"/>
  </rowBreaks>
  <drawing r:id="rId5"/>
  <legacyDrawing r:id="rId6"/>
  <mc:AlternateContent xmlns:mc="http://schemas.openxmlformats.org/markup-compatibility/2006">
    <mc:Choice Requires="x14">
      <controls>
        <mc:AlternateContent xmlns:mc="http://schemas.openxmlformats.org/markup-compatibility/2006">
          <mc:Choice Requires="x14">
            <control shapeId="212995" r:id="rId7" name="Drop Down 3">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212996" r:id="rId8" name="Drop Down 4">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212997" r:id="rId9" name="Drop Down 5">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212998" r:id="rId10" name="Drop Down 6">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tabColor rgb="FF00B050"/>
    <pageSetUpPr autoPageBreaks="0"/>
  </sheetPr>
  <dimension ref="B1:W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3" ht="16">
      <c r="B1" s="2880" t="s">
        <v>177</v>
      </c>
      <c r="C1" s="2881"/>
      <c r="D1" s="2881"/>
      <c r="E1" s="2881"/>
      <c r="F1" s="2881"/>
      <c r="G1" s="2881"/>
      <c r="H1" s="2881"/>
      <c r="I1" s="2881"/>
      <c r="J1" s="2881"/>
      <c r="K1" s="2881"/>
      <c r="L1" s="2881"/>
      <c r="M1" s="2881"/>
      <c r="N1" s="2881"/>
      <c r="O1" s="2882"/>
      <c r="R1" s="1179"/>
      <c r="S1" s="1179"/>
      <c r="T1" s="1179"/>
    </row>
    <row r="2" spans="2:23" ht="16">
      <c r="B2" s="2383" t="s">
        <v>179</v>
      </c>
      <c r="C2" s="2385"/>
      <c r="D2" s="2385"/>
      <c r="E2" s="2385"/>
      <c r="F2" s="2385"/>
      <c r="G2" s="2385"/>
      <c r="H2" s="2385"/>
      <c r="I2" s="2385"/>
      <c r="J2" s="2385"/>
      <c r="K2" s="2385"/>
      <c r="L2" s="2385"/>
      <c r="M2" s="2385"/>
      <c r="N2" s="2385"/>
      <c r="O2" s="2386"/>
      <c r="R2" s="1189"/>
      <c r="S2" s="1189"/>
      <c r="T2" s="1189"/>
      <c r="U2" s="2914" t="str" cm="1">
        <f t="array" aca="1" ref="U2" ca="1">MID(CELL("filename",A1),FIND("]",CELL("filename",A1))+1,256)</f>
        <v>Aff 3 IS</v>
      </c>
      <c r="V2" s="2914"/>
      <c r="W2" s="2914"/>
    </row>
    <row r="3" spans="2:23" ht="16">
      <c r="B3" s="1181"/>
      <c r="C3" s="237"/>
      <c r="D3" s="237"/>
      <c r="E3" s="237"/>
      <c r="F3" s="237"/>
      <c r="G3" s="237"/>
      <c r="H3" s="237"/>
      <c r="I3" s="237"/>
      <c r="J3" s="237"/>
      <c r="K3" s="237"/>
      <c r="L3" s="237"/>
      <c r="M3" s="237"/>
      <c r="N3" s="237"/>
      <c r="O3" s="263"/>
      <c r="R3" s="1189"/>
      <c r="S3" s="1189"/>
      <c r="T3" s="1189"/>
    </row>
    <row r="4" spans="2:23"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3" ht="16">
      <c r="B5" s="312" t="s">
        <v>183</v>
      </c>
      <c r="C5" s="270"/>
      <c r="D5" s="136">
        <v>12</v>
      </c>
      <c r="E5" s="316"/>
      <c r="F5" s="136">
        <v>12</v>
      </c>
      <c r="G5" s="316"/>
      <c r="H5" s="136">
        <v>12</v>
      </c>
      <c r="I5" s="316"/>
      <c r="J5" s="136">
        <v>3</v>
      </c>
      <c r="K5" s="1183"/>
      <c r="L5" s="1183"/>
      <c r="M5" s="1183"/>
      <c r="N5" s="1183"/>
      <c r="O5" s="322"/>
      <c r="R5" s="2901"/>
      <c r="S5" s="2901"/>
      <c r="T5" s="2901"/>
    </row>
    <row r="6" spans="2:23" ht="16">
      <c r="B6" s="312" t="s">
        <v>185</v>
      </c>
      <c r="C6" s="270"/>
      <c r="D6" s="137"/>
      <c r="E6" s="317"/>
      <c r="F6" s="137"/>
      <c r="G6" s="317"/>
      <c r="H6" s="1187"/>
      <c r="I6" s="317"/>
      <c r="J6" s="137"/>
      <c r="K6" s="1183"/>
      <c r="L6" s="1183"/>
      <c r="M6" s="2893" t="s">
        <v>737</v>
      </c>
      <c r="N6" s="296"/>
      <c r="O6" s="322"/>
      <c r="R6" s="2901"/>
      <c r="S6" s="2901"/>
      <c r="T6" s="2901"/>
    </row>
    <row r="7" spans="2:23" ht="16">
      <c r="B7" s="312" t="s">
        <v>188</v>
      </c>
      <c r="C7" s="270"/>
      <c r="D7" s="137"/>
      <c r="E7" s="317"/>
      <c r="F7" s="137"/>
      <c r="G7" s="317"/>
      <c r="H7" s="1187"/>
      <c r="I7" s="317"/>
      <c r="J7" s="137"/>
      <c r="K7" s="1183"/>
      <c r="L7" s="1183"/>
      <c r="M7" s="2894"/>
      <c r="N7" s="296"/>
      <c r="O7" s="322"/>
      <c r="R7" s="2901"/>
      <c r="S7" s="2901"/>
      <c r="T7" s="2901"/>
    </row>
    <row r="8" spans="2:23" ht="16">
      <c r="B8" s="236" t="s">
        <v>189</v>
      </c>
      <c r="C8" s="234" t="s">
        <v>795</v>
      </c>
      <c r="D8" s="314"/>
      <c r="E8" s="315"/>
      <c r="F8" s="314"/>
      <c r="G8" s="315"/>
      <c r="H8" s="314"/>
      <c r="I8" s="315"/>
      <c r="J8" s="314"/>
      <c r="K8" s="315"/>
      <c r="L8" s="315"/>
      <c r="M8" s="314"/>
      <c r="N8" s="314"/>
      <c r="O8" s="323"/>
      <c r="R8" s="2901"/>
      <c r="S8" s="2901"/>
      <c r="T8" s="2901"/>
    </row>
    <row r="9" spans="2:23"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3"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3"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3"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3"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3"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3"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3"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ln34AoPHahISerpffT/7dHN+tGfII/dgj9J1sZ4hfLnu5y2w9B3BKygd2YRVpPNeSJfs0VvKQz8q29v7hfF04w==" saltValue="5NCs+amFsWJhNTOxhP+I5w==" spinCount="100000" sheet="1" scenarios="1" formatCells="0" formatColumns="0" formatRows="0"/>
  <customSheetViews>
    <customSheetView guid="{EDC0EC15-0264-48C8-A990-093960AE8EF3}" scale="85" showGridLines="0" printArea="1" hiddenRows="1">
      <selection activeCell="C4" sqref="C4"/>
      <rowBreaks count="1" manualBreakCount="1">
        <brk id="61" max="13" man="1"/>
      </rowBreaks>
      <pageMargins left="0" right="0" top="0" bottom="0" header="0" footer="0"/>
      <printOptions horizontalCentered="1"/>
      <pageSetup scale="68" orientation="portrait" r:id="rId1"/>
      <headerFooter differentFirst="1">
        <firstHeader>&amp;L&amp;G&amp;C&amp;8
&amp;18Credit Memo</firstHeader>
      </headerFooter>
    </customSheetView>
    <customSheetView guid="{6E1FDEE6-49D0-4876-8C7C-09893145D2CE}"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2"/>
      <headerFooter differentFirst="1">
        <firstHeader>&amp;L&amp;G&amp;C&amp;8
&amp;18Credit Memo</firstHeader>
      </headerFooter>
    </customSheetView>
    <customSheetView guid="{DB1F6E98-7FCC-445F-9DA6-47D8BF8BE969}"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3"/>
      <headerFooter differentFirst="1">
        <firstHeader>&amp;L&amp;G&amp;C&amp;8
&amp;18Credit Memo</firstHeader>
      </headerFooter>
    </customSheetView>
    <customSheetView guid="{C02CA8E5-5D4C-45E5-BC4A-4C9BE481059B}"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4"/>
      <headerFooter differentFirst="1">
        <firstHeader>&amp;L&amp;G&amp;C&amp;8
&amp;18Credit Memo</firstHeader>
      </headerFooter>
    </customSheetView>
  </customSheetViews>
  <mergeCells count="46">
    <mergeCell ref="U2:W2"/>
    <mergeCell ref="B2:O2"/>
    <mergeCell ref="B1:O1"/>
    <mergeCell ref="R5:T5"/>
    <mergeCell ref="M6:M7"/>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4:T24"/>
    <mergeCell ref="R25:T25"/>
    <mergeCell ref="R26:T26"/>
    <mergeCell ref="R27:T27"/>
    <mergeCell ref="R28:T28"/>
    <mergeCell ref="R29:T29"/>
    <mergeCell ref="R30:T30"/>
    <mergeCell ref="R31:T31"/>
    <mergeCell ref="R32:T32"/>
    <mergeCell ref="R33:T33"/>
    <mergeCell ref="R34:T34"/>
    <mergeCell ref="R35:T35"/>
    <mergeCell ref="R36:T36"/>
    <mergeCell ref="R37:T37"/>
    <mergeCell ref="R38:T38"/>
    <mergeCell ref="B65:O65"/>
    <mergeCell ref="B66:O66"/>
    <mergeCell ref="B67:O67"/>
    <mergeCell ref="B73:O73"/>
    <mergeCell ref="B74:O74"/>
    <mergeCell ref="B75:O75"/>
    <mergeCell ref="B68:O68"/>
    <mergeCell ref="B69:O69"/>
    <mergeCell ref="B70:O70"/>
    <mergeCell ref="B71:O71"/>
    <mergeCell ref="B72:O72"/>
  </mergeCells>
  <printOptions horizontalCentered="1"/>
  <pageMargins left="0.7" right="0.7" top="0.75" bottom="0.75" header="0.3" footer="0.3"/>
  <pageSetup scale="68" orientation="portrait" r:id="rId5"/>
  <headerFooter differentFirst="1">
    <firstHeader>&amp;L&amp;G&amp;C&amp;8
&amp;18Credit Memo</firstHeader>
  </headerFooter>
  <rowBreaks count="1" manualBreakCount="1">
    <brk id="64" min="1" max="14" man="1"/>
  </rowBreaks>
  <drawing r:id="rId6"/>
  <legacyDrawing r:id="rId7"/>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47ED54C-BF20-4181-B0EF-60D895AD3907}">
          <x14:formula1>
            <xm:f>Lists!$E$16:$E$20</xm:f>
          </x14:formula1>
          <xm:sqref>D7 J7 H7 F7</xm:sqref>
        </x14:dataValidation>
        <x14:dataValidation type="list" allowBlank="1" showInputMessage="1" showErrorMessage="1" xr:uid="{0F84DE71-BEAB-4DBE-A52B-01CBC11E69FD}">
          <x14:formula1>
            <xm:f>Lists!$D$16:$D$24</xm:f>
          </x14:formula1>
          <xm:sqref>D6 J6 H6 F6</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2">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3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3 IS'!D4</f>
        <v>44561</v>
      </c>
      <c r="D3" s="1151"/>
      <c r="E3" s="1190">
        <f>'Aff 3 IS'!F4</f>
        <v>44926</v>
      </c>
      <c r="F3" s="1151"/>
      <c r="G3" s="1190">
        <f>'Aff 3 IS'!H4</f>
        <v>45291</v>
      </c>
      <c r="H3" s="1151"/>
      <c r="I3" s="1190">
        <f>'Aff 3 IS'!J4</f>
        <v>45382</v>
      </c>
      <c r="J3" s="1154"/>
      <c r="K3" s="26"/>
      <c r="L3" s="26"/>
      <c r="M3" s="1347"/>
      <c r="N3" s="1347"/>
      <c r="O3" s="1347"/>
      <c r="P3" s="26"/>
      <c r="Q3" s="26"/>
      <c r="R3" s="26"/>
      <c r="S3" s="26"/>
      <c r="T3" s="26"/>
      <c r="U3" s="26"/>
      <c r="V3" s="26"/>
      <c r="W3" s="26"/>
      <c r="X3" s="26"/>
      <c r="Y3" s="26"/>
      <c r="Z3" s="26"/>
    </row>
    <row r="4" spans="1:26" ht="16">
      <c r="A4" s="1155" t="s">
        <v>183</v>
      </c>
      <c r="B4" s="1150"/>
      <c r="C4" s="1201">
        <f>'Aff 3 IS'!D5</f>
        <v>12</v>
      </c>
      <c r="D4" s="1151"/>
      <c r="E4" s="1201">
        <f>'Aff 3 IS'!F5</f>
        <v>12</v>
      </c>
      <c r="F4" s="1151"/>
      <c r="G4" s="1201">
        <f>'Aff 3 IS'!H5</f>
        <v>12</v>
      </c>
      <c r="H4" s="1151"/>
      <c r="I4" s="1201">
        <f>'Aff 3 IS'!J5</f>
        <v>3</v>
      </c>
      <c r="J4" s="1160"/>
      <c r="K4" s="26"/>
      <c r="L4" s="26"/>
      <c r="M4" s="1347"/>
      <c r="N4" s="1347"/>
      <c r="O4" s="1347"/>
      <c r="P4" s="26"/>
      <c r="Q4" s="26"/>
      <c r="R4" s="26"/>
      <c r="S4" s="26"/>
      <c r="T4" s="26"/>
      <c r="U4" s="26"/>
      <c r="V4" s="26"/>
      <c r="W4" s="26"/>
      <c r="X4" s="26"/>
      <c r="Y4" s="26"/>
      <c r="Z4" s="26"/>
    </row>
    <row r="5" spans="1:26" ht="16">
      <c r="A5" s="1155" t="s">
        <v>185</v>
      </c>
      <c r="B5" s="1150"/>
      <c r="C5" s="1201">
        <f>'Aff 3 IS'!D6</f>
        <v>0</v>
      </c>
      <c r="D5" s="1162"/>
      <c r="E5" s="1201">
        <f>'Aff 3 IS'!F6</f>
        <v>0</v>
      </c>
      <c r="F5" s="1162"/>
      <c r="G5" s="1201">
        <f>'Aff 3 IS'!H6</f>
        <v>0</v>
      </c>
      <c r="H5" s="1162"/>
      <c r="I5" s="1201">
        <f>'Aff 3 IS'!J6</f>
        <v>0</v>
      </c>
      <c r="J5" s="1160"/>
      <c r="K5" s="26"/>
      <c r="L5" s="26"/>
      <c r="M5" s="1347"/>
      <c r="N5" s="1347"/>
      <c r="O5" s="1347"/>
      <c r="P5" s="26"/>
      <c r="Q5" s="26"/>
      <c r="R5" s="26"/>
      <c r="S5" s="26"/>
      <c r="T5" s="26"/>
      <c r="U5" s="26"/>
      <c r="V5" s="26"/>
      <c r="W5" s="26"/>
      <c r="X5" s="26"/>
      <c r="Y5" s="26"/>
      <c r="Z5" s="26"/>
    </row>
    <row r="6" spans="1:26" ht="16">
      <c r="A6" s="1155" t="s">
        <v>188</v>
      </c>
      <c r="B6" s="1150"/>
      <c r="C6" s="1201">
        <f>'Aff 3 IS'!D7</f>
        <v>0</v>
      </c>
      <c r="D6" s="1162"/>
      <c r="E6" s="1201">
        <f>'Aff 3 IS'!F7</f>
        <v>0</v>
      </c>
      <c r="F6" s="1162"/>
      <c r="G6" s="1201">
        <f>'Aff 3 IS'!H7</f>
        <v>0</v>
      </c>
      <c r="H6" s="1162"/>
      <c r="I6" s="1201">
        <f>'Aff 3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SUBTOTAL(109,AFF3Debt[Curr Bal])</f>
        <v>0</v>
      </c>
      <c r="O30" s="1357">
        <f>SUBTOTAL(109,AFF3Debt[Curr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3 IS'!D60</f>
        <v>0</v>
      </c>
      <c r="D64" s="1193"/>
      <c r="E64" s="1196">
        <f>'Aff 3 IS'!F60</f>
        <v>0</v>
      </c>
      <c r="F64" s="1194"/>
      <c r="G64" s="1196">
        <f>'Aff 3 IS'!H60</f>
        <v>0</v>
      </c>
      <c r="H64" s="1195"/>
      <c r="I64" s="1196">
        <f>'Aff 3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ntnPolUTrALPy/9NnwRLlFyVI5ZupK9eBUvcFgQ85je6J75cY5FaIjHbDGxXAFuHte94o3nF//JzHL4XmiVntA==" saltValue="BnBLH52/MjPlMj8UZl/D+g==" spinCount="100000" sheet="1" scenarios="1" formatCells="0" formatColumns="0" formatRows="0"/>
  <customSheetViews>
    <customSheetView guid="{EDC0EC15-0264-48C8-A990-093960AE8EF3}" scale="85" showGridLines="0" printArea="1">
      <selection activeCell="C8" sqref="C8"/>
      <rowBreaks count="1" manualBreakCount="1">
        <brk id="67" max="9"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6E1FDEE6-49D0-4876-8C7C-09893145D2CE}" scale="85" showGridLines="0" printArea="1" state="hidden">
      <selection activeCell="U1" sqref="U1:W1"/>
      <rowBreaks count="1" manualBreakCount="1">
        <brk id="67" max="9"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DB1F6E98-7FCC-445F-9DA6-47D8BF8BE969}" scale="85" showGridLines="0" printArea="1" state="hidden">
      <selection activeCell="U1" sqref="U1:W1"/>
      <rowBreaks count="1" manualBreakCount="1">
        <brk id="67" max="9" man="1"/>
      </rowBreaks>
      <pageMargins left="0" right="0" top="0" bottom="0" header="0" footer="0"/>
      <printOptions horizontalCentered="1"/>
      <pageSetup scale="64" orientation="portrait" r:id="rId3"/>
      <headerFooter differentFirst="1">
        <firstHeader>&amp;L&amp;G&amp;C&amp;8
&amp;18Credit Memo</firstHeader>
      </headerFooter>
    </customSheetView>
    <customSheetView guid="{C02CA8E5-5D4C-45E5-BC4A-4C9BE481059B}" scale="85" showGridLines="0" printArea="1" state="hidden">
      <selection activeCell="U1" sqref="U1:W1"/>
      <rowBreaks count="1" manualBreakCount="1">
        <brk id="67" max="9" man="1"/>
      </rowBreaks>
      <pageMargins left="0" right="0" top="0" bottom="0" header="0" footer="0"/>
      <printOptions horizontalCentered="1"/>
      <pageSetup scale="64" orientation="portrait" r:id="rId4"/>
      <headerFooter differentFirst="1">
        <firstHeader>&amp;L&amp;G&amp;C&amp;8
&amp;18Credit Memo</firstHeader>
      </headerFooter>
    </customSheetView>
  </customSheetViews>
  <mergeCells count="54">
    <mergeCell ref="A1:J1"/>
    <mergeCell ref="A2:J2"/>
    <mergeCell ref="A62:J62"/>
    <mergeCell ref="A61:J61"/>
    <mergeCell ref="M34:O34"/>
    <mergeCell ref="M31:O31"/>
    <mergeCell ref="A81:J81"/>
    <mergeCell ref="A78:J78"/>
    <mergeCell ref="A79:J79"/>
    <mergeCell ref="A80:J80"/>
    <mergeCell ref="M32:O32"/>
    <mergeCell ref="M33:O33"/>
    <mergeCell ref="M35:O35"/>
    <mergeCell ref="A82:J82"/>
    <mergeCell ref="A83:J83"/>
    <mergeCell ref="A84:J84"/>
    <mergeCell ref="A85:J85"/>
    <mergeCell ref="A86:J86"/>
    <mergeCell ref="A87:J87"/>
    <mergeCell ref="A88:J88"/>
    <mergeCell ref="A89:J89"/>
    <mergeCell ref="A90:J90"/>
    <mergeCell ref="A91:J91"/>
    <mergeCell ref="A92:J92"/>
    <mergeCell ref="A93:J93"/>
    <mergeCell ref="A94:J94"/>
    <mergeCell ref="A95:J95"/>
    <mergeCell ref="A96:J96"/>
    <mergeCell ref="A97:J97"/>
    <mergeCell ref="A98:J98"/>
    <mergeCell ref="A99:J99"/>
    <mergeCell ref="A100:J100"/>
    <mergeCell ref="A101:J101"/>
    <mergeCell ref="A102:J102"/>
    <mergeCell ref="A103:J103"/>
    <mergeCell ref="A104:J104"/>
    <mergeCell ref="A105:J105"/>
    <mergeCell ref="A106:J106"/>
    <mergeCell ref="A107:J107"/>
    <mergeCell ref="A108:J108"/>
    <mergeCell ref="A109:J109"/>
    <mergeCell ref="A110:J110"/>
    <mergeCell ref="A111:J111"/>
    <mergeCell ref="A112:J112"/>
    <mergeCell ref="A113:J113"/>
    <mergeCell ref="A114:J114"/>
    <mergeCell ref="A115:J115"/>
    <mergeCell ref="A116:J116"/>
    <mergeCell ref="A122:J122"/>
    <mergeCell ref="A117:J117"/>
    <mergeCell ref="A118:J118"/>
    <mergeCell ref="A119:J119"/>
    <mergeCell ref="A120:J120"/>
    <mergeCell ref="A121:J121"/>
  </mergeCells>
  <printOptions horizontalCentered="1"/>
  <pageMargins left="0.7" right="0.7" top="0.75" bottom="0.75" header="0.3" footer="0.3"/>
  <pageSetup scale="74" orientation="portrait" r:id="rId5"/>
  <headerFooter differentFirst="1">
    <firstHeader>&amp;L&amp;G&amp;C&amp;8
&amp;18Credit Memo</firstHeader>
  </headerFooter>
  <rowBreaks count="1" manualBreakCount="1">
    <brk id="60" max="9" man="1"/>
  </rowBreaks>
  <drawing r:id="rId6"/>
  <legacyDrawing r:id="rId7"/>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2EF82882-F7E6-4C9E-95F8-45333424992D}">
          <x14:formula1>
            <xm:f>Lists!$C$2:$C$4</xm:f>
          </x14:formula1>
          <xm:sqref>Q9:Q29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DD9FC-F158-451E-B2F0-33D76993AD65}">
  <sheetPr codeName="Sheet29">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3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3 CF</v>
      </c>
      <c r="V2" s="2901"/>
      <c r="W2" s="2901"/>
    </row>
    <row r="3" spans="1:29" ht="15.5" customHeight="1">
      <c r="A3" s="261" t="s">
        <v>182</v>
      </c>
      <c r="B3" s="262"/>
      <c r="C3" s="1086">
        <f>'Aff 3 IS'!D4</f>
        <v>44561</v>
      </c>
      <c r="D3" s="296"/>
      <c r="E3" s="1086">
        <f>'Aff 3 IS'!F4</f>
        <v>44926</v>
      </c>
      <c r="F3" s="296"/>
      <c r="G3" s="1086">
        <f>'Aff 3 IS'!H4</f>
        <v>45291</v>
      </c>
      <c r="H3" s="296"/>
      <c r="I3" s="1086">
        <f>'Aff 3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3 IS'!D5</f>
        <v>12</v>
      </c>
      <c r="D5" s="298"/>
      <c r="E5" s="266">
        <f>'Aff 3 IS'!F5</f>
        <v>12</v>
      </c>
      <c r="F5" s="298"/>
      <c r="G5" s="266">
        <f>'Aff 3 IS'!H5</f>
        <v>12</v>
      </c>
      <c r="H5" s="298"/>
      <c r="I5" s="266">
        <f>'Aff 3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3 IS'!D63</f>
        <v>0</v>
      </c>
      <c r="D7" s="1523"/>
      <c r="E7" s="1522">
        <f>'Aff 3 IS'!F63</f>
        <v>0</v>
      </c>
      <c r="F7" s="1523"/>
      <c r="G7" s="1522">
        <f>'Aff 3 IS'!H63</f>
        <v>0</v>
      </c>
      <c r="H7" s="1523"/>
      <c r="I7" s="1522">
        <f>'Aff 3 IS'!J63</f>
        <v>0</v>
      </c>
      <c r="J7" s="1523"/>
      <c r="K7" s="1556">
        <f>IF(K$4=1,C7,IF(K$4=2,E7,IF(K$4=3,G7,IF(K$4=4,I7,0))))</f>
        <v>0</v>
      </c>
      <c r="L7" s="1523"/>
      <c r="M7" s="1556">
        <f>IF(M$4=1,E7,IF(M$4=2,G7,IF(M$4=3,I7,IF(M$4=4,K7,0))))</f>
        <v>0</v>
      </c>
      <c r="N7" s="1523"/>
      <c r="O7" s="1556">
        <f>IF(O$4=1,G7,IF(O$4=2,I7,IF(O$4=3,K7,IF(O$4=4,M7,0))))</f>
        <v>0</v>
      </c>
      <c r="P7" s="1523"/>
      <c r="Q7" s="1556">
        <f>IF(Q$4=1,I7,IF(Q$4=2,K7,IF(Q$4=3,M7,IF(Q$4=4,O7,0))))</f>
        <v>0</v>
      </c>
      <c r="R7" s="288"/>
      <c r="T7" s="1375"/>
      <c r="U7" s="1381"/>
      <c r="V7" s="1382"/>
      <c r="W7" s="1382"/>
      <c r="X7" s="1382"/>
      <c r="Y7" s="1382"/>
      <c r="Z7" s="1382"/>
      <c r="AA7" s="1382"/>
      <c r="AB7" s="195"/>
      <c r="AC7" s="1379">
        <f>E3</f>
        <v>44926</v>
      </c>
    </row>
    <row r="8" spans="1:29" ht="17" thickBot="1">
      <c r="A8" s="353" t="s">
        <v>811</v>
      </c>
      <c r="B8" s="354"/>
      <c r="C8" s="1525">
        <f>'Aff 3 IS'!D33</f>
        <v>0</v>
      </c>
      <c r="D8" s="1526"/>
      <c r="E8" s="1525">
        <f>'Aff 3 IS'!F33</f>
        <v>0</v>
      </c>
      <c r="F8" s="1526"/>
      <c r="G8" s="1525">
        <f>'Aff 3 IS'!H33</f>
        <v>0</v>
      </c>
      <c r="H8" s="1526"/>
      <c r="I8" s="1525">
        <f>'Aff 3 IS'!J33</f>
        <v>0</v>
      </c>
      <c r="J8" s="1526"/>
      <c r="K8" s="1555">
        <f t="shared" ref="K8:Q16" si="0">IF(K$4=1,C8,IF(K$4=2,E8,IF(K$4=3,G8,IF(K$4=4,I8,0))))</f>
        <v>0</v>
      </c>
      <c r="L8" s="1526"/>
      <c r="M8" s="1555">
        <f t="shared" si="0"/>
        <v>0</v>
      </c>
      <c r="N8" s="1526"/>
      <c r="O8" s="1555">
        <f t="shared" si="0"/>
        <v>0</v>
      </c>
      <c r="P8" s="1526"/>
      <c r="Q8" s="1555">
        <f t="shared" si="0"/>
        <v>0</v>
      </c>
      <c r="R8" s="301"/>
      <c r="T8" s="1375"/>
      <c r="U8" s="1383"/>
      <c r="V8" s="1384"/>
      <c r="W8" s="1384"/>
      <c r="X8" s="1384"/>
      <c r="Y8" s="1384"/>
      <c r="Z8" s="1384"/>
      <c r="AA8" s="1384"/>
      <c r="AB8" s="491"/>
      <c r="AC8" s="1379">
        <f>G3</f>
        <v>45291</v>
      </c>
    </row>
    <row r="9" spans="1:29" ht="16">
      <c r="A9" s="353" t="s">
        <v>812</v>
      </c>
      <c r="B9" s="354"/>
      <c r="C9" s="1525">
        <f>'Aff 3 IS'!D32</f>
        <v>0</v>
      </c>
      <c r="D9" s="1526"/>
      <c r="E9" s="1525">
        <f>'Aff 3 IS'!F32</f>
        <v>0</v>
      </c>
      <c r="F9" s="1526"/>
      <c r="G9" s="1525">
        <f>'Aff 3 IS'!H32</f>
        <v>0</v>
      </c>
      <c r="H9" s="1526"/>
      <c r="I9" s="1525">
        <f>'Aff 3 IS'!J32</f>
        <v>0</v>
      </c>
      <c r="J9" s="1526"/>
      <c r="K9" s="1555">
        <f t="shared" si="0"/>
        <v>0</v>
      </c>
      <c r="L9" s="1526"/>
      <c r="M9" s="1555">
        <f t="shared" si="0"/>
        <v>0</v>
      </c>
      <c r="N9" s="1526"/>
      <c r="O9" s="1555">
        <f t="shared" si="0"/>
        <v>0</v>
      </c>
      <c r="P9" s="1526"/>
      <c r="Q9" s="1555">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5">
        <f t="shared" si="0"/>
        <v>0</v>
      </c>
      <c r="L10" s="1526"/>
      <c r="M10" s="1555">
        <f t="shared" si="0"/>
        <v>0</v>
      </c>
      <c r="N10" s="1526"/>
      <c r="O10" s="1555">
        <f t="shared" si="0"/>
        <v>0</v>
      </c>
      <c r="P10" s="1526"/>
      <c r="Q10" s="1555">
        <f t="shared" si="0"/>
        <v>0</v>
      </c>
      <c r="R10" s="301"/>
      <c r="T10" s="1375"/>
      <c r="U10" s="1375"/>
      <c r="V10" s="1375"/>
      <c r="W10" s="1375"/>
      <c r="X10" s="1375"/>
      <c r="Y10" s="1375"/>
      <c r="Z10" s="1375"/>
      <c r="AA10" s="1375"/>
      <c r="AC10" s="1387"/>
    </row>
    <row r="11" spans="1:29" ht="17.5" customHeight="1">
      <c r="A11" s="353" t="s">
        <v>814</v>
      </c>
      <c r="B11" s="354"/>
      <c r="C11" s="1525">
        <f>'Aff 3 IS'!D61</f>
        <v>0</v>
      </c>
      <c r="D11" s="1529"/>
      <c r="E11" s="1525">
        <f>'Aff 3 IS'!F61</f>
        <v>0</v>
      </c>
      <c r="F11" s="1529"/>
      <c r="G11" s="1525">
        <f>'Aff 3 IS'!H61</f>
        <v>0</v>
      </c>
      <c r="H11" s="1529"/>
      <c r="I11" s="1525">
        <f>'Aff 3 IS'!J61</f>
        <v>0</v>
      </c>
      <c r="J11" s="1529"/>
      <c r="K11" s="1555">
        <f t="shared" si="0"/>
        <v>0</v>
      </c>
      <c r="L11" s="1526"/>
      <c r="M11" s="1555">
        <f t="shared" si="0"/>
        <v>0</v>
      </c>
      <c r="N11" s="1526"/>
      <c r="O11" s="1555">
        <f t="shared" si="0"/>
        <v>0</v>
      </c>
      <c r="P11" s="1526"/>
      <c r="Q11" s="1555">
        <f t="shared" si="0"/>
        <v>0</v>
      </c>
      <c r="R11" s="301"/>
      <c r="U11" s="2776"/>
      <c r="V11" s="2776"/>
      <c r="W11" s="2776"/>
    </row>
    <row r="12" spans="1:29" ht="16">
      <c r="A12" s="353" t="s">
        <v>815</v>
      </c>
      <c r="B12" s="354"/>
      <c r="C12" s="1525"/>
      <c r="D12" s="1529"/>
      <c r="E12" s="1525"/>
      <c r="F12" s="1529"/>
      <c r="G12" s="1525"/>
      <c r="H12" s="1529"/>
      <c r="I12" s="1525"/>
      <c r="J12" s="1529"/>
      <c r="K12" s="1555">
        <f t="shared" si="0"/>
        <v>0</v>
      </c>
      <c r="L12" s="1526"/>
      <c r="M12" s="1555">
        <f t="shared" si="0"/>
        <v>0</v>
      </c>
      <c r="N12" s="1526"/>
      <c r="O12" s="1555">
        <f t="shared" si="0"/>
        <v>0</v>
      </c>
      <c r="P12" s="1526"/>
      <c r="Q12" s="1555">
        <f t="shared" si="0"/>
        <v>0</v>
      </c>
      <c r="R12" s="301"/>
      <c r="U12" s="2776"/>
      <c r="V12" s="2776"/>
      <c r="W12" s="2776"/>
    </row>
    <row r="13" spans="1:29" ht="16">
      <c r="A13" s="353" t="s">
        <v>816</v>
      </c>
      <c r="B13" s="354"/>
      <c r="C13" s="1528"/>
      <c r="D13" s="1529"/>
      <c r="E13" s="1525"/>
      <c r="F13" s="1529"/>
      <c r="G13" s="1525"/>
      <c r="H13" s="1529"/>
      <c r="I13" s="1525"/>
      <c r="J13" s="1529"/>
      <c r="K13" s="1555">
        <f t="shared" si="0"/>
        <v>0</v>
      </c>
      <c r="L13" s="1526"/>
      <c r="M13" s="1555">
        <f t="shared" si="0"/>
        <v>0</v>
      </c>
      <c r="N13" s="1526"/>
      <c r="O13" s="1555">
        <f t="shared" si="0"/>
        <v>0</v>
      </c>
      <c r="P13" s="1526"/>
      <c r="Q13" s="1555">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5">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4">
        <f>SUM(O7:O16)</f>
        <v>0</v>
      </c>
      <c r="P17" s="1537"/>
      <c r="Q17" s="1533">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AFF3Debt[[#Totals],[Curr Pmt]]*'Aff 3 CF'!C5</f>
        <v>0</v>
      </c>
      <c r="D27" s="1543"/>
      <c r="E27" s="1524">
        <f>AFF3Debt[[#Totals],[Curr Pmt]]*'Aff 3 CF'!E5</f>
        <v>0</v>
      </c>
      <c r="F27" s="1543"/>
      <c r="G27" s="1524">
        <f>AFF3Debt[[#Totals],[Curr Pmt]]*'Aff 3 CF'!G5</f>
        <v>0</v>
      </c>
      <c r="H27" s="1543"/>
      <c r="I27" s="1524">
        <f>AFF3Debt[[#Totals],[Curr Pmt]]*'Aff 3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5" hidden="1" customHeight="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ec89Sj3AJvLbCNTjms6S64TIgmdSEBNcDp2nntik6+SsaW2Y/xbrxJWIeQ8HRl7OYdLRnz/oZ4vtHFMxSzL3xg==" saltValue="BHnt6uzwPH/PaRLfF+1Vzw==" spinCount="100000" sheet="1" scenarios="1" formatCells="0" formatColumns="0" formatRows="0"/>
  <customSheetViews>
    <customSheetView guid="{6E1FDEE6-49D0-4876-8C7C-09893145D2CE}" scale="85" showPageBreaks="1" showGridLines="0" printArea="1" hiddenRows="1" state="hidden">
      <selection activeCell="U1" sqref="U1:W1"/>
      <rowBreaks count="1" manualBreakCount="1">
        <brk id="75" max="17" man="1"/>
      </rowBreaks>
      <pageMargins left="0" right="0" top="0" bottom="0" header="0" footer="0"/>
      <printOptions horizontalCentered="1"/>
      <pageSetup scale="61" orientation="portrait" r:id="rId1"/>
      <headerFooter differentFirst="1">
        <firstHeader>&amp;L&amp;G&amp;C&amp;8
&amp;18Credit Memo</firstHeader>
      </headerFooter>
    </customSheetView>
    <customSheetView guid="{DB1F6E98-7FCC-445F-9DA6-47D8BF8BE969}" scale="85" showPageBreaks="1" showGridLines="0" printArea="1" hiddenRows="1" state="hidden">
      <selection activeCell="U1" sqref="U1:W1"/>
      <rowBreaks count="1" manualBreakCount="1">
        <brk id="75" max="17" man="1"/>
      </rowBreaks>
      <pageMargins left="0" right="0" top="0" bottom="0" header="0" footer="0"/>
      <printOptions horizontalCentered="1"/>
      <pageSetup scale="61" orientation="portrait" r:id="rId2"/>
      <headerFooter differentFirst="1">
        <firstHeader>&amp;L&amp;G&amp;C&amp;8
&amp;18Credit Memo</firstHeader>
      </headerFooter>
    </customSheetView>
    <customSheetView guid="{C02CA8E5-5D4C-45E5-BC4A-4C9BE481059B}" scale="85" showPageBreaks="1" showGridLines="0" printArea="1" hiddenRows="1" state="hidden">
      <selection activeCell="U1" sqref="U1:W1"/>
      <rowBreaks count="1" manualBreakCount="1">
        <brk id="75" max="17" man="1"/>
      </rowBreaks>
      <pageMargins left="0" right="0" top="0" bottom="0" header="0" footer="0"/>
      <printOptions horizontalCentered="1"/>
      <pageSetup scale="61" orientation="portrait" r:id="rId3"/>
      <headerFooter differentFirst="1">
        <firstHeader>&amp;L&amp;G&amp;C&amp;8
&amp;18Credit Memo</firstHeader>
      </headerFooter>
    </customSheetView>
  </customSheetViews>
  <mergeCells count="11">
    <mergeCell ref="A1:Q1"/>
    <mergeCell ref="A2:R2"/>
    <mergeCell ref="U2:W2"/>
    <mergeCell ref="U3:W3"/>
    <mergeCell ref="A58:R58"/>
    <mergeCell ref="U11:W11"/>
    <mergeCell ref="U12:W12"/>
    <mergeCell ref="A17:B17"/>
    <mergeCell ref="A26:B26"/>
    <mergeCell ref="A57:R57"/>
    <mergeCell ref="A34:B34"/>
  </mergeCells>
  <printOptions horizontalCentered="1"/>
  <pageMargins left="0.7" right="0.7" top="0.75" bottom="0.75" header="0.3" footer="0.3"/>
  <pageSetup scale="61" orientation="portrait" r:id="rId4"/>
  <headerFooter differentFirst="1">
    <firstHeader>&amp;L&amp;G&amp;C&amp;8
&amp;18Credit Memo</firstHeader>
  </headerFooter>
  <rowBreaks count="1" manualBreakCount="1">
    <brk id="79" max="17" man="1"/>
  </rowBreaks>
  <drawing r:id="rId5"/>
  <legacyDrawing r:id="rId6"/>
  <mc:AlternateContent xmlns:mc="http://schemas.openxmlformats.org/markup-compatibility/2006">
    <mc:Choice Requires="x14">
      <controls>
        <mc:AlternateContent xmlns:mc="http://schemas.openxmlformats.org/markup-compatibility/2006">
          <mc:Choice Requires="x14">
            <control shapeId="214019" r:id="rId7" name="Drop Down 3">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214020" r:id="rId8" name="Drop Down 4">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214021" r:id="rId9" name="Drop Down 5">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214022" r:id="rId10" name="Drop Down 6">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4">
    <tabColor rgb="FF00B050"/>
    <pageSetUpPr autoPageBreaks="0"/>
  </sheetPr>
  <dimension ref="B1:W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3" ht="16">
      <c r="B1" s="2880" t="s">
        <v>177</v>
      </c>
      <c r="C1" s="2881"/>
      <c r="D1" s="2881"/>
      <c r="E1" s="2881"/>
      <c r="F1" s="2881"/>
      <c r="G1" s="2881"/>
      <c r="H1" s="2881"/>
      <c r="I1" s="2881"/>
      <c r="J1" s="2881"/>
      <c r="K1" s="2881"/>
      <c r="L1" s="2881"/>
      <c r="M1" s="2881"/>
      <c r="N1" s="2881"/>
      <c r="O1" s="2882"/>
      <c r="R1" s="1179"/>
      <c r="S1" s="1179"/>
      <c r="T1" s="1179"/>
    </row>
    <row r="2" spans="2:23" ht="16">
      <c r="B2" s="2383" t="s">
        <v>179</v>
      </c>
      <c r="C2" s="2385"/>
      <c r="D2" s="2385"/>
      <c r="E2" s="2385"/>
      <c r="F2" s="2385"/>
      <c r="G2" s="2385"/>
      <c r="H2" s="2385"/>
      <c r="I2" s="2385"/>
      <c r="J2" s="2385"/>
      <c r="K2" s="2385"/>
      <c r="L2" s="2385"/>
      <c r="M2" s="2385"/>
      <c r="N2" s="2385"/>
      <c r="O2" s="2386"/>
      <c r="R2" s="1189"/>
      <c r="S2" s="1189"/>
      <c r="T2" s="1189"/>
      <c r="U2" s="2914" t="str" cm="1">
        <f t="array" aca="1" ref="U2" ca="1">MID(CELL("filename",A1),FIND("]",CELL("filename",A1))+1,256)</f>
        <v>Aff 4 IS</v>
      </c>
      <c r="V2" s="2914"/>
      <c r="W2" s="2914"/>
    </row>
    <row r="3" spans="2:23" ht="16">
      <c r="B3" s="1181"/>
      <c r="C3" s="237"/>
      <c r="D3" s="237"/>
      <c r="E3" s="237"/>
      <c r="F3" s="237"/>
      <c r="G3" s="237"/>
      <c r="H3" s="237"/>
      <c r="I3" s="237"/>
      <c r="J3" s="237"/>
      <c r="K3" s="237"/>
      <c r="L3" s="237"/>
      <c r="M3" s="237"/>
      <c r="N3" s="237"/>
      <c r="O3" s="263"/>
      <c r="R3" s="1189"/>
      <c r="S3" s="1189"/>
      <c r="T3" s="1189"/>
    </row>
    <row r="4" spans="2:23"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3" ht="16">
      <c r="B5" s="312" t="s">
        <v>183</v>
      </c>
      <c r="C5" s="270"/>
      <c r="D5" s="136">
        <v>12</v>
      </c>
      <c r="E5" s="316"/>
      <c r="F5" s="136">
        <v>12</v>
      </c>
      <c r="G5" s="316"/>
      <c r="H5" s="136">
        <v>12</v>
      </c>
      <c r="I5" s="316"/>
      <c r="J5" s="136">
        <v>3</v>
      </c>
      <c r="K5" s="1183"/>
      <c r="L5" s="1183"/>
      <c r="M5" s="1183"/>
      <c r="N5" s="1183"/>
      <c r="O5" s="322"/>
      <c r="R5" s="2901"/>
      <c r="S5" s="2901"/>
      <c r="T5" s="2901"/>
    </row>
    <row r="6" spans="2:23" ht="16">
      <c r="B6" s="312" t="s">
        <v>185</v>
      </c>
      <c r="C6" s="270"/>
      <c r="D6" s="137"/>
      <c r="E6" s="317"/>
      <c r="F6" s="137"/>
      <c r="G6" s="317"/>
      <c r="H6" s="1187"/>
      <c r="I6" s="317"/>
      <c r="J6" s="137"/>
      <c r="K6" s="1183"/>
      <c r="L6" s="1183"/>
      <c r="M6" s="2893" t="s">
        <v>737</v>
      </c>
      <c r="N6" s="296"/>
      <c r="O6" s="322"/>
      <c r="R6" s="2901"/>
      <c r="S6" s="2901"/>
      <c r="T6" s="2901"/>
    </row>
    <row r="7" spans="2:23" ht="16">
      <c r="B7" s="312" t="s">
        <v>188</v>
      </c>
      <c r="C7" s="270"/>
      <c r="D7" s="137"/>
      <c r="E7" s="317"/>
      <c r="F7" s="137"/>
      <c r="G7" s="317"/>
      <c r="H7" s="1187"/>
      <c r="I7" s="317"/>
      <c r="J7" s="137"/>
      <c r="K7" s="1183"/>
      <c r="L7" s="1183"/>
      <c r="M7" s="2894"/>
      <c r="N7" s="296"/>
      <c r="O7" s="322"/>
      <c r="R7" s="2901"/>
      <c r="S7" s="2901"/>
      <c r="T7" s="2901"/>
    </row>
    <row r="8" spans="2:23" ht="16">
      <c r="B8" s="236" t="s">
        <v>189</v>
      </c>
      <c r="C8" s="234" t="s">
        <v>795</v>
      </c>
      <c r="D8" s="314"/>
      <c r="E8" s="315"/>
      <c r="F8" s="314"/>
      <c r="G8" s="315"/>
      <c r="H8" s="314"/>
      <c r="I8" s="315"/>
      <c r="J8" s="314"/>
      <c r="K8" s="315"/>
      <c r="L8" s="315"/>
      <c r="M8" s="314"/>
      <c r="N8" s="314"/>
      <c r="O8" s="323"/>
      <c r="R8" s="2901"/>
      <c r="S8" s="2901"/>
      <c r="T8" s="2901"/>
    </row>
    <row r="9" spans="2:23"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3" ht="16">
      <c r="B10" s="1188" t="s">
        <v>797</v>
      </c>
      <c r="C10" s="246"/>
      <c r="D10" s="4"/>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3"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3"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3"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3"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3"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3"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Ik09lXLDns6jS8CQyrS4I0ej47pLWwBD+cNi5MOlnDutssOMcE6GkV4CWTnNTbJy0chICb0LhadiYgiu+Xc7sQ==" saltValue="HNl0zs324wxqXte4ogV8lg==" spinCount="100000" sheet="1" scenarios="1" formatCells="0" formatColumns="0" formatRows="0"/>
  <customSheetViews>
    <customSheetView guid="{EDC0EC15-0264-48C8-A990-093960AE8EF3}" scale="85" showGridLines="0" printArea="1" hiddenRows="1">
      <selection activeCell="C9" sqref="C9"/>
      <rowBreaks count="1" manualBreakCount="1">
        <brk id="61" max="13" man="1"/>
      </rowBreaks>
      <pageMargins left="0" right="0" top="0" bottom="0" header="0" footer="0"/>
      <printOptions horizontalCentered="1"/>
      <pageSetup scale="68" orientation="portrait" r:id="rId1"/>
      <headerFooter differentFirst="1">
        <firstHeader>&amp;L&amp;G&amp;C&amp;8
&amp;18Credit Memo</firstHeader>
      </headerFooter>
    </customSheetView>
    <customSheetView guid="{6E1FDEE6-49D0-4876-8C7C-09893145D2CE}"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2"/>
      <headerFooter differentFirst="1">
        <firstHeader>&amp;L&amp;G&amp;C&amp;8
&amp;18Credit Memo</firstHeader>
      </headerFooter>
    </customSheetView>
    <customSheetView guid="{DB1F6E98-7FCC-445F-9DA6-47D8BF8BE969}"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3"/>
      <headerFooter differentFirst="1">
        <firstHeader>&amp;L&amp;G&amp;C&amp;8
&amp;18Credit Memo</firstHeader>
      </headerFooter>
    </customSheetView>
    <customSheetView guid="{C02CA8E5-5D4C-45E5-BC4A-4C9BE481059B}"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4"/>
      <headerFooter differentFirst="1">
        <firstHeader>&amp;L&amp;G&amp;C&amp;8
&amp;18Credit Memo</firstHeader>
      </headerFooter>
    </customSheetView>
  </customSheetViews>
  <mergeCells count="46">
    <mergeCell ref="U2:W2"/>
    <mergeCell ref="B2:O2"/>
    <mergeCell ref="B1:O1"/>
    <mergeCell ref="R5:T5"/>
    <mergeCell ref="M6:M7"/>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4:T24"/>
    <mergeCell ref="R25:T25"/>
    <mergeCell ref="R26:T26"/>
    <mergeCell ref="R27:T27"/>
    <mergeCell ref="R28:T28"/>
    <mergeCell ref="R29:T29"/>
    <mergeCell ref="R30:T30"/>
    <mergeCell ref="R31:T31"/>
    <mergeCell ref="R32:T32"/>
    <mergeCell ref="R33:T33"/>
    <mergeCell ref="R34:T34"/>
    <mergeCell ref="R35:T35"/>
    <mergeCell ref="R36:T36"/>
    <mergeCell ref="R37:T37"/>
    <mergeCell ref="R38:T38"/>
    <mergeCell ref="B65:O65"/>
    <mergeCell ref="B66:O66"/>
    <mergeCell ref="B67:O67"/>
    <mergeCell ref="B73:O73"/>
    <mergeCell ref="B74:O74"/>
    <mergeCell ref="B75:O75"/>
    <mergeCell ref="B68:O68"/>
    <mergeCell ref="B69:O69"/>
    <mergeCell ref="B70:O70"/>
    <mergeCell ref="B71:O71"/>
    <mergeCell ref="B72:O72"/>
  </mergeCells>
  <printOptions horizontalCentered="1"/>
  <pageMargins left="0.7" right="0.7" top="0.75" bottom="0.75" header="0.3" footer="0.3"/>
  <pageSetup scale="68" orientation="portrait" r:id="rId5"/>
  <headerFooter differentFirst="1">
    <firstHeader>&amp;L&amp;G&amp;C&amp;8
&amp;18Credit Memo</firstHeader>
  </headerFooter>
  <rowBreaks count="1" manualBreakCount="1">
    <brk id="64" min="1" max="14" man="1"/>
  </rowBreaks>
  <drawing r:id="rId6"/>
  <legacyDrawing r:id="rId7"/>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CFF14CC-4CA9-40D3-BE6F-53A64EE87761}">
          <x14:formula1>
            <xm:f>Lists!$E$16:$E$20</xm:f>
          </x14:formula1>
          <xm:sqref>D7 J7 H7 F7</xm:sqref>
        </x14:dataValidation>
        <x14:dataValidation type="list" allowBlank="1" showInputMessage="1" showErrorMessage="1" xr:uid="{0A1F8DCD-FCFA-49B9-9883-A8AE2DAD0714}">
          <x14:formula1>
            <xm:f>Lists!$D$16:$D$24</xm:f>
          </x14:formula1>
          <xm:sqref>D6 J6 H6 F6</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4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4 IS'!D4</f>
        <v>44561</v>
      </c>
      <c r="D3" s="1151"/>
      <c r="E3" s="1190">
        <f>'Aff 4 IS'!F4</f>
        <v>44926</v>
      </c>
      <c r="F3" s="1151"/>
      <c r="G3" s="1190">
        <f>'Aff 4 IS'!H4</f>
        <v>45291</v>
      </c>
      <c r="H3" s="1151"/>
      <c r="I3" s="1190">
        <f>'Aff 4 IS'!J4</f>
        <v>45382</v>
      </c>
      <c r="J3" s="1154"/>
      <c r="K3" s="26"/>
      <c r="L3" s="26"/>
      <c r="M3" s="1347"/>
      <c r="N3" s="1347"/>
      <c r="O3" s="1347"/>
      <c r="P3" s="26"/>
      <c r="Q3" s="26"/>
      <c r="R3" s="26"/>
      <c r="S3" s="26"/>
      <c r="T3" s="26"/>
      <c r="U3" s="26"/>
      <c r="V3" s="26"/>
      <c r="W3" s="26"/>
      <c r="X3" s="26"/>
      <c r="Y3" s="26"/>
      <c r="Z3" s="26"/>
    </row>
    <row r="4" spans="1:26" ht="16">
      <c r="A4" s="1155" t="s">
        <v>183</v>
      </c>
      <c r="B4" s="1150"/>
      <c r="C4" s="1201">
        <f>'Aff 4 IS'!D5</f>
        <v>12</v>
      </c>
      <c r="D4" s="1151"/>
      <c r="E4" s="1201">
        <f>'Aff 4 IS'!F5</f>
        <v>12</v>
      </c>
      <c r="F4" s="1151"/>
      <c r="G4" s="1201">
        <f>'Aff 4 IS'!H5</f>
        <v>12</v>
      </c>
      <c r="H4" s="1151"/>
      <c r="I4" s="1201">
        <f>'Aff 4 IS'!J5</f>
        <v>3</v>
      </c>
      <c r="J4" s="1160"/>
      <c r="K4" s="26"/>
      <c r="L4" s="26"/>
      <c r="M4" s="1347"/>
      <c r="N4" s="1347"/>
      <c r="O4" s="1347"/>
      <c r="P4" s="26"/>
      <c r="Q4" s="26"/>
      <c r="R4" s="26"/>
      <c r="S4" s="26"/>
      <c r="T4" s="26"/>
      <c r="U4" s="26"/>
      <c r="V4" s="26"/>
      <c r="W4" s="26"/>
      <c r="X4" s="26"/>
      <c r="Y4" s="26"/>
      <c r="Z4" s="26"/>
    </row>
    <row r="5" spans="1:26" ht="16">
      <c r="A5" s="1155" t="s">
        <v>185</v>
      </c>
      <c r="B5" s="1150"/>
      <c r="C5" s="1201">
        <f>'Aff 4 IS'!D6</f>
        <v>0</v>
      </c>
      <c r="D5" s="1162"/>
      <c r="E5" s="1201">
        <f>'Aff 4 IS'!F6</f>
        <v>0</v>
      </c>
      <c r="F5" s="1162"/>
      <c r="G5" s="1201">
        <f>'Aff 4 IS'!H6</f>
        <v>0</v>
      </c>
      <c r="H5" s="1162"/>
      <c r="I5" s="1201">
        <f>'Aff 4 IS'!J6</f>
        <v>0</v>
      </c>
      <c r="J5" s="1160"/>
      <c r="K5" s="26"/>
      <c r="L5" s="26"/>
      <c r="M5" s="1347"/>
      <c r="N5" s="1347"/>
      <c r="O5" s="1347"/>
      <c r="P5" s="26"/>
      <c r="Q5" s="26"/>
      <c r="R5" s="26"/>
      <c r="S5" s="26"/>
      <c r="T5" s="26"/>
      <c r="U5" s="26"/>
      <c r="V5" s="26"/>
      <c r="W5" s="26"/>
      <c r="X5" s="26"/>
      <c r="Y5" s="26"/>
      <c r="Z5" s="26"/>
    </row>
    <row r="6" spans="1:26" ht="16">
      <c r="A6" s="1155" t="s">
        <v>188</v>
      </c>
      <c r="B6" s="1150"/>
      <c r="C6" s="1201">
        <f>'Aff 4 IS'!D7</f>
        <v>0</v>
      </c>
      <c r="D6" s="1162"/>
      <c r="E6" s="1201">
        <f>'Aff 4 IS'!F7</f>
        <v>0</v>
      </c>
      <c r="F6" s="1162"/>
      <c r="G6" s="1201">
        <f>'Aff 4 IS'!H7</f>
        <v>0</v>
      </c>
      <c r="H6" s="1162"/>
      <c r="I6" s="1201">
        <f>'Aff 4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SUBTOTAL(109,AFF4Debt[Curr Bal])</f>
        <v>0</v>
      </c>
      <c r="O30" s="1357">
        <f>SUBTOTAL(109,AFF4Debt[Curr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4 IS'!D60</f>
        <v>0</v>
      </c>
      <c r="D64" s="1193"/>
      <c r="E64" s="1196">
        <f>'Aff 4 IS'!F60</f>
        <v>0</v>
      </c>
      <c r="F64" s="1194"/>
      <c r="G64" s="1196">
        <f>'Aff 4 IS'!H60</f>
        <v>0</v>
      </c>
      <c r="H64" s="1195"/>
      <c r="I64" s="1196">
        <f>'Aff 4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aeevBHYZs+looc+A+0oCapM0289DUVhNrYHw96B3RIoP0o2q5tyQQEuRaMOuSqgFphQUTt6n7xglk/LaOHPXww==" saltValue="8h7M2s59qJTm/lN92vciIA==" spinCount="100000" sheet="1" scenarios="1" formatCells="0" formatColumns="0" formatRows="0"/>
  <customSheetViews>
    <customSheetView guid="{EDC0EC15-0264-48C8-A990-093960AE8EF3}" scale="85" showGridLines="0" printArea="1">
      <selection activeCell="M1" sqref="M1:O1"/>
      <rowBreaks count="1" manualBreakCount="1">
        <brk id="67" max="9"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6E1FDEE6-49D0-4876-8C7C-09893145D2CE}" scale="85" showGridLines="0" printArea="1" state="hidden">
      <selection activeCell="U1" sqref="U1:W1"/>
      <rowBreaks count="1" manualBreakCount="1">
        <brk id="67" max="9"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DB1F6E98-7FCC-445F-9DA6-47D8BF8BE969}" scale="85" showGridLines="0" printArea="1" state="hidden">
      <selection activeCell="U1" sqref="U1:W1"/>
      <rowBreaks count="1" manualBreakCount="1">
        <brk id="67" max="9" man="1"/>
      </rowBreaks>
      <pageMargins left="0" right="0" top="0" bottom="0" header="0" footer="0"/>
      <printOptions horizontalCentered="1"/>
      <pageSetup scale="64" orientation="portrait" r:id="rId3"/>
      <headerFooter differentFirst="1">
        <firstHeader>&amp;L&amp;G&amp;C&amp;8
&amp;18Credit Memo</firstHeader>
      </headerFooter>
    </customSheetView>
    <customSheetView guid="{C02CA8E5-5D4C-45E5-BC4A-4C9BE481059B}" scale="85" showGridLines="0" printArea="1" state="hidden">
      <selection activeCell="U1" sqref="U1:W1"/>
      <rowBreaks count="1" manualBreakCount="1">
        <brk id="67" max="9" man="1"/>
      </rowBreaks>
      <pageMargins left="0" right="0" top="0" bottom="0" header="0" footer="0"/>
      <printOptions horizontalCentered="1"/>
      <pageSetup scale="64" orientation="portrait" r:id="rId4"/>
      <headerFooter differentFirst="1">
        <firstHeader>&amp;L&amp;G&amp;C&amp;8
&amp;18Credit Memo</firstHeader>
      </headerFooter>
    </customSheetView>
  </customSheetViews>
  <mergeCells count="54">
    <mergeCell ref="A1:J1"/>
    <mergeCell ref="A2:J2"/>
    <mergeCell ref="A62:J62"/>
    <mergeCell ref="A61:J61"/>
    <mergeCell ref="M34:O34"/>
    <mergeCell ref="M31:O31"/>
    <mergeCell ref="A81:J81"/>
    <mergeCell ref="A78:J78"/>
    <mergeCell ref="A79:J79"/>
    <mergeCell ref="A80:J80"/>
    <mergeCell ref="M32:O32"/>
    <mergeCell ref="M33:O33"/>
    <mergeCell ref="M35:O35"/>
    <mergeCell ref="A82:J82"/>
    <mergeCell ref="A83:J83"/>
    <mergeCell ref="A84:J84"/>
    <mergeCell ref="A85:J85"/>
    <mergeCell ref="A86:J86"/>
    <mergeCell ref="A87:J87"/>
    <mergeCell ref="A88:J88"/>
    <mergeCell ref="A89:J89"/>
    <mergeCell ref="A90:J90"/>
    <mergeCell ref="A91:J91"/>
    <mergeCell ref="A92:J92"/>
    <mergeCell ref="A93:J93"/>
    <mergeCell ref="A94:J94"/>
    <mergeCell ref="A95:J95"/>
    <mergeCell ref="A96:J96"/>
    <mergeCell ref="A97:J97"/>
    <mergeCell ref="A98:J98"/>
    <mergeCell ref="A99:J99"/>
    <mergeCell ref="A100:J100"/>
    <mergeCell ref="A101:J101"/>
    <mergeCell ref="A102:J102"/>
    <mergeCell ref="A103:J103"/>
    <mergeCell ref="A104:J104"/>
    <mergeCell ref="A105:J105"/>
    <mergeCell ref="A106:J106"/>
    <mergeCell ref="A107:J107"/>
    <mergeCell ref="A108:J108"/>
    <mergeCell ref="A109:J109"/>
    <mergeCell ref="A110:J110"/>
    <mergeCell ref="A111:J111"/>
    <mergeCell ref="A112:J112"/>
    <mergeCell ref="A113:J113"/>
    <mergeCell ref="A114:J114"/>
    <mergeCell ref="A115:J115"/>
    <mergeCell ref="A116:J116"/>
    <mergeCell ref="A122:J122"/>
    <mergeCell ref="A117:J117"/>
    <mergeCell ref="A118:J118"/>
    <mergeCell ref="A119:J119"/>
    <mergeCell ref="A120:J120"/>
    <mergeCell ref="A121:J121"/>
  </mergeCells>
  <printOptions horizontalCentered="1"/>
  <pageMargins left="0.7" right="0.7" top="0.75" bottom="0.75" header="0.3" footer="0.3"/>
  <pageSetup scale="74" orientation="portrait" r:id="rId5"/>
  <headerFooter differentFirst="1">
    <firstHeader>&amp;L&amp;G&amp;C&amp;8
&amp;18Credit Memo</firstHeader>
  </headerFooter>
  <rowBreaks count="1" manualBreakCount="1">
    <brk id="60" max="9" man="1"/>
  </rowBreaks>
  <drawing r:id="rId6"/>
  <legacyDrawing r:id="rId7"/>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6EBBF3B9-31E1-49BE-91C1-2DE2559D4B36}">
          <x14:formula1>
            <xm:f>Lists!$C$2:$C$4</xm:f>
          </x14:formula1>
          <xm:sqref>Q9:Q29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D8240-6D62-413D-86BF-6296086002F4}">
  <sheetPr codeName="Sheet33">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4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4 CF</v>
      </c>
      <c r="V2" s="2901"/>
      <c r="W2" s="2901"/>
    </row>
    <row r="3" spans="1:29" ht="15.5" customHeight="1">
      <c r="A3" s="261" t="s">
        <v>182</v>
      </c>
      <c r="B3" s="262"/>
      <c r="C3" s="1086">
        <f>'Aff 4 IS'!D4</f>
        <v>44561</v>
      </c>
      <c r="D3" s="296"/>
      <c r="E3" s="1086">
        <f>'Aff 4 IS'!F4</f>
        <v>44926</v>
      </c>
      <c r="F3" s="296"/>
      <c r="G3" s="1086">
        <f>'Aff 4 IS'!H4</f>
        <v>45291</v>
      </c>
      <c r="H3" s="296"/>
      <c r="I3" s="1086">
        <f>'Aff 4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4 IS'!D5</f>
        <v>12</v>
      </c>
      <c r="D5" s="298"/>
      <c r="E5" s="266">
        <f>'Aff 4 IS'!F5</f>
        <v>12</v>
      </c>
      <c r="F5" s="298"/>
      <c r="G5" s="266">
        <f>'Aff 4 IS'!H5</f>
        <v>12</v>
      </c>
      <c r="H5" s="298"/>
      <c r="I5" s="266">
        <f>'Aff 4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4 IS'!D63</f>
        <v>0</v>
      </c>
      <c r="D7" s="1523"/>
      <c r="E7" s="1522">
        <f>'Aff 4 IS'!F63</f>
        <v>0</v>
      </c>
      <c r="F7" s="1523"/>
      <c r="G7" s="1522">
        <f>'Aff 4 IS'!H63</f>
        <v>0</v>
      </c>
      <c r="H7" s="1523"/>
      <c r="I7" s="1522">
        <f>'Aff 4 IS'!J63</f>
        <v>0</v>
      </c>
      <c r="J7" s="1523"/>
      <c r="K7" s="1556">
        <f>IF(K$4=1,C7,IF(K$4=2,E7,IF(K$4=3,G7,IF(K$4=4,I7,0))))</f>
        <v>0</v>
      </c>
      <c r="L7" s="1523"/>
      <c r="M7" s="1556">
        <f>IF(M$4=1,E7,IF(M$4=2,G7,IF(M$4=3,I7,IF(M$4=4,K7,0))))</f>
        <v>0</v>
      </c>
      <c r="N7" s="1523"/>
      <c r="O7" s="1556">
        <f>IF(O$4=1,G7,IF(O$4=2,I7,IF(O$4=3,K7,IF(O$4=4,M7,0))))</f>
        <v>0</v>
      </c>
      <c r="P7" s="1523"/>
      <c r="Q7" s="1556">
        <f>IF(Q$4=1,I7,IF(Q$4=2,K7,IF(Q$4=3,M7,IF(Q$4=4,O7,0))))</f>
        <v>0</v>
      </c>
      <c r="R7" s="288"/>
      <c r="T7" s="1375"/>
      <c r="U7" s="1381"/>
      <c r="V7" s="1382"/>
      <c r="W7" s="1382"/>
      <c r="X7" s="1382"/>
      <c r="Y7" s="1382"/>
      <c r="Z7" s="1382"/>
      <c r="AA7" s="1382"/>
      <c r="AB7" s="195"/>
      <c r="AC7" s="1379">
        <f>E3</f>
        <v>44926</v>
      </c>
    </row>
    <row r="8" spans="1:29" ht="17" thickBot="1">
      <c r="A8" s="353" t="s">
        <v>811</v>
      </c>
      <c r="B8" s="354"/>
      <c r="C8" s="1525">
        <f>'Aff 4 IS'!D33</f>
        <v>0</v>
      </c>
      <c r="D8" s="1526"/>
      <c r="E8" s="1525">
        <f>'Aff 4 IS'!F33</f>
        <v>0</v>
      </c>
      <c r="F8" s="1526"/>
      <c r="G8" s="1525">
        <f>'Aff 4 IS'!H33</f>
        <v>0</v>
      </c>
      <c r="H8" s="1526"/>
      <c r="I8" s="1525">
        <f>'Aff 4 IS'!J33</f>
        <v>0</v>
      </c>
      <c r="J8" s="1526"/>
      <c r="K8" s="1555">
        <f t="shared" ref="K8:Q16" si="0">IF(K$4=1,C8,IF(K$4=2,E8,IF(K$4=3,G8,IF(K$4=4,I8,0))))</f>
        <v>0</v>
      </c>
      <c r="L8" s="1526"/>
      <c r="M8" s="1555">
        <f t="shared" si="0"/>
        <v>0</v>
      </c>
      <c r="N8" s="1526"/>
      <c r="O8" s="1555">
        <f t="shared" si="0"/>
        <v>0</v>
      </c>
      <c r="P8" s="1526"/>
      <c r="Q8" s="1555">
        <f t="shared" si="0"/>
        <v>0</v>
      </c>
      <c r="R8" s="301"/>
      <c r="T8" s="1375"/>
      <c r="U8" s="1383"/>
      <c r="V8" s="1384"/>
      <c r="W8" s="1384"/>
      <c r="X8" s="1384"/>
      <c r="Y8" s="1384"/>
      <c r="Z8" s="1384"/>
      <c r="AA8" s="1384"/>
      <c r="AB8" s="491"/>
      <c r="AC8" s="1379">
        <f>G3</f>
        <v>45291</v>
      </c>
    </row>
    <row r="9" spans="1:29" ht="16">
      <c r="A9" s="353" t="s">
        <v>812</v>
      </c>
      <c r="B9" s="354"/>
      <c r="C9" s="1525">
        <f>'Aff 4 IS'!D32</f>
        <v>0</v>
      </c>
      <c r="D9" s="1526"/>
      <c r="E9" s="1525">
        <f>'Aff 4 IS'!F32</f>
        <v>0</v>
      </c>
      <c r="F9" s="1526"/>
      <c r="G9" s="1525">
        <f>'Aff 4 IS'!H32</f>
        <v>0</v>
      </c>
      <c r="H9" s="1526"/>
      <c r="I9" s="1525">
        <f>'Aff 4 IS'!J32</f>
        <v>0</v>
      </c>
      <c r="J9" s="1526"/>
      <c r="K9" s="1555">
        <f t="shared" si="0"/>
        <v>0</v>
      </c>
      <c r="L9" s="1526"/>
      <c r="M9" s="1555">
        <f t="shared" si="0"/>
        <v>0</v>
      </c>
      <c r="N9" s="1526"/>
      <c r="O9" s="1555">
        <f t="shared" si="0"/>
        <v>0</v>
      </c>
      <c r="P9" s="1526"/>
      <c r="Q9" s="1555">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5">
        <f t="shared" si="0"/>
        <v>0</v>
      </c>
      <c r="L10" s="1526"/>
      <c r="M10" s="1555">
        <f t="shared" si="0"/>
        <v>0</v>
      </c>
      <c r="N10" s="1526"/>
      <c r="O10" s="1555">
        <f t="shared" si="0"/>
        <v>0</v>
      </c>
      <c r="P10" s="1526"/>
      <c r="Q10" s="1555">
        <f t="shared" si="0"/>
        <v>0</v>
      </c>
      <c r="R10" s="301"/>
      <c r="T10" s="1375"/>
      <c r="U10" s="1375"/>
      <c r="V10" s="1375"/>
      <c r="W10" s="1375"/>
      <c r="X10" s="1375"/>
      <c r="Y10" s="1375"/>
      <c r="Z10" s="1375"/>
      <c r="AA10" s="1375"/>
      <c r="AC10" s="1387"/>
    </row>
    <row r="11" spans="1:29" ht="17.5" customHeight="1">
      <c r="A11" s="353" t="s">
        <v>814</v>
      </c>
      <c r="B11" s="354"/>
      <c r="C11" s="1525">
        <f>'Aff 4 IS'!D61</f>
        <v>0</v>
      </c>
      <c r="D11" s="1529"/>
      <c r="E11" s="1525">
        <f>'Aff 4 IS'!F61</f>
        <v>0</v>
      </c>
      <c r="F11" s="1529"/>
      <c r="G11" s="1525">
        <f>'Aff 4 IS'!H61</f>
        <v>0</v>
      </c>
      <c r="H11" s="1529"/>
      <c r="I11" s="1525">
        <f>'Aff 4 IS'!J61</f>
        <v>0</v>
      </c>
      <c r="J11" s="1529"/>
      <c r="K11" s="1555">
        <f t="shared" si="0"/>
        <v>0</v>
      </c>
      <c r="L11" s="1526"/>
      <c r="M11" s="1555">
        <f t="shared" si="0"/>
        <v>0</v>
      </c>
      <c r="N11" s="1526"/>
      <c r="O11" s="1555">
        <f t="shared" si="0"/>
        <v>0</v>
      </c>
      <c r="P11" s="1526"/>
      <c r="Q11" s="1555">
        <f t="shared" si="0"/>
        <v>0</v>
      </c>
      <c r="R11" s="301"/>
      <c r="U11" s="2776"/>
      <c r="V11" s="2776"/>
      <c r="W11" s="2776"/>
    </row>
    <row r="12" spans="1:29" ht="16">
      <c r="A12" s="353" t="s">
        <v>815</v>
      </c>
      <c r="B12" s="354"/>
      <c r="C12" s="1525"/>
      <c r="D12" s="1529"/>
      <c r="E12" s="1525"/>
      <c r="F12" s="1529"/>
      <c r="G12" s="1525"/>
      <c r="H12" s="1529"/>
      <c r="I12" s="1525"/>
      <c r="J12" s="1529"/>
      <c r="K12" s="1555">
        <f t="shared" si="0"/>
        <v>0</v>
      </c>
      <c r="L12" s="1526"/>
      <c r="M12" s="1555">
        <f t="shared" si="0"/>
        <v>0</v>
      </c>
      <c r="N12" s="1526"/>
      <c r="O12" s="1555">
        <f t="shared" si="0"/>
        <v>0</v>
      </c>
      <c r="P12" s="1526"/>
      <c r="Q12" s="1555">
        <f t="shared" si="0"/>
        <v>0</v>
      </c>
      <c r="R12" s="301"/>
      <c r="U12" s="2776"/>
      <c r="V12" s="2776"/>
      <c r="W12" s="2776"/>
    </row>
    <row r="13" spans="1:29" ht="16">
      <c r="A13" s="353" t="s">
        <v>816</v>
      </c>
      <c r="B13" s="354"/>
      <c r="C13" s="1528"/>
      <c r="D13" s="1529"/>
      <c r="E13" s="1525"/>
      <c r="F13" s="1529"/>
      <c r="G13" s="1525"/>
      <c r="H13" s="1529"/>
      <c r="I13" s="1525"/>
      <c r="J13" s="1529"/>
      <c r="K13" s="1555">
        <f t="shared" si="0"/>
        <v>0</v>
      </c>
      <c r="L13" s="1526"/>
      <c r="M13" s="1555">
        <f t="shared" si="0"/>
        <v>0</v>
      </c>
      <c r="N13" s="1526"/>
      <c r="O13" s="1555">
        <f t="shared" si="0"/>
        <v>0</v>
      </c>
      <c r="P13" s="1526"/>
      <c r="Q13" s="1555">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5">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4">
        <f>SUM(O7:O16)</f>
        <v>0</v>
      </c>
      <c r="P17" s="1537"/>
      <c r="Q17" s="1533">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AFF4Debt[[#Totals],[Curr Pmt]]*'Aff 4 CF'!C5</f>
        <v>0</v>
      </c>
      <c r="D27" s="1543"/>
      <c r="E27" s="1524">
        <f>AFF4Debt[[#Totals],[Curr Pmt]]*'Aff 4 CF'!E5</f>
        <v>0</v>
      </c>
      <c r="F27" s="1543"/>
      <c r="G27" s="1524">
        <f>AFF4Debt[[#Totals],[Curr Pmt]]*'Aff 4 CF'!G5</f>
        <v>0</v>
      </c>
      <c r="H27" s="1543"/>
      <c r="I27" s="1524">
        <f>AFF4Debt[[#Totals],[Curr Pmt]]*'Aff 4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n7bfcydKdd/S+yuihHqEQF1Ye6MFSP7P/i7mT1CKemo5A/fVtgmcfYOEXZhatZsKiYINIe+8s8O2yhaGvUlZbg==" saltValue="HlxiMmRh+1Mq+qndUx5ssg==" spinCount="100000" sheet="1" scenarios="1" formatCells="0" formatColumns="0" formatRows="0"/>
  <customSheetViews>
    <customSheetView guid="{6E1FDEE6-49D0-4876-8C7C-09893145D2CE}" scale="85" showPageBreaks="1" showGridLines="0" printArea="1" hiddenRows="1" state="hidden" topLeftCell="A19">
      <selection activeCell="U1" sqref="U1:W1"/>
      <rowBreaks count="1" manualBreakCount="1">
        <brk id="75" max="17" man="1"/>
      </rowBreaks>
      <pageMargins left="0" right="0" top="0" bottom="0" header="0" footer="0"/>
      <printOptions horizontalCentered="1"/>
      <pageSetup scale="61" orientation="portrait" r:id="rId1"/>
      <headerFooter differentFirst="1">
        <firstHeader>&amp;L&amp;G&amp;C&amp;8
&amp;18Credit Memo</firstHeader>
      </headerFooter>
    </customSheetView>
    <customSheetView guid="{DB1F6E98-7FCC-445F-9DA6-47D8BF8BE969}" scale="85" showPageBreaks="1" showGridLines="0" printArea="1" hiddenRows="1" state="hidden" topLeftCell="A19">
      <selection activeCell="U1" sqref="U1:W1"/>
      <rowBreaks count="1" manualBreakCount="1">
        <brk id="75" max="17" man="1"/>
      </rowBreaks>
      <pageMargins left="0" right="0" top="0" bottom="0" header="0" footer="0"/>
      <printOptions horizontalCentered="1"/>
      <pageSetup scale="61" orientation="portrait" r:id="rId2"/>
      <headerFooter differentFirst="1">
        <firstHeader>&amp;L&amp;G&amp;C&amp;8
&amp;18Credit Memo</firstHeader>
      </headerFooter>
    </customSheetView>
    <customSheetView guid="{C02CA8E5-5D4C-45E5-BC4A-4C9BE481059B}" scale="85" showPageBreaks="1" showGridLines="0" printArea="1" hiddenRows="1" state="hidden" topLeftCell="A19">
      <selection activeCell="U1" sqref="U1:W1"/>
      <rowBreaks count="1" manualBreakCount="1">
        <brk id="75" max="17" man="1"/>
      </rowBreaks>
      <pageMargins left="0" right="0" top="0" bottom="0" header="0" footer="0"/>
      <printOptions horizontalCentered="1"/>
      <pageSetup scale="61" orientation="portrait" r:id="rId3"/>
      <headerFooter differentFirst="1">
        <firstHeader>&amp;L&amp;G&amp;C&amp;8
&amp;18Credit Memo</firstHeader>
      </headerFooter>
    </customSheetView>
  </customSheetViews>
  <mergeCells count="11">
    <mergeCell ref="A1:Q1"/>
    <mergeCell ref="A2:R2"/>
    <mergeCell ref="U2:W2"/>
    <mergeCell ref="U3:W3"/>
    <mergeCell ref="A58:R58"/>
    <mergeCell ref="U11:W11"/>
    <mergeCell ref="U12:W12"/>
    <mergeCell ref="A17:B17"/>
    <mergeCell ref="A26:B26"/>
    <mergeCell ref="A57:R57"/>
    <mergeCell ref="A34:B34"/>
  </mergeCells>
  <printOptions horizontalCentered="1"/>
  <pageMargins left="0.7" right="0.7" top="0.75" bottom="0.75" header="0.3" footer="0.3"/>
  <pageSetup scale="61" orientation="portrait" r:id="rId4"/>
  <headerFooter differentFirst="1">
    <firstHeader>&amp;L&amp;G&amp;C&amp;8
&amp;18Credit Memo</firstHeader>
  </headerFooter>
  <rowBreaks count="1" manualBreakCount="1">
    <brk id="79" max="17" man="1"/>
  </rowBreaks>
  <drawing r:id="rId5"/>
  <legacyDrawing r:id="rId6"/>
  <mc:AlternateContent xmlns:mc="http://schemas.openxmlformats.org/markup-compatibility/2006">
    <mc:Choice Requires="x14">
      <controls>
        <mc:AlternateContent xmlns:mc="http://schemas.openxmlformats.org/markup-compatibility/2006">
          <mc:Choice Requires="x14">
            <control shapeId="215043" r:id="rId7" name="Drop Down 3">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215044" r:id="rId8" name="Drop Down 4">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215045" r:id="rId9" name="Drop Down 5">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215046" r:id="rId10" name="Drop Down 6">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7">
    <tabColor rgb="FF00B050"/>
    <pageSetUpPr autoPageBreaks="0"/>
  </sheetPr>
  <dimension ref="B1:W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3" ht="16">
      <c r="B1" s="2880" t="s">
        <v>177</v>
      </c>
      <c r="C1" s="2881"/>
      <c r="D1" s="2881"/>
      <c r="E1" s="2881"/>
      <c r="F1" s="2881"/>
      <c r="G1" s="2881"/>
      <c r="H1" s="2881"/>
      <c r="I1" s="2881"/>
      <c r="J1" s="2881"/>
      <c r="K1" s="2881"/>
      <c r="L1" s="2881"/>
      <c r="M1" s="2881"/>
      <c r="N1" s="2881"/>
      <c r="O1" s="2882"/>
      <c r="R1" s="1179"/>
      <c r="S1" s="1179"/>
      <c r="T1" s="1179"/>
    </row>
    <row r="2" spans="2:23" ht="16">
      <c r="B2" s="2383" t="s">
        <v>179</v>
      </c>
      <c r="C2" s="2385"/>
      <c r="D2" s="2385"/>
      <c r="E2" s="2385"/>
      <c r="F2" s="2385"/>
      <c r="G2" s="2385"/>
      <c r="H2" s="2385"/>
      <c r="I2" s="2385"/>
      <c r="J2" s="2385"/>
      <c r="K2" s="2385"/>
      <c r="L2" s="2385"/>
      <c r="M2" s="2385"/>
      <c r="N2" s="2385"/>
      <c r="O2" s="2386"/>
      <c r="R2" s="1189"/>
      <c r="S2" s="1189"/>
      <c r="T2" s="1189"/>
      <c r="U2" s="2914" t="str" cm="1">
        <f t="array" aca="1" ref="U2" ca="1">MID(CELL("filename",A1),FIND("]",CELL("filename",A1))+1,256)</f>
        <v>Aff 5 IS</v>
      </c>
      <c r="V2" s="2914"/>
      <c r="W2" s="2914"/>
    </row>
    <row r="3" spans="2:23" ht="16">
      <c r="B3" s="1181"/>
      <c r="C3" s="237"/>
      <c r="D3" s="237"/>
      <c r="E3" s="237"/>
      <c r="F3" s="237"/>
      <c r="G3" s="237"/>
      <c r="H3" s="237"/>
      <c r="I3" s="237"/>
      <c r="J3" s="237"/>
      <c r="K3" s="237"/>
      <c r="L3" s="237"/>
      <c r="M3" s="237"/>
      <c r="N3" s="237"/>
      <c r="O3" s="263"/>
      <c r="R3" s="1189"/>
      <c r="S3" s="1189"/>
      <c r="T3" s="1189"/>
    </row>
    <row r="4" spans="2:23"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3" ht="16">
      <c r="B5" s="312" t="s">
        <v>183</v>
      </c>
      <c r="C5" s="270"/>
      <c r="D5" s="136">
        <v>12</v>
      </c>
      <c r="E5" s="316"/>
      <c r="F5" s="136">
        <v>12</v>
      </c>
      <c r="G5" s="316"/>
      <c r="H5" s="136">
        <v>12</v>
      </c>
      <c r="I5" s="316"/>
      <c r="J5" s="136">
        <v>3</v>
      </c>
      <c r="K5" s="1183"/>
      <c r="L5" s="1183"/>
      <c r="M5" s="1183"/>
      <c r="N5" s="1183"/>
      <c r="O5" s="322"/>
      <c r="R5" s="2901"/>
      <c r="S5" s="2901"/>
      <c r="T5" s="2901"/>
    </row>
    <row r="6" spans="2:23" ht="16">
      <c r="B6" s="312" t="s">
        <v>185</v>
      </c>
      <c r="C6" s="270"/>
      <c r="D6" s="137"/>
      <c r="E6" s="317"/>
      <c r="F6" s="137"/>
      <c r="G6" s="317"/>
      <c r="H6" s="1187"/>
      <c r="I6" s="317"/>
      <c r="J6" s="137"/>
      <c r="K6" s="1183"/>
      <c r="L6" s="1183"/>
      <c r="M6" s="2893" t="s">
        <v>737</v>
      </c>
      <c r="N6" s="296"/>
      <c r="O6" s="322"/>
      <c r="R6" s="2901"/>
      <c r="S6" s="2901"/>
      <c r="T6" s="2901"/>
    </row>
    <row r="7" spans="2:23" ht="16">
      <c r="B7" s="312" t="s">
        <v>188</v>
      </c>
      <c r="C7" s="270"/>
      <c r="D7" s="137"/>
      <c r="E7" s="317"/>
      <c r="F7" s="137"/>
      <c r="G7" s="317"/>
      <c r="H7" s="1187"/>
      <c r="I7" s="317"/>
      <c r="J7" s="137"/>
      <c r="K7" s="1183"/>
      <c r="L7" s="1183"/>
      <c r="M7" s="2894"/>
      <c r="N7" s="296"/>
      <c r="O7" s="322"/>
      <c r="R7" s="2901"/>
      <c r="S7" s="2901"/>
      <c r="T7" s="2901"/>
    </row>
    <row r="8" spans="2:23" ht="16">
      <c r="B8" s="236" t="s">
        <v>189</v>
      </c>
      <c r="C8" s="234" t="s">
        <v>795</v>
      </c>
      <c r="D8" s="314"/>
      <c r="E8" s="315"/>
      <c r="F8" s="314"/>
      <c r="G8" s="315"/>
      <c r="H8" s="314"/>
      <c r="I8" s="315"/>
      <c r="J8" s="314"/>
      <c r="K8" s="315"/>
      <c r="L8" s="315"/>
      <c r="M8" s="314"/>
      <c r="N8" s="314"/>
      <c r="O8" s="323"/>
      <c r="R8" s="2901"/>
      <c r="S8" s="2901"/>
      <c r="T8" s="2901"/>
    </row>
    <row r="9" spans="2:23"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3"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3"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3"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3"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3"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3"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3"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w3JDe8N3yT081cQi06pL7EP6CB1XfcWsU+cpTrIk7Ws16Y/BfJfB71yaBgVMEp58vf730d1AZ3PmJavhtQjziA==" saltValue="WGUXTtal+j2hmGkgK4nfDQ==" spinCount="100000" sheet="1" scenarios="1" formatCells="0" formatColumns="0" formatRows="0"/>
  <customSheetViews>
    <customSheetView guid="{EDC0EC15-0264-48C8-A990-093960AE8EF3}" scale="85" showGridLines="0" printArea="1" hiddenRows="1">
      <selection activeCell="C4" sqref="C4"/>
      <rowBreaks count="1" manualBreakCount="1">
        <brk id="61" max="13" man="1"/>
      </rowBreaks>
      <pageMargins left="0" right="0" top="0" bottom="0" header="0" footer="0"/>
      <printOptions horizontalCentered="1"/>
      <pageSetup scale="68" orientation="portrait" r:id="rId1"/>
      <headerFooter differentFirst="1">
        <firstHeader>&amp;L&amp;G&amp;C&amp;8
&amp;18Credit Memo</firstHeader>
      </headerFooter>
    </customSheetView>
    <customSheetView guid="{6E1FDEE6-49D0-4876-8C7C-09893145D2CE}"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2"/>
      <headerFooter differentFirst="1">
        <firstHeader>&amp;L&amp;G&amp;C&amp;8
&amp;18Credit Memo</firstHeader>
      </headerFooter>
    </customSheetView>
    <customSheetView guid="{DB1F6E98-7FCC-445F-9DA6-47D8BF8BE969}"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3"/>
      <headerFooter differentFirst="1">
        <firstHeader>&amp;L&amp;G&amp;C&amp;8
&amp;18Credit Memo</firstHeader>
      </headerFooter>
    </customSheetView>
    <customSheetView guid="{C02CA8E5-5D4C-45E5-BC4A-4C9BE481059B}" scale="85" showGridLines="0" printArea="1" hiddenRows="1" state="hidden">
      <selection activeCell="U1" sqref="U1:W1"/>
      <rowBreaks count="1" manualBreakCount="1">
        <brk id="61" max="13" man="1"/>
      </rowBreaks>
      <pageMargins left="0" right="0" top="0" bottom="0" header="0" footer="0"/>
      <printOptions horizontalCentered="1"/>
      <pageSetup scale="68" orientation="portrait" r:id="rId4"/>
      <headerFooter differentFirst="1">
        <firstHeader>&amp;L&amp;G&amp;C&amp;8
&amp;18Credit Memo</firstHeader>
      </headerFooter>
    </customSheetView>
  </customSheetViews>
  <mergeCells count="46">
    <mergeCell ref="U2:W2"/>
    <mergeCell ref="B2:O2"/>
    <mergeCell ref="B1:O1"/>
    <mergeCell ref="R5:T5"/>
    <mergeCell ref="M6:M7"/>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4:T24"/>
    <mergeCell ref="R25:T25"/>
    <mergeCell ref="R26:T26"/>
    <mergeCell ref="R27:T27"/>
    <mergeCell ref="R28:T28"/>
    <mergeCell ref="R29:T29"/>
    <mergeCell ref="R30:T30"/>
    <mergeCell ref="R31:T31"/>
    <mergeCell ref="R32:T32"/>
    <mergeCell ref="R33:T33"/>
    <mergeCell ref="R34:T34"/>
    <mergeCell ref="R35:T35"/>
    <mergeCell ref="R36:T36"/>
    <mergeCell ref="R37:T37"/>
    <mergeCell ref="R38:T38"/>
    <mergeCell ref="B65:O65"/>
    <mergeCell ref="B66:O66"/>
    <mergeCell ref="B67:O67"/>
    <mergeCell ref="B73:O73"/>
    <mergeCell ref="B74:O74"/>
    <mergeCell ref="B75:O75"/>
    <mergeCell ref="B68:O68"/>
    <mergeCell ref="B69:O69"/>
    <mergeCell ref="B70:O70"/>
    <mergeCell ref="B71:O71"/>
    <mergeCell ref="B72:O72"/>
  </mergeCells>
  <printOptions horizontalCentered="1"/>
  <pageMargins left="0.7" right="0.7" top="0.75" bottom="0.75" header="0.3" footer="0.3"/>
  <pageSetup scale="68" orientation="portrait" r:id="rId5"/>
  <headerFooter differentFirst="1">
    <firstHeader>&amp;L&amp;G&amp;C&amp;8
&amp;18Credit Memo</firstHeader>
  </headerFooter>
  <rowBreaks count="1" manualBreakCount="1">
    <brk id="64" min="1" max="14" man="1"/>
  </rowBreaks>
  <drawing r:id="rId6"/>
  <legacyDrawing r:id="rId7"/>
  <extLst>
    <ext xmlns:x14="http://schemas.microsoft.com/office/spreadsheetml/2009/9/main" uri="{CCE6A557-97BC-4b89-ADB6-D9C93CAAB3DF}">
      <x14:dataValidations xmlns:xm="http://schemas.microsoft.com/office/excel/2006/main" count="2">
        <x14:dataValidation type="list" allowBlank="1" showInputMessage="1" showErrorMessage="1" xr:uid="{C1FB8C09-1F1F-472A-96DB-E6A85B09CEE0}">
          <x14:formula1>
            <xm:f>Lists!$E$16:$E$20</xm:f>
          </x14:formula1>
          <xm:sqref>D7 J7 H7 F7</xm:sqref>
        </x14:dataValidation>
        <x14:dataValidation type="list" allowBlank="1" showInputMessage="1" showErrorMessage="1" xr:uid="{17B64E74-B65F-460C-B24F-EB8A3C42F8EB}">
          <x14:formula1>
            <xm:f>Lists!$D$16:$D$24</xm:f>
          </x14:formula1>
          <xm:sqref>D6 J6 H6 F6</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8">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5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5 IS'!D4</f>
        <v>44561</v>
      </c>
      <c r="D3" s="1151"/>
      <c r="E3" s="1190">
        <f>'Aff 5 IS'!F4</f>
        <v>44926</v>
      </c>
      <c r="F3" s="1151"/>
      <c r="G3" s="1190">
        <f>'Aff 5 IS'!H4</f>
        <v>45291</v>
      </c>
      <c r="H3" s="1151"/>
      <c r="I3" s="1190">
        <f>'Aff 5 IS'!J4</f>
        <v>45382</v>
      </c>
      <c r="J3" s="1154"/>
      <c r="K3" s="26"/>
      <c r="L3" s="26"/>
      <c r="M3" s="1347"/>
      <c r="N3" s="1347"/>
      <c r="O3" s="1347"/>
      <c r="P3" s="26"/>
      <c r="Q3" s="26"/>
      <c r="R3" s="26"/>
      <c r="S3" s="26"/>
      <c r="T3" s="26"/>
      <c r="U3" s="26"/>
      <c r="V3" s="26"/>
      <c r="W3" s="26"/>
      <c r="X3" s="26"/>
      <c r="Y3" s="26"/>
      <c r="Z3" s="26"/>
    </row>
    <row r="4" spans="1:26" ht="16">
      <c r="A4" s="1155" t="s">
        <v>183</v>
      </c>
      <c r="B4" s="1150"/>
      <c r="C4" s="1201">
        <f>'Aff 5 IS'!D5</f>
        <v>12</v>
      </c>
      <c r="D4" s="1151"/>
      <c r="E4" s="1201">
        <f>'Aff 5 IS'!F5</f>
        <v>12</v>
      </c>
      <c r="F4" s="1151"/>
      <c r="G4" s="1201">
        <f>'Aff 5 IS'!H5</f>
        <v>12</v>
      </c>
      <c r="H4" s="1151"/>
      <c r="I4" s="1201">
        <f>'Aff 5 IS'!J5</f>
        <v>3</v>
      </c>
      <c r="J4" s="1160"/>
      <c r="K4" s="26"/>
      <c r="L4" s="26"/>
      <c r="M4" s="1347"/>
      <c r="N4" s="1347"/>
      <c r="O4" s="1347"/>
      <c r="P4" s="26"/>
      <c r="Q4" s="26"/>
      <c r="R4" s="26"/>
      <c r="S4" s="26"/>
      <c r="T4" s="26"/>
      <c r="U4" s="26"/>
      <c r="V4" s="26"/>
      <c r="W4" s="26"/>
      <c r="X4" s="26"/>
      <c r="Y4" s="26"/>
      <c r="Z4" s="26"/>
    </row>
    <row r="5" spans="1:26" ht="16">
      <c r="A5" s="1155" t="s">
        <v>185</v>
      </c>
      <c r="B5" s="1150"/>
      <c r="C5" s="1201">
        <f>'Aff 5 IS'!D6</f>
        <v>0</v>
      </c>
      <c r="D5" s="1162"/>
      <c r="E5" s="1201">
        <f>'Aff 5 IS'!F6</f>
        <v>0</v>
      </c>
      <c r="F5" s="1162"/>
      <c r="G5" s="1201">
        <f>'Aff 5 IS'!H6</f>
        <v>0</v>
      </c>
      <c r="H5" s="1162"/>
      <c r="I5" s="1201">
        <f>'Aff 5 IS'!J6</f>
        <v>0</v>
      </c>
      <c r="J5" s="1160"/>
      <c r="K5" s="26"/>
      <c r="L5" s="26"/>
      <c r="M5" s="1347"/>
      <c r="N5" s="1347"/>
      <c r="O5" s="1347"/>
      <c r="P5" s="26"/>
      <c r="Q5" s="26"/>
      <c r="R5" s="26"/>
      <c r="S5" s="26"/>
      <c r="T5" s="26"/>
      <c r="U5" s="26"/>
      <c r="V5" s="26"/>
      <c r="W5" s="26"/>
      <c r="X5" s="26"/>
      <c r="Y5" s="26"/>
      <c r="Z5" s="26"/>
    </row>
    <row r="6" spans="1:26" ht="16">
      <c r="A6" s="1155" t="s">
        <v>188</v>
      </c>
      <c r="B6" s="1150"/>
      <c r="C6" s="1201">
        <f>'Aff 5 IS'!D7</f>
        <v>0</v>
      </c>
      <c r="D6" s="1162"/>
      <c r="E6" s="1201">
        <f>'Aff 5 IS'!F7</f>
        <v>0</v>
      </c>
      <c r="F6" s="1162"/>
      <c r="G6" s="1201">
        <f>'Aff 5 IS'!H7</f>
        <v>0</v>
      </c>
      <c r="H6" s="1162"/>
      <c r="I6" s="1201">
        <f>'Aff 5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SUBTOTAL(109,AFF5Debt[Curr Bal])</f>
        <v>0</v>
      </c>
      <c r="O30" s="1357">
        <f>SUBTOTAL(109,AFF5Debt[Curr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5 IS'!D60</f>
        <v>0</v>
      </c>
      <c r="D64" s="1193"/>
      <c r="E64" s="1196">
        <f>'Aff 5 IS'!F60</f>
        <v>0</v>
      </c>
      <c r="F64" s="1194"/>
      <c r="G64" s="1196">
        <f>'Aff 5 IS'!H60</f>
        <v>0</v>
      </c>
      <c r="H64" s="1195"/>
      <c r="I64" s="1196">
        <f>'Aff 5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tJRqdA0h7/JNrJlzjal5XcilZ83favwhh3oxeKZgb1wasjqzXbxQfv5Zcyb6EHq+hfHbGHYHYtlPkEigEzXRxw==" saltValue="+KLYdrwYx8+ks3AiHaiybQ==" spinCount="100000" sheet="1" scenarios="1" formatCells="0" formatColumns="0" formatRows="0"/>
  <customSheetViews>
    <customSheetView guid="{EDC0EC15-0264-48C8-A990-093960AE8EF3}" scale="85" showGridLines="0" printArea="1" topLeftCell="A8">
      <selection activeCell="C8" sqref="C8"/>
      <rowBreaks count="1" manualBreakCount="1">
        <brk id="67" max="9" man="1"/>
      </rowBreaks>
      <pageMargins left="0" right="0" top="0" bottom="0" header="0" footer="0"/>
      <printOptions horizontalCentered="1"/>
      <pageSetup scale="64" orientation="portrait" r:id="rId1"/>
      <headerFooter differentFirst="1">
        <firstHeader>&amp;L&amp;G&amp;C&amp;8
&amp;18Credit Memo</firstHeader>
      </headerFooter>
    </customSheetView>
    <customSheetView guid="{6E1FDEE6-49D0-4876-8C7C-09893145D2CE}" scale="85" showGridLines="0" printArea="1" state="hidden" topLeftCell="A8">
      <selection activeCell="U1" sqref="U1:W1"/>
      <rowBreaks count="1" manualBreakCount="1">
        <brk id="67" max="9" man="1"/>
      </rowBreaks>
      <pageMargins left="0" right="0" top="0" bottom="0" header="0" footer="0"/>
      <printOptions horizontalCentered="1"/>
      <pageSetup scale="64" orientation="portrait" r:id="rId2"/>
      <headerFooter differentFirst="1">
        <firstHeader>&amp;L&amp;G&amp;C&amp;8
&amp;18Credit Memo</firstHeader>
      </headerFooter>
    </customSheetView>
    <customSheetView guid="{DB1F6E98-7FCC-445F-9DA6-47D8BF8BE969}" scale="85" showGridLines="0" printArea="1" state="hidden" topLeftCell="A8">
      <selection activeCell="U1" sqref="U1:W1"/>
      <rowBreaks count="1" manualBreakCount="1">
        <brk id="67" max="9" man="1"/>
      </rowBreaks>
      <pageMargins left="0" right="0" top="0" bottom="0" header="0" footer="0"/>
      <printOptions horizontalCentered="1"/>
      <pageSetup scale="64" orientation="portrait" r:id="rId3"/>
      <headerFooter differentFirst="1">
        <firstHeader>&amp;L&amp;G&amp;C&amp;8
&amp;18Credit Memo</firstHeader>
      </headerFooter>
    </customSheetView>
    <customSheetView guid="{C02CA8E5-5D4C-45E5-BC4A-4C9BE481059B}" scale="85" showGridLines="0" printArea="1" state="hidden" topLeftCell="A8">
      <selection activeCell="U1" sqref="U1:W1"/>
      <rowBreaks count="1" manualBreakCount="1">
        <brk id="67" max="9" man="1"/>
      </rowBreaks>
      <pageMargins left="0" right="0" top="0" bottom="0" header="0" footer="0"/>
      <printOptions horizontalCentered="1"/>
      <pageSetup scale="64" orientation="portrait" r:id="rId4"/>
      <headerFooter differentFirst="1">
        <firstHeader>&amp;L&amp;G&amp;C&amp;8
&amp;18Credit Memo</firstHeader>
      </headerFooter>
    </customSheetView>
  </customSheetViews>
  <mergeCells count="54">
    <mergeCell ref="A1:J1"/>
    <mergeCell ref="A2:J2"/>
    <mergeCell ref="A62:J62"/>
    <mergeCell ref="A61:J61"/>
    <mergeCell ref="M34:O34"/>
    <mergeCell ref="M31:O31"/>
    <mergeCell ref="A81:J81"/>
    <mergeCell ref="A78:J78"/>
    <mergeCell ref="A79:J79"/>
    <mergeCell ref="A80:J80"/>
    <mergeCell ref="M32:O32"/>
    <mergeCell ref="M33:O33"/>
    <mergeCell ref="M35:O35"/>
    <mergeCell ref="A82:J82"/>
    <mergeCell ref="A83:J83"/>
    <mergeCell ref="A84:J84"/>
    <mergeCell ref="A85:J85"/>
    <mergeCell ref="A86:J86"/>
    <mergeCell ref="A87:J87"/>
    <mergeCell ref="A88:J88"/>
    <mergeCell ref="A89:J89"/>
    <mergeCell ref="A90:J90"/>
    <mergeCell ref="A91:J91"/>
    <mergeCell ref="A92:J92"/>
    <mergeCell ref="A93:J93"/>
    <mergeCell ref="A94:J94"/>
    <mergeCell ref="A95:J95"/>
    <mergeCell ref="A96:J96"/>
    <mergeCell ref="A97:J97"/>
    <mergeCell ref="A98:J98"/>
    <mergeCell ref="A99:J99"/>
    <mergeCell ref="A100:J100"/>
    <mergeCell ref="A101:J101"/>
    <mergeCell ref="A102:J102"/>
    <mergeCell ref="A103:J103"/>
    <mergeCell ref="A104:J104"/>
    <mergeCell ref="A105:J105"/>
    <mergeCell ref="A106:J106"/>
    <mergeCell ref="A107:J107"/>
    <mergeCell ref="A108:J108"/>
    <mergeCell ref="A109:J109"/>
    <mergeCell ref="A110:J110"/>
    <mergeCell ref="A111:J111"/>
    <mergeCell ref="A112:J112"/>
    <mergeCell ref="A113:J113"/>
    <mergeCell ref="A114:J114"/>
    <mergeCell ref="A115:J115"/>
    <mergeCell ref="A116:J116"/>
    <mergeCell ref="A122:J122"/>
    <mergeCell ref="A117:J117"/>
    <mergeCell ref="A118:J118"/>
    <mergeCell ref="A119:J119"/>
    <mergeCell ref="A120:J120"/>
    <mergeCell ref="A121:J121"/>
  </mergeCells>
  <printOptions horizontalCentered="1"/>
  <pageMargins left="0.7" right="0.7" top="0.75" bottom="0.75" header="0.3" footer="0.3"/>
  <pageSetup scale="74" orientation="portrait" r:id="rId5"/>
  <headerFooter differentFirst="1">
    <firstHeader>&amp;L&amp;G&amp;C&amp;8
&amp;18Credit Memo</firstHeader>
  </headerFooter>
  <rowBreaks count="1" manualBreakCount="1">
    <brk id="60" max="9" man="1"/>
  </rowBreaks>
  <legacyDrawing r:id="rId6"/>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62CC2446-31D6-4368-B6C0-0C8C4743B1E9}">
          <x14:formula1>
            <xm:f>Lists!$C$2:$C$4</xm:f>
          </x14:formula1>
          <xm:sqref>Q9:Q29</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F9370-358A-44B2-BE2F-634F2E667D9F}">
  <sheetPr codeName="Sheet36">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5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5 CF</v>
      </c>
      <c r="V2" s="2901"/>
      <c r="W2" s="2901"/>
    </row>
    <row r="3" spans="1:29" ht="15.5" customHeight="1">
      <c r="A3" s="261" t="s">
        <v>182</v>
      </c>
      <c r="B3" s="262"/>
      <c r="C3" s="1086">
        <f>'Aff 5 IS'!D4</f>
        <v>44561</v>
      </c>
      <c r="D3" s="296"/>
      <c r="E3" s="1086">
        <f>'Aff 5 IS'!F4</f>
        <v>44926</v>
      </c>
      <c r="F3" s="296"/>
      <c r="G3" s="1086">
        <f>'Aff 5 IS'!H4</f>
        <v>45291</v>
      </c>
      <c r="H3" s="296"/>
      <c r="I3" s="1086">
        <f>'Aff 5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5 IS'!D5</f>
        <v>12</v>
      </c>
      <c r="D5" s="298"/>
      <c r="E5" s="266">
        <f>'Aff 5 IS'!F5</f>
        <v>12</v>
      </c>
      <c r="F5" s="298"/>
      <c r="G5" s="266">
        <f>'Aff 5 IS'!H5</f>
        <v>12</v>
      </c>
      <c r="H5" s="298"/>
      <c r="I5" s="266">
        <f>'Aff 5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5 IS'!D63</f>
        <v>0</v>
      </c>
      <c r="D7" s="1523"/>
      <c r="E7" s="1522">
        <f>'Aff 5 IS'!F63</f>
        <v>0</v>
      </c>
      <c r="F7" s="1523"/>
      <c r="G7" s="1522">
        <f>'Aff 5 IS'!H63</f>
        <v>0</v>
      </c>
      <c r="H7" s="1523"/>
      <c r="I7" s="1522">
        <f>'Aff 5 IS'!J63</f>
        <v>0</v>
      </c>
      <c r="J7" s="1523"/>
      <c r="K7" s="1556">
        <f>IF(K$4=1,C7,IF(K$4=2,E7,IF(K$4=3,G7,IF(K$4=4,I7,0))))</f>
        <v>0</v>
      </c>
      <c r="L7" s="1523"/>
      <c r="M7" s="1556">
        <f>IF(M$4=1,E7,IF(M$4=2,G7,IF(M$4=3,I7,IF(M$4=4,K7,0))))</f>
        <v>0</v>
      </c>
      <c r="N7" s="1523"/>
      <c r="O7" s="1556">
        <f>IF(O$4=1,G7,IF(O$4=2,I7,IF(O$4=3,K7,IF(O$4=4,M7,0))))</f>
        <v>0</v>
      </c>
      <c r="P7" s="1523"/>
      <c r="Q7" s="1556">
        <f>IF(Q$4=1,I7,IF(Q$4=2,K7,IF(Q$4=3,M7,IF(Q$4=4,O7,0))))</f>
        <v>0</v>
      </c>
      <c r="R7" s="288"/>
      <c r="T7" s="1375"/>
      <c r="U7" s="1381"/>
      <c r="V7" s="1382"/>
      <c r="W7" s="1382"/>
      <c r="X7" s="1382"/>
      <c r="Y7" s="1382"/>
      <c r="Z7" s="1382"/>
      <c r="AA7" s="1382"/>
      <c r="AB7" s="195"/>
      <c r="AC7" s="1379">
        <f>E3</f>
        <v>44926</v>
      </c>
    </row>
    <row r="8" spans="1:29" ht="17" thickBot="1">
      <c r="A8" s="353" t="s">
        <v>811</v>
      </c>
      <c r="B8" s="354"/>
      <c r="C8" s="1525">
        <f>'Aff 5 IS'!D33</f>
        <v>0</v>
      </c>
      <c r="D8" s="1526"/>
      <c r="E8" s="1525">
        <f>'Aff 5 IS'!F33</f>
        <v>0</v>
      </c>
      <c r="F8" s="1526"/>
      <c r="G8" s="1525">
        <f>'Aff 5 IS'!H33</f>
        <v>0</v>
      </c>
      <c r="H8" s="1526"/>
      <c r="I8" s="1525">
        <f>'Aff 5 IS'!J33</f>
        <v>0</v>
      </c>
      <c r="J8" s="1526"/>
      <c r="K8" s="1555">
        <f t="shared" ref="K8:Q16" si="0">IF(K$4=1,C8,IF(K$4=2,E8,IF(K$4=3,G8,IF(K$4=4,I8,0))))</f>
        <v>0</v>
      </c>
      <c r="L8" s="1526"/>
      <c r="M8" s="1555">
        <f t="shared" si="0"/>
        <v>0</v>
      </c>
      <c r="N8" s="1526"/>
      <c r="O8" s="1555">
        <f t="shared" si="0"/>
        <v>0</v>
      </c>
      <c r="P8" s="1526"/>
      <c r="Q8" s="1555">
        <f t="shared" si="0"/>
        <v>0</v>
      </c>
      <c r="R8" s="301"/>
      <c r="T8" s="1375"/>
      <c r="U8" s="1383"/>
      <c r="V8" s="1384"/>
      <c r="W8" s="1384"/>
      <c r="X8" s="1384"/>
      <c r="Y8" s="1384"/>
      <c r="Z8" s="1384"/>
      <c r="AA8" s="1384"/>
      <c r="AB8" s="491"/>
      <c r="AC8" s="1379">
        <f>G3</f>
        <v>45291</v>
      </c>
    </row>
    <row r="9" spans="1:29" ht="16">
      <c r="A9" s="353" t="s">
        <v>812</v>
      </c>
      <c r="B9" s="354"/>
      <c r="C9" s="1525">
        <f>'Aff 5 IS'!D32</f>
        <v>0</v>
      </c>
      <c r="D9" s="1526"/>
      <c r="E9" s="1525">
        <f>'Aff 5 IS'!F32</f>
        <v>0</v>
      </c>
      <c r="F9" s="1526"/>
      <c r="G9" s="1525">
        <f>'Aff 5 IS'!H32</f>
        <v>0</v>
      </c>
      <c r="H9" s="1526"/>
      <c r="I9" s="1525">
        <f>'Aff 5 IS'!J32</f>
        <v>0</v>
      </c>
      <c r="J9" s="1526"/>
      <c r="K9" s="1555">
        <f t="shared" si="0"/>
        <v>0</v>
      </c>
      <c r="L9" s="1526"/>
      <c r="M9" s="1555">
        <f t="shared" si="0"/>
        <v>0</v>
      </c>
      <c r="N9" s="1526"/>
      <c r="O9" s="1555">
        <f t="shared" si="0"/>
        <v>0</v>
      </c>
      <c r="P9" s="1526"/>
      <c r="Q9" s="1555">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5">
        <f t="shared" si="0"/>
        <v>0</v>
      </c>
      <c r="L10" s="1526"/>
      <c r="M10" s="1555">
        <f t="shared" si="0"/>
        <v>0</v>
      </c>
      <c r="N10" s="1526"/>
      <c r="O10" s="1555">
        <f t="shared" si="0"/>
        <v>0</v>
      </c>
      <c r="P10" s="1526"/>
      <c r="Q10" s="1555">
        <f t="shared" si="0"/>
        <v>0</v>
      </c>
      <c r="R10" s="301"/>
      <c r="T10" s="1375"/>
      <c r="U10" s="1375"/>
      <c r="V10" s="1375"/>
      <c r="W10" s="1375"/>
      <c r="X10" s="1375"/>
      <c r="Y10" s="1375"/>
      <c r="Z10" s="1375"/>
      <c r="AA10" s="1375"/>
      <c r="AC10" s="1387"/>
    </row>
    <row r="11" spans="1:29" ht="17.5" customHeight="1">
      <c r="A11" s="353" t="s">
        <v>814</v>
      </c>
      <c r="B11" s="354"/>
      <c r="C11" s="1525">
        <f>'Aff 5 IS'!D61</f>
        <v>0</v>
      </c>
      <c r="D11" s="1529"/>
      <c r="E11" s="1525">
        <f>'Aff 5 IS'!F61</f>
        <v>0</v>
      </c>
      <c r="F11" s="1529"/>
      <c r="G11" s="1525">
        <f>'Aff 5 IS'!H61</f>
        <v>0</v>
      </c>
      <c r="H11" s="1529"/>
      <c r="I11" s="1525">
        <f>'Aff 5 IS'!J61</f>
        <v>0</v>
      </c>
      <c r="J11" s="1529"/>
      <c r="K11" s="1555">
        <f t="shared" si="0"/>
        <v>0</v>
      </c>
      <c r="L11" s="1526"/>
      <c r="M11" s="1555">
        <f t="shared" si="0"/>
        <v>0</v>
      </c>
      <c r="N11" s="1526"/>
      <c r="O11" s="1555">
        <f t="shared" si="0"/>
        <v>0</v>
      </c>
      <c r="P11" s="1526"/>
      <c r="Q11" s="1555">
        <f t="shared" si="0"/>
        <v>0</v>
      </c>
      <c r="R11" s="301"/>
      <c r="U11" s="2776"/>
      <c r="V11" s="2776"/>
      <c r="W11" s="2776"/>
    </row>
    <row r="12" spans="1:29" ht="16">
      <c r="A12" s="353" t="s">
        <v>815</v>
      </c>
      <c r="B12" s="354"/>
      <c r="C12" s="1525"/>
      <c r="D12" s="1529"/>
      <c r="E12" s="1525"/>
      <c r="F12" s="1529"/>
      <c r="G12" s="1525"/>
      <c r="H12" s="1529"/>
      <c r="I12" s="1525"/>
      <c r="J12" s="1529"/>
      <c r="K12" s="1555">
        <f t="shared" si="0"/>
        <v>0</v>
      </c>
      <c r="L12" s="1526"/>
      <c r="M12" s="1555">
        <f t="shared" si="0"/>
        <v>0</v>
      </c>
      <c r="N12" s="1526"/>
      <c r="O12" s="1555">
        <f t="shared" si="0"/>
        <v>0</v>
      </c>
      <c r="P12" s="1526"/>
      <c r="Q12" s="1555">
        <f t="shared" si="0"/>
        <v>0</v>
      </c>
      <c r="R12" s="301"/>
      <c r="U12" s="2776"/>
      <c r="V12" s="2776"/>
      <c r="W12" s="2776"/>
    </row>
    <row r="13" spans="1:29" ht="16">
      <c r="A13" s="353" t="s">
        <v>816</v>
      </c>
      <c r="B13" s="354"/>
      <c r="C13" s="1528"/>
      <c r="D13" s="1529"/>
      <c r="E13" s="1525"/>
      <c r="F13" s="1529"/>
      <c r="G13" s="1525"/>
      <c r="H13" s="1529"/>
      <c r="I13" s="1525"/>
      <c r="J13" s="1529"/>
      <c r="K13" s="1555">
        <f t="shared" si="0"/>
        <v>0</v>
      </c>
      <c r="L13" s="1526"/>
      <c r="M13" s="1555">
        <f t="shared" si="0"/>
        <v>0</v>
      </c>
      <c r="N13" s="1526"/>
      <c r="O13" s="1555">
        <f t="shared" si="0"/>
        <v>0</v>
      </c>
      <c r="P13" s="1526"/>
      <c r="Q13" s="1555">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5">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4">
        <f>SUM(O7:O16)</f>
        <v>0</v>
      </c>
      <c r="P17" s="1537"/>
      <c r="Q17" s="1533">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AFF5Debt[[#Totals],[Curr Pmt]]*'Aff 5 CF'!C5</f>
        <v>0</v>
      </c>
      <c r="D27" s="1543"/>
      <c r="E27" s="1524">
        <f>AFF5Debt[[#Totals],[Curr Pmt]]*'Aff 5 CF'!E5</f>
        <v>0</v>
      </c>
      <c r="F27" s="1543"/>
      <c r="G27" s="1524">
        <f>AFF5Debt[[#Totals],[Curr Pmt]]*'Aff 5 CF'!G5</f>
        <v>0</v>
      </c>
      <c r="H27" s="1543"/>
      <c r="I27" s="1524">
        <f>AFF5Debt[[#Totals],[Curr Pmt]]*'Aff 5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OpSy8DxukId9REq5g5svh97ahF9ZT6IF159TbTQBKiRUt/QGTZBgWoUUEUGFG51gVCfdkpjvkNVIxuvGibjcaw==" saltValue="WXrChy3bT746fTd0xYfXzQ==" spinCount="100000" sheet="1" scenarios="1" formatCells="0" formatColumns="0" formatRows="0"/>
  <customSheetViews>
    <customSheetView guid="{6E1FDEE6-49D0-4876-8C7C-09893145D2CE}" scale="85" showPageBreaks="1" showGridLines="0" printArea="1" hiddenRows="1" state="hidden">
      <selection activeCell="U1" sqref="U1:W1"/>
      <rowBreaks count="1" manualBreakCount="1">
        <brk id="75" max="17" man="1"/>
      </rowBreaks>
      <pageMargins left="0" right="0" top="0" bottom="0" header="0" footer="0"/>
      <printOptions horizontalCentered="1"/>
      <pageSetup scale="61" orientation="portrait" r:id="rId1"/>
      <headerFooter differentFirst="1">
        <firstHeader>&amp;L&amp;G&amp;C&amp;8
&amp;18Credit Memo</firstHeader>
      </headerFooter>
    </customSheetView>
    <customSheetView guid="{DB1F6E98-7FCC-445F-9DA6-47D8BF8BE969}" scale="85" showPageBreaks="1" showGridLines="0" printArea="1" hiddenRows="1" state="hidden">
      <selection activeCell="U1" sqref="U1:W1"/>
      <rowBreaks count="1" manualBreakCount="1">
        <brk id="75" max="17" man="1"/>
      </rowBreaks>
      <pageMargins left="0" right="0" top="0" bottom="0" header="0" footer="0"/>
      <printOptions horizontalCentered="1"/>
      <pageSetup scale="61" orientation="portrait" r:id="rId2"/>
      <headerFooter differentFirst="1">
        <firstHeader>&amp;L&amp;G&amp;C&amp;8
&amp;18Credit Memo</firstHeader>
      </headerFooter>
    </customSheetView>
    <customSheetView guid="{C02CA8E5-5D4C-45E5-BC4A-4C9BE481059B}" scale="85" showPageBreaks="1" showGridLines="0" printArea="1" hiddenRows="1" state="hidden">
      <selection activeCell="U1" sqref="U1:W1"/>
      <rowBreaks count="1" manualBreakCount="1">
        <brk id="75" max="17" man="1"/>
      </rowBreaks>
      <pageMargins left="0" right="0" top="0" bottom="0" header="0" footer="0"/>
      <printOptions horizontalCentered="1"/>
      <pageSetup scale="61" orientation="portrait" r:id="rId3"/>
      <headerFooter differentFirst="1">
        <firstHeader>&amp;L&amp;G&amp;C&amp;8
&amp;18Credit Memo</firstHeader>
      </headerFooter>
    </customSheetView>
  </customSheetViews>
  <mergeCells count="11">
    <mergeCell ref="A1:Q1"/>
    <mergeCell ref="A2:R2"/>
    <mergeCell ref="U2:W2"/>
    <mergeCell ref="U3:W3"/>
    <mergeCell ref="A58:R58"/>
    <mergeCell ref="U11:W11"/>
    <mergeCell ref="U12:W12"/>
    <mergeCell ref="A17:B17"/>
    <mergeCell ref="A26:B26"/>
    <mergeCell ref="A57:R57"/>
    <mergeCell ref="A34:B34"/>
  </mergeCells>
  <printOptions horizontalCentered="1"/>
  <pageMargins left="0.7" right="0.7" top="0.75" bottom="0.75" header="0.3" footer="0.3"/>
  <pageSetup scale="61" orientation="portrait" r:id="rId4"/>
  <headerFooter differentFirst="1">
    <firstHeader>&amp;L&amp;G&amp;C&amp;8
&amp;18Credit Memo</firstHeader>
  </headerFooter>
  <rowBreaks count="1" manualBreakCount="1">
    <brk id="79" max="17" man="1"/>
  </rowBreaks>
  <drawing r:id="rId5"/>
  <legacyDrawing r:id="rId6"/>
  <mc:AlternateContent xmlns:mc="http://schemas.openxmlformats.org/markup-compatibility/2006">
    <mc:Choice Requires="x14">
      <controls>
        <mc:AlternateContent xmlns:mc="http://schemas.openxmlformats.org/markup-compatibility/2006">
          <mc:Choice Requires="x14">
            <control shapeId="216067" r:id="rId7" name="Drop Down 3">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216068" r:id="rId8" name="Drop Down 4">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216069" r:id="rId9" name="Drop Down 5">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216070" r:id="rId10" name="Drop Down 6">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36E5F-4712-4FAA-B48F-600D3EF21950}">
  <sheetPr codeName="Sheet56">
    <tabColor rgb="FF00B050"/>
    <pageSetUpPr autoPageBreaks="0"/>
  </sheetPr>
  <dimension ref="B1:T75"/>
  <sheetViews>
    <sheetView showGridLines="0" topLeftCell="E1"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sD7rtQ2QCCfNOP/rxGXMxruij1pYuHOf8CcZIl+WwAv2J8101pP/r5N0D7vjIvjEJ7FGldY5tz+QCUCj+ToZwA==" saltValue="wFunRk+5OGLUpOKX1FjxYQ=="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3BA420-2133-48F8-B14A-A970F8CBC8DA}">
          <x14:formula1>
            <xm:f>Lists!$D$16:$D$24</xm:f>
          </x14:formula1>
          <xm:sqref>D6 J6 H6 F6</xm:sqref>
        </x14:dataValidation>
        <x14:dataValidation type="list" allowBlank="1" showInputMessage="1" showErrorMessage="1" xr:uid="{291FFC01-5A1C-4321-BEE7-CC1524C89822}">
          <x14:formula1>
            <xm:f>Lists!$E$16:$E$20</xm:f>
          </x14:formula1>
          <xm:sqref>D7 J7 H7 F7</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F9E8A-AF31-41C2-9AAF-0EC1B8BC5D12}">
  <sheetPr codeName="Sheet57">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1" ht="16">
      <c r="A1" s="2922" t="s">
        <v>921</v>
      </c>
      <c r="B1" s="2923"/>
      <c r="C1" s="2923"/>
      <c r="D1" s="2923"/>
      <c r="E1" s="2923"/>
      <c r="F1" s="2923"/>
      <c r="G1" s="2923"/>
      <c r="H1" s="2923"/>
      <c r="I1" s="2923"/>
      <c r="J1" s="2924"/>
      <c r="K1" s="26"/>
      <c r="L1" s="26"/>
      <c r="M1" s="1566"/>
      <c r="N1" s="1566"/>
      <c r="O1" s="1566"/>
      <c r="P1" s="26"/>
      <c r="Q1" s="26"/>
      <c r="R1" s="26"/>
      <c r="S1" s="26"/>
      <c r="T1" s="26"/>
      <c r="U1" s="26"/>
    </row>
    <row r="2" spans="1:21" ht="16">
      <c r="A2" s="2927" t="str">
        <f>'Aff 6 IS'!B2</f>
        <v>{Insert business name which represents PSOR}</v>
      </c>
      <c r="B2" s="2928"/>
      <c r="C2" s="2928"/>
      <c r="D2" s="2928"/>
      <c r="E2" s="2928"/>
      <c r="F2" s="2928"/>
      <c r="G2" s="2928"/>
      <c r="H2" s="2928"/>
      <c r="I2" s="2928"/>
      <c r="J2" s="2989"/>
      <c r="K2" s="26"/>
      <c r="L2" s="26"/>
      <c r="M2" s="1567"/>
      <c r="N2" s="1567"/>
      <c r="O2" s="1567"/>
      <c r="P2" s="26"/>
      <c r="Q2" s="26"/>
      <c r="R2" s="26"/>
      <c r="S2" s="26"/>
      <c r="T2" s="26"/>
      <c r="U2" s="26"/>
    </row>
    <row r="3" spans="1:21" ht="16">
      <c r="A3" s="1155" t="s">
        <v>182</v>
      </c>
      <c r="B3" s="1150"/>
      <c r="C3" s="1190">
        <f>'Aff 6 IS'!D4</f>
        <v>44561</v>
      </c>
      <c r="D3" s="1151"/>
      <c r="E3" s="1190">
        <f>'Aff 6 IS'!F4</f>
        <v>44926</v>
      </c>
      <c r="F3" s="1151"/>
      <c r="G3" s="1190">
        <f>'Aff 6 IS'!H4</f>
        <v>45291</v>
      </c>
      <c r="H3" s="1151"/>
      <c r="I3" s="1190">
        <f>'Aff 6 IS'!J4</f>
        <v>45382</v>
      </c>
      <c r="J3" s="1154"/>
      <c r="K3" s="26"/>
      <c r="L3" s="26"/>
      <c r="M3" s="1567"/>
      <c r="N3" s="1567"/>
      <c r="O3" s="1567"/>
      <c r="P3" s="26"/>
      <c r="Q3" s="26"/>
      <c r="R3" s="26"/>
      <c r="S3" s="26"/>
      <c r="T3" s="26"/>
      <c r="U3" s="26"/>
    </row>
    <row r="4" spans="1:21" ht="16">
      <c r="A4" s="1155" t="s">
        <v>183</v>
      </c>
      <c r="B4" s="1150"/>
      <c r="C4" s="1201">
        <f>'Aff 6 IS'!D5</f>
        <v>12</v>
      </c>
      <c r="D4" s="1151"/>
      <c r="E4" s="1201">
        <f>'Aff 6 IS'!F5</f>
        <v>12</v>
      </c>
      <c r="F4" s="1151"/>
      <c r="G4" s="1201">
        <f>'Aff 6 IS'!H5</f>
        <v>12</v>
      </c>
      <c r="H4" s="1151"/>
      <c r="I4" s="1201">
        <f>'Aff 6 IS'!J5</f>
        <v>3</v>
      </c>
      <c r="J4" s="1160"/>
      <c r="K4" s="26"/>
      <c r="L4" s="26"/>
      <c r="M4" s="1567"/>
      <c r="N4" s="1567"/>
      <c r="O4" s="1567"/>
      <c r="P4" s="26"/>
      <c r="Q4" s="26"/>
      <c r="R4" s="26"/>
      <c r="S4" s="26"/>
      <c r="T4" s="26"/>
      <c r="U4" s="26"/>
    </row>
    <row r="5" spans="1:21" ht="16">
      <c r="A5" s="1155" t="s">
        <v>185</v>
      </c>
      <c r="B5" s="1150"/>
      <c r="C5" s="1201">
        <f>'Aff 6 IS'!D6</f>
        <v>0</v>
      </c>
      <c r="D5" s="1162"/>
      <c r="E5" s="1201">
        <f>'Aff 6 IS'!F6</f>
        <v>0</v>
      </c>
      <c r="F5" s="1162"/>
      <c r="G5" s="1201">
        <f>'Aff 6 IS'!H6</f>
        <v>0</v>
      </c>
      <c r="H5" s="1162"/>
      <c r="I5" s="1201">
        <f>'Aff 6 IS'!J6</f>
        <v>0</v>
      </c>
      <c r="J5" s="1160"/>
      <c r="K5" s="26"/>
      <c r="L5" s="26"/>
      <c r="M5" s="1567"/>
      <c r="N5" s="1567"/>
      <c r="O5" s="1567"/>
      <c r="P5" s="26"/>
      <c r="Q5" s="26"/>
      <c r="R5" s="26"/>
      <c r="S5" s="26"/>
      <c r="T5" s="26"/>
      <c r="U5" s="26"/>
    </row>
    <row r="6" spans="1:21" ht="16">
      <c r="A6" s="1155" t="s">
        <v>188</v>
      </c>
      <c r="B6" s="1150"/>
      <c r="C6" s="1201">
        <f>'Aff 6 IS'!D7</f>
        <v>0</v>
      </c>
      <c r="D6" s="1162"/>
      <c r="E6" s="1201">
        <f>'Aff 6 IS'!F7</f>
        <v>0</v>
      </c>
      <c r="F6" s="1162"/>
      <c r="G6" s="1201">
        <f>'Aff 6 IS'!H7</f>
        <v>0</v>
      </c>
      <c r="H6" s="1162"/>
      <c r="I6" s="1201">
        <f>'Aff 6 IS'!J7</f>
        <v>0</v>
      </c>
      <c r="J6" s="1160"/>
      <c r="K6" s="26"/>
      <c r="L6" s="26"/>
      <c r="M6" s="1567"/>
      <c r="N6" s="1567"/>
      <c r="O6" s="1567"/>
      <c r="P6" s="26"/>
      <c r="Q6" s="26"/>
      <c r="R6" s="26"/>
      <c r="S6" s="26"/>
      <c r="T6" s="26"/>
      <c r="U6" s="26"/>
    </row>
    <row r="7" spans="1:21" ht="16">
      <c r="A7" s="1161" t="s">
        <v>922</v>
      </c>
      <c r="B7" s="1162" t="s">
        <v>795</v>
      </c>
      <c r="C7" s="1163"/>
      <c r="D7" s="1164"/>
      <c r="E7" s="1163" t="s">
        <v>923</v>
      </c>
      <c r="F7" s="1165"/>
      <c r="G7" s="1163"/>
      <c r="H7" s="1165"/>
      <c r="I7" s="1163"/>
      <c r="J7" s="1166"/>
      <c r="K7" s="26"/>
      <c r="L7" s="26"/>
      <c r="M7" s="1568" t="s">
        <v>1094</v>
      </c>
      <c r="N7" s="1569"/>
      <c r="O7" s="1569"/>
      <c r="P7" s="1350"/>
      <c r="Q7" s="1350"/>
      <c r="R7" s="26"/>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1569" t="s">
        <v>1095</v>
      </c>
      <c r="N8" s="1569" t="s">
        <v>1096</v>
      </c>
      <c r="O8" s="1569" t="s">
        <v>1097</v>
      </c>
      <c r="P8" s="1350" t="s">
        <v>1098</v>
      </c>
      <c r="Q8" s="1350" t="s">
        <v>1099</v>
      </c>
      <c r="R8" s="26"/>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row>
    <row r="15" spans="1:21" ht="16">
      <c r="A15" s="1167"/>
      <c r="B15" s="311"/>
      <c r="C15" s="1172"/>
      <c r="D15" s="1169"/>
      <c r="E15" s="1172"/>
      <c r="F15" s="1169"/>
      <c r="G15" s="1172"/>
      <c r="H15" s="1169"/>
      <c r="I15" s="1172"/>
      <c r="J15" s="1170"/>
      <c r="K15" s="26"/>
      <c r="L15" s="26"/>
      <c r="M15" s="1352"/>
      <c r="N15" s="1358"/>
      <c r="O15" s="1358"/>
      <c r="P15" s="1353"/>
      <c r="Q15" s="1354"/>
      <c r="R15" s="26"/>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row>
    <row r="26" spans="1:21" ht="16">
      <c r="A26" s="1167"/>
      <c r="B26" s="311"/>
      <c r="C26" s="1172"/>
      <c r="D26" s="1169"/>
      <c r="E26" s="1172"/>
      <c r="F26" s="1169"/>
      <c r="G26" s="1172"/>
      <c r="H26" s="1169"/>
      <c r="I26" s="1172"/>
      <c r="J26" s="1170"/>
      <c r="K26" s="26"/>
      <c r="L26" s="26"/>
      <c r="M26" s="1355"/>
      <c r="N26" s="1358"/>
      <c r="O26" s="1358"/>
      <c r="P26" s="1353"/>
      <c r="Q26" s="1354"/>
      <c r="R26" s="26"/>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SUBTOTAL(109,AFF7Debt22[Curr Bal])</f>
        <v>0</v>
      </c>
      <c r="O30" s="1357">
        <f>SUBTOTAL(109,AFF7Debt22[Curr Pmt])</f>
        <v>0</v>
      </c>
      <c r="P30" s="1350"/>
      <c r="Q30" s="1350"/>
      <c r="R30" s="26"/>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3269"/>
      <c r="N31" s="3269"/>
      <c r="O31" s="3269"/>
    </row>
    <row r="32" spans="1:21"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3269"/>
      <c r="N35" s="3269"/>
      <c r="O35" s="3269"/>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6 IS'!D60</f>
        <v>0</v>
      </c>
      <c r="D64" s="1193"/>
      <c r="E64" s="1196">
        <f>'Aff 6 IS'!F60</f>
        <v>0</v>
      </c>
      <c r="F64" s="1194"/>
      <c r="G64" s="1196">
        <f>'Aff 6 IS'!H60</f>
        <v>0</v>
      </c>
      <c r="H64" s="1195"/>
      <c r="I64" s="1196">
        <f>'Aff 6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puI+rlX07oO6gE7/aYUkYh0FdDzK2UbNMCm9iz3YQsZkFhNs22/fpSfCI4l7Pc/1a5n+WISM8IvzZgl6dbT4Q==" saltValue="U6KG2S2tk10qtgwq4flkpQ==" spinCount="100000" sheet="1" scenarios="1" formatCells="0" formatColumns="0" formatRows="0"/>
  <mergeCells count="54">
    <mergeCell ref="M31:O31"/>
    <mergeCell ref="M32:O32"/>
    <mergeCell ref="M33:O33"/>
    <mergeCell ref="M34:O34"/>
    <mergeCell ref="M35:O35"/>
    <mergeCell ref="A122:J122"/>
    <mergeCell ref="A111:J111"/>
    <mergeCell ref="A112:J112"/>
    <mergeCell ref="A113:J113"/>
    <mergeCell ref="A114:J114"/>
    <mergeCell ref="A115:J115"/>
    <mergeCell ref="A116:J116"/>
    <mergeCell ref="A117:J117"/>
    <mergeCell ref="A118:J118"/>
    <mergeCell ref="A119:J119"/>
    <mergeCell ref="A120:J120"/>
    <mergeCell ref="A121:J121"/>
    <mergeCell ref="A110:J110"/>
    <mergeCell ref="A99:J99"/>
    <mergeCell ref="A100:J100"/>
    <mergeCell ref="A101:J101"/>
    <mergeCell ref="A102:J102"/>
    <mergeCell ref="A103:J103"/>
    <mergeCell ref="A104:J104"/>
    <mergeCell ref="A105:J105"/>
    <mergeCell ref="A106:J106"/>
    <mergeCell ref="A107:J107"/>
    <mergeCell ref="A108:J108"/>
    <mergeCell ref="A109:J109"/>
    <mergeCell ref="A98:J98"/>
    <mergeCell ref="A87:J87"/>
    <mergeCell ref="A88:J88"/>
    <mergeCell ref="A89:J89"/>
    <mergeCell ref="A90:J90"/>
    <mergeCell ref="A91:J91"/>
    <mergeCell ref="A92:J92"/>
    <mergeCell ref="A93:J93"/>
    <mergeCell ref="A94:J94"/>
    <mergeCell ref="A95:J95"/>
    <mergeCell ref="A96:J96"/>
    <mergeCell ref="A97:J97"/>
    <mergeCell ref="A1:J1"/>
    <mergeCell ref="A2:J2"/>
    <mergeCell ref="A86:J86"/>
    <mergeCell ref="A61:J61"/>
    <mergeCell ref="A62:J62"/>
    <mergeCell ref="A78:J78"/>
    <mergeCell ref="A79:J79"/>
    <mergeCell ref="A80:J80"/>
    <mergeCell ref="A81:J81"/>
    <mergeCell ref="A82:J82"/>
    <mergeCell ref="A83:J83"/>
    <mergeCell ref="A84:J84"/>
    <mergeCell ref="A85:J85"/>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160CFAF-6924-495D-93B2-5969967E6E49}">
          <x14:formula1>
            <xm:f>Lists!$C$2:$C$4</xm:f>
          </x14:formula1>
          <xm:sqref>Q9:Q29</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90780-2B93-4533-BB98-9E7F9E0D3AA7}">
  <sheetPr codeName="Sheet58">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6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6 CF</v>
      </c>
      <c r="V2" s="2901"/>
      <c r="W2" s="2901"/>
    </row>
    <row r="3" spans="1:29" ht="15.5" customHeight="1">
      <c r="A3" s="261" t="s">
        <v>182</v>
      </c>
      <c r="B3" s="262"/>
      <c r="C3" s="1086">
        <f>'Aff 6 IS'!D4</f>
        <v>44561</v>
      </c>
      <c r="D3" s="296"/>
      <c r="E3" s="1086">
        <f>'Aff 6 IS'!F4</f>
        <v>44926</v>
      </c>
      <c r="F3" s="296"/>
      <c r="G3" s="1086">
        <f>'Aff 6 IS'!H4</f>
        <v>45291</v>
      </c>
      <c r="H3" s="296"/>
      <c r="I3" s="1086">
        <f>'Aff 6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6 IS'!D5</f>
        <v>12</v>
      </c>
      <c r="D5" s="298"/>
      <c r="E5" s="266">
        <f>'Aff 6 IS'!F5</f>
        <v>12</v>
      </c>
      <c r="F5" s="298"/>
      <c r="G5" s="266">
        <f>'Aff 6 IS'!H5</f>
        <v>12</v>
      </c>
      <c r="H5" s="298"/>
      <c r="I5" s="266">
        <f>'Aff 6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6 IS'!D63</f>
        <v>0</v>
      </c>
      <c r="D7" s="1523"/>
      <c r="E7" s="1524">
        <f>'Aff 6 IS'!F63</f>
        <v>0</v>
      </c>
      <c r="F7" s="1523"/>
      <c r="G7" s="1524">
        <f>'Aff 6 IS'!H63</f>
        <v>0</v>
      </c>
      <c r="H7" s="1523"/>
      <c r="I7" s="1524">
        <f>'Aff 6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6 IS'!D33</f>
        <v>0</v>
      </c>
      <c r="D8" s="1526"/>
      <c r="E8" s="1527">
        <f>'Aff 6 IS'!F33</f>
        <v>0</v>
      </c>
      <c r="F8" s="1526"/>
      <c r="G8" s="1527">
        <f>'Aff 6 IS'!H33</f>
        <v>0</v>
      </c>
      <c r="H8" s="1526"/>
      <c r="I8" s="1527">
        <f>'Aff 6 IS'!J33</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6 IS'!D32</f>
        <v>0</v>
      </c>
      <c r="D9" s="1526"/>
      <c r="E9" s="1527">
        <f>'Aff 6 IS'!F32</f>
        <v>0</v>
      </c>
      <c r="F9" s="1526"/>
      <c r="G9" s="1527">
        <f>'Aff 6 IS'!H32</f>
        <v>0</v>
      </c>
      <c r="H9" s="1526"/>
      <c r="I9" s="1527">
        <f>'Aff 6 IS'!J32</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6 IS'!D61</f>
        <v>0</v>
      </c>
      <c r="D11" s="1529"/>
      <c r="E11" s="1527">
        <f>'Aff 6 IS'!F61</f>
        <v>0</v>
      </c>
      <c r="F11" s="1529"/>
      <c r="G11" s="1527">
        <f>'Aff 6 IS'!H61</f>
        <v>0</v>
      </c>
      <c r="H11" s="1529"/>
      <c r="I11" s="1527">
        <f>'Aff 6 IS'!J61</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AFF7Debt22[[#Totals],[Curr Pmt]]*'Aff 6 CF'!C5</f>
        <v>0</v>
      </c>
      <c r="D27" s="1543"/>
      <c r="E27" s="1524">
        <f>AFF7Debt22[[#Totals],[Curr Pmt]]*'Aff 6 CF'!E5</f>
        <v>0</v>
      </c>
      <c r="F27" s="1543"/>
      <c r="G27" s="1524">
        <f>AFF7Debt22[[#Totals],[Curr Pmt]]*'Aff 6 CF'!G5</f>
        <v>0</v>
      </c>
      <c r="H27" s="1543"/>
      <c r="I27" s="1524">
        <f>AFF7Debt22[[#Totals],[Curr Pmt]]*'Aff 6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jVlEpl/UkKu9lWrvpTP91ntEnLs0h0ELAMOpWB+kzjcpaqMQbW9v5qeWURN4hfoZ2KPKasfUlDoxS6PxgFLYFw==" saltValue="J2HKz/+XGzKyGcuhIXciCg=="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32833"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32834"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32835"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32836"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196FE-8505-48AC-9321-68A6EE7BD157}">
  <sheetPr codeName="Sheet59">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ZrrgfwRxSV9b/Rb186bQEBUhqMd2HqmzI+RU03Ne22G9lKwZ3MccTrjhXvlRVwNcWAR2CNYkU3AyHiBZpb21jA==" saltValue="a75IQSU+SKnSaxNKo0l5+Q=="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DAB78DA-126F-41DA-9145-0F6478977046}">
          <x14:formula1>
            <xm:f>Lists!$E$16:$E$20</xm:f>
          </x14:formula1>
          <xm:sqref>D7 J7 H7 F7</xm:sqref>
        </x14:dataValidation>
        <x14:dataValidation type="list" allowBlank="1" showInputMessage="1" showErrorMessage="1" xr:uid="{2BA170CD-F32B-451A-824A-019EE0564714}">
          <x14:formula1>
            <xm:f>Lists!$D$16:$D$24</xm:f>
          </x14:formula1>
          <xm:sqref>D6 J6 H6 F6</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90636-2759-4A4F-853F-CABA65751B04}">
  <sheetPr codeName="Sheet69">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7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7 IS'!D4</f>
        <v>44561</v>
      </c>
      <c r="D3" s="1151"/>
      <c r="E3" s="1190">
        <f>'Aff 7 IS'!F4</f>
        <v>44926</v>
      </c>
      <c r="F3" s="1151"/>
      <c r="G3" s="1190">
        <f>'Aff 7 IS'!H4</f>
        <v>45291</v>
      </c>
      <c r="H3" s="1151"/>
      <c r="I3" s="1190">
        <f>'Aff 7 IS'!J4</f>
        <v>45382</v>
      </c>
      <c r="J3" s="1154"/>
      <c r="K3" s="26"/>
      <c r="L3" s="26"/>
      <c r="M3" s="1347"/>
      <c r="N3" s="1347"/>
      <c r="O3" s="1347"/>
      <c r="P3" s="26"/>
      <c r="Q3" s="26"/>
      <c r="R3" s="26"/>
      <c r="S3" s="26"/>
      <c r="T3" s="26"/>
      <c r="U3" s="26"/>
      <c r="V3" s="26"/>
      <c r="W3" s="26"/>
      <c r="X3" s="26"/>
      <c r="Y3" s="26"/>
      <c r="Z3" s="26"/>
    </row>
    <row r="4" spans="1:26" ht="16">
      <c r="A4" s="1155" t="s">
        <v>183</v>
      </c>
      <c r="B4" s="1150"/>
      <c r="C4" s="1201">
        <f>'Aff 7 IS'!D5</f>
        <v>12</v>
      </c>
      <c r="D4" s="1151"/>
      <c r="E4" s="1201">
        <f>'Aff 7 IS'!F5</f>
        <v>12</v>
      </c>
      <c r="F4" s="1151"/>
      <c r="G4" s="1201">
        <f>'Aff 7 IS'!H5</f>
        <v>12</v>
      </c>
      <c r="H4" s="1151"/>
      <c r="I4" s="1201">
        <f>'Aff 7 IS'!J5</f>
        <v>3</v>
      </c>
      <c r="J4" s="1160"/>
      <c r="K4" s="26"/>
      <c r="L4" s="26"/>
      <c r="M4" s="1347"/>
      <c r="N4" s="1347"/>
      <c r="O4" s="1347"/>
      <c r="P4" s="26"/>
      <c r="Q4" s="26"/>
      <c r="R4" s="26"/>
      <c r="S4" s="26"/>
      <c r="T4" s="26"/>
      <c r="U4" s="26"/>
      <c r="V4" s="26"/>
      <c r="W4" s="26"/>
      <c r="X4" s="26"/>
      <c r="Y4" s="26"/>
      <c r="Z4" s="26"/>
    </row>
    <row r="5" spans="1:26" ht="16">
      <c r="A5" s="1155" t="s">
        <v>185</v>
      </c>
      <c r="B5" s="1150"/>
      <c r="C5" s="1201">
        <f>'Aff 7 IS'!D6</f>
        <v>0</v>
      </c>
      <c r="D5" s="1162"/>
      <c r="E5" s="1201">
        <f>'Aff 7 IS'!F6</f>
        <v>0</v>
      </c>
      <c r="F5" s="1162"/>
      <c r="G5" s="1201">
        <f>'Aff 7 IS'!H6</f>
        <v>0</v>
      </c>
      <c r="H5" s="1162"/>
      <c r="I5" s="1201">
        <f>'Aff 7 IS'!J6</f>
        <v>0</v>
      </c>
      <c r="J5" s="1160"/>
      <c r="K5" s="26"/>
      <c r="L5" s="26"/>
      <c r="M5" s="1347"/>
      <c r="N5" s="1347"/>
      <c r="O5" s="1347"/>
      <c r="P5" s="26"/>
      <c r="Q5" s="26"/>
      <c r="R5" s="26"/>
      <c r="S5" s="26"/>
      <c r="T5" s="26"/>
      <c r="U5" s="26"/>
      <c r="V5" s="26"/>
      <c r="W5" s="26"/>
      <c r="X5" s="26"/>
      <c r="Y5" s="26"/>
      <c r="Z5" s="26"/>
    </row>
    <row r="6" spans="1:26" ht="16">
      <c r="A6" s="1155" t="s">
        <v>188</v>
      </c>
      <c r="B6" s="1150"/>
      <c r="C6" s="1201">
        <f>'Aff 7 IS'!D7</f>
        <v>0</v>
      </c>
      <c r="D6" s="1162"/>
      <c r="E6" s="1201">
        <f>'Aff 7 IS'!F7</f>
        <v>0</v>
      </c>
      <c r="F6" s="1162"/>
      <c r="G6" s="1201">
        <f>'Aff 7 IS'!H7</f>
        <v>0</v>
      </c>
      <c r="H6" s="1162"/>
      <c r="I6" s="1201">
        <f>'Aff 7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SUBTOTAL(109,AFF7Debt[Curr Bal])</f>
        <v>0</v>
      </c>
      <c r="O30" s="1357">
        <f>SUBTOTAL(109,AFF7Debt[Curr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7 IS'!D60</f>
        <v>0</v>
      </c>
      <c r="D64" s="1193"/>
      <c r="E64" s="1196">
        <f>'Aff 7 IS'!F60</f>
        <v>0</v>
      </c>
      <c r="F64" s="1194"/>
      <c r="G64" s="1196">
        <f>'Aff 7 IS'!H60</f>
        <v>0</v>
      </c>
      <c r="H64" s="1195"/>
      <c r="I64" s="1196">
        <f>'Aff 7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TPWiCw70uLaaJ9Zfx2eYuUuVzSvkuQSAwLsPIdjEVLYtEZn/Q3Ok9xcCx1pRb7+TIs1lSKCN6+pFAuze6I7xhQ==" saltValue="G7eF+AoiBkOgYVrnb60piw==" spinCount="100000" sheet="1" scenarios="1" formatCells="0" formatColumns="0" formatRows="0"/>
  <mergeCells count="54">
    <mergeCell ref="A122:J122"/>
    <mergeCell ref="A111:J111"/>
    <mergeCell ref="A112:J112"/>
    <mergeCell ref="A113:J113"/>
    <mergeCell ref="A114:J114"/>
    <mergeCell ref="A115:J115"/>
    <mergeCell ref="A116:J116"/>
    <mergeCell ref="A117:J117"/>
    <mergeCell ref="A118:J118"/>
    <mergeCell ref="A119:J119"/>
    <mergeCell ref="A120:J120"/>
    <mergeCell ref="A121:J121"/>
    <mergeCell ref="A110:J110"/>
    <mergeCell ref="A99:J99"/>
    <mergeCell ref="A100:J100"/>
    <mergeCell ref="A101:J101"/>
    <mergeCell ref="A102:J102"/>
    <mergeCell ref="A103:J103"/>
    <mergeCell ref="A104:J104"/>
    <mergeCell ref="A105:J105"/>
    <mergeCell ref="A106:J106"/>
    <mergeCell ref="A107:J107"/>
    <mergeCell ref="A108:J108"/>
    <mergeCell ref="A109:J109"/>
    <mergeCell ref="A98:J98"/>
    <mergeCell ref="A87:J87"/>
    <mergeCell ref="A88:J88"/>
    <mergeCell ref="A89:J89"/>
    <mergeCell ref="A90:J90"/>
    <mergeCell ref="A91:J91"/>
    <mergeCell ref="A92:J92"/>
    <mergeCell ref="A93:J93"/>
    <mergeCell ref="A94:J94"/>
    <mergeCell ref="A95:J95"/>
    <mergeCell ref="A96:J96"/>
    <mergeCell ref="A97:J97"/>
    <mergeCell ref="A86:J86"/>
    <mergeCell ref="M35:O35"/>
    <mergeCell ref="A61:J61"/>
    <mergeCell ref="A62:J62"/>
    <mergeCell ref="A78:J78"/>
    <mergeCell ref="A79:J79"/>
    <mergeCell ref="A80:J80"/>
    <mergeCell ref="A81:J81"/>
    <mergeCell ref="A82:J82"/>
    <mergeCell ref="A83:J83"/>
    <mergeCell ref="A84:J84"/>
    <mergeCell ref="A85:J85"/>
    <mergeCell ref="M34:O34"/>
    <mergeCell ref="A1:J1"/>
    <mergeCell ref="A2:J2"/>
    <mergeCell ref="M31:O31"/>
    <mergeCell ref="M32:O32"/>
    <mergeCell ref="M33:O33"/>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8DB9ADA-4894-4060-A093-906EA6A401D0}">
          <x14:formula1>
            <xm:f>Lists!$C$2:$C$4</xm:f>
          </x14:formula1>
          <xm:sqref>Q9:Q29</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3C28B-AD02-4D17-90C0-536969A9CDA5}">
  <sheetPr codeName="Sheet68">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7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7 CF</v>
      </c>
      <c r="V2" s="2901"/>
      <c r="W2" s="2901"/>
    </row>
    <row r="3" spans="1:29" ht="15.5" customHeight="1">
      <c r="A3" s="261" t="s">
        <v>182</v>
      </c>
      <c r="B3" s="262"/>
      <c r="C3" s="1086">
        <f>'Aff 7 IS'!D4</f>
        <v>44561</v>
      </c>
      <c r="D3" s="296"/>
      <c r="E3" s="1086">
        <f>'Aff 7 IS'!F4</f>
        <v>44926</v>
      </c>
      <c r="F3" s="296"/>
      <c r="G3" s="1086">
        <f>'Aff 7 IS'!H4</f>
        <v>45291</v>
      </c>
      <c r="H3" s="296"/>
      <c r="I3" s="1086">
        <f>'Aff 7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7 IS'!D5</f>
        <v>12</v>
      </c>
      <c r="D5" s="298"/>
      <c r="E5" s="266">
        <f>'Aff 7 IS'!F5</f>
        <v>12</v>
      </c>
      <c r="F5" s="298"/>
      <c r="G5" s="266">
        <f>'Aff 7 IS'!H5</f>
        <v>12</v>
      </c>
      <c r="H5" s="298"/>
      <c r="I5" s="266">
        <f>'Aff 7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7 IS'!D63</f>
        <v>0</v>
      </c>
      <c r="D7" s="1523"/>
      <c r="E7" s="1522">
        <f>'Aff 7 IS'!F63</f>
        <v>0</v>
      </c>
      <c r="F7" s="1523"/>
      <c r="G7" s="1522">
        <f>'Aff 7 IS'!H63</f>
        <v>0</v>
      </c>
      <c r="H7" s="1523"/>
      <c r="I7" s="1522">
        <f>'Aff 7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5">
        <f>'Aff 7 IS'!D33</f>
        <v>0</v>
      </c>
      <c r="D8" s="1526"/>
      <c r="E8" s="1525">
        <f>'Aff 7 IS'!F33</f>
        <v>0</v>
      </c>
      <c r="F8" s="1526"/>
      <c r="G8" s="1525">
        <f>'Aff 7 IS'!H33</f>
        <v>0</v>
      </c>
      <c r="H8" s="1526"/>
      <c r="I8" s="1525">
        <f>'Aff 7 IS'!J33</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5">
        <f>'Aff 7 IS'!D32</f>
        <v>0</v>
      </c>
      <c r="D9" s="1526"/>
      <c r="E9" s="1525">
        <f>'Aff 7 IS'!F32</f>
        <v>0</v>
      </c>
      <c r="F9" s="1526"/>
      <c r="G9" s="1525">
        <f>'Aff 7 IS'!H32</f>
        <v>0</v>
      </c>
      <c r="H9" s="1526"/>
      <c r="I9" s="1525">
        <f>'Aff 7 IS'!J32</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5">
        <f>'Aff 7 IS'!D61</f>
        <v>0</v>
      </c>
      <c r="D11" s="1529"/>
      <c r="E11" s="1525">
        <f>'Aff 7 IS'!F61</f>
        <v>0</v>
      </c>
      <c r="F11" s="1529"/>
      <c r="G11" s="1525">
        <f>'Aff 7 IS'!H61</f>
        <v>0</v>
      </c>
      <c r="H11" s="1529"/>
      <c r="I11" s="1525">
        <f>'Aff 7 IS'!J61</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AFF7Debt[[#Totals],[Curr Pmt]]*'Aff 7 CF'!C5</f>
        <v>0</v>
      </c>
      <c r="D27" s="1543"/>
      <c r="E27" s="1524">
        <f>AFF7Debt[[#Totals],[Curr Pmt]]*'Aff 7 CF'!E5</f>
        <v>0</v>
      </c>
      <c r="F27" s="1543"/>
      <c r="G27" s="1524">
        <f>AFF7Debt[[#Totals],[Curr Pmt]]*'Aff 7 CF'!G5</f>
        <v>0</v>
      </c>
      <c r="H27" s="1543"/>
      <c r="I27" s="1524">
        <f>AFF7Debt[[#Totals],[Curr Pmt]]*'Aff 7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BHYR6fZqOygvYLCIJtnP7gzC64c6ewo6eKFhKoA2wfYxCg9o85jnJZ4XkIser/nWlo4asEeB8kfq5c9JVr4TqQ==" saltValue="oJolly0xzTX9mwYE4GuZIQ=="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34881"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34882"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34883"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34884"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81FDD-AFC6-49DE-A307-75D9D8574F5F}">
  <sheetPr codeName="Sheet70">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tatRjUnLRT0WYwSMHtTTLWaV2jVrOyYqDDXcJidQ6dDvA/Rthi4J0jHaxdTDlfq/J8Od7+CmMD8pDTRSkAEzvw==" saltValue="Xfay43gJI3B4m13Fbm6YUA=="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97A49B1-F6BD-4436-A4A8-9FFEA3D6550A}">
          <x14:formula1>
            <xm:f>Lists!$D$16:$D$24</xm:f>
          </x14:formula1>
          <xm:sqref>D6 J6 H6 F6</xm:sqref>
        </x14:dataValidation>
        <x14:dataValidation type="list" allowBlank="1" showInputMessage="1" showErrorMessage="1" xr:uid="{79316178-FDCA-4374-B04E-AF3F32DFD6F4}">
          <x14:formula1>
            <xm:f>Lists!$E$16:$E$20</xm:f>
          </x14:formula1>
          <xm:sqref>D7 J7 H7 F7</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33EE3-DF89-4B35-B5DA-365A60723594}">
  <sheetPr codeName="Sheet72">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8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8 IS'!D4</f>
        <v>44561</v>
      </c>
      <c r="D3" s="1151"/>
      <c r="E3" s="1190">
        <f>'Aff 8 IS'!F4</f>
        <v>44926</v>
      </c>
      <c r="F3" s="1151"/>
      <c r="G3" s="1190">
        <f>'Aff 8 IS'!H4</f>
        <v>45291</v>
      </c>
      <c r="H3" s="1151"/>
      <c r="I3" s="1190">
        <f>'Aff 8 IS'!J4</f>
        <v>45382</v>
      </c>
      <c r="J3" s="1154"/>
      <c r="K3" s="26"/>
      <c r="L3" s="26"/>
      <c r="M3" s="1347"/>
      <c r="N3" s="1347"/>
      <c r="O3" s="1347"/>
      <c r="P3" s="26"/>
      <c r="Q3" s="26"/>
      <c r="R3" s="26"/>
      <c r="S3" s="26"/>
      <c r="T3" s="26"/>
      <c r="U3" s="26"/>
      <c r="V3" s="26"/>
      <c r="W3" s="26"/>
      <c r="X3" s="26"/>
      <c r="Y3" s="26"/>
      <c r="Z3" s="26"/>
    </row>
    <row r="4" spans="1:26" ht="16">
      <c r="A4" s="1155" t="s">
        <v>183</v>
      </c>
      <c r="B4" s="1150"/>
      <c r="C4" s="1201">
        <f>'Aff 8 IS'!D5</f>
        <v>12</v>
      </c>
      <c r="D4" s="1151"/>
      <c r="E4" s="1201">
        <f>'Aff 8 IS'!F5</f>
        <v>12</v>
      </c>
      <c r="F4" s="1151"/>
      <c r="G4" s="1201">
        <f>'Aff 8 IS'!H5</f>
        <v>12</v>
      </c>
      <c r="H4" s="1151"/>
      <c r="I4" s="1201">
        <f>'Aff 8 IS'!J5</f>
        <v>3</v>
      </c>
      <c r="J4" s="1160"/>
      <c r="K4" s="26"/>
      <c r="L4" s="26"/>
      <c r="M4" s="1347"/>
      <c r="N4" s="1347"/>
      <c r="O4" s="1347"/>
      <c r="P4" s="26"/>
      <c r="Q4" s="26"/>
      <c r="R4" s="26"/>
      <c r="S4" s="26"/>
      <c r="T4" s="26"/>
      <c r="U4" s="26"/>
      <c r="V4" s="26"/>
      <c r="W4" s="26"/>
      <c r="X4" s="26"/>
      <c r="Y4" s="26"/>
      <c r="Z4" s="26"/>
    </row>
    <row r="5" spans="1:26" ht="16">
      <c r="A5" s="1155" t="s">
        <v>185</v>
      </c>
      <c r="B5" s="1150"/>
      <c r="C5" s="1201">
        <f>'Aff 8 IS'!D6</f>
        <v>0</v>
      </c>
      <c r="D5" s="1162"/>
      <c r="E5" s="1201">
        <f>'Aff 8 IS'!F6</f>
        <v>0</v>
      </c>
      <c r="F5" s="1162"/>
      <c r="G5" s="1201">
        <f>'Aff 8 IS'!H6</f>
        <v>0</v>
      </c>
      <c r="H5" s="1162"/>
      <c r="I5" s="1201">
        <f>'Aff 8 IS'!J6</f>
        <v>0</v>
      </c>
      <c r="J5" s="1160"/>
      <c r="K5" s="26"/>
      <c r="L5" s="26"/>
      <c r="M5" s="1347"/>
      <c r="N5" s="1347"/>
      <c r="O5" s="1347"/>
      <c r="P5" s="26"/>
      <c r="Q5" s="26"/>
      <c r="R5" s="26"/>
      <c r="S5" s="26"/>
      <c r="T5" s="26"/>
      <c r="U5" s="26"/>
      <c r="V5" s="26"/>
      <c r="W5" s="26"/>
      <c r="X5" s="26"/>
      <c r="Y5" s="26"/>
      <c r="Z5" s="26"/>
    </row>
    <row r="6" spans="1:26" ht="16">
      <c r="A6" s="1155" t="s">
        <v>188</v>
      </c>
      <c r="B6" s="1150"/>
      <c r="C6" s="1201">
        <f>'Aff 8 IS'!D7</f>
        <v>0</v>
      </c>
      <c r="D6" s="1162"/>
      <c r="E6" s="1201">
        <f>'Aff 8 IS'!F7</f>
        <v>0</v>
      </c>
      <c r="F6" s="1162"/>
      <c r="G6" s="1201">
        <f>'Aff 8 IS'!H7</f>
        <v>0</v>
      </c>
      <c r="H6" s="1162"/>
      <c r="I6" s="1201">
        <f>'Aff 8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SUBTOTAL(109,AFF8Debt[Curr Bal])</f>
        <v>0</v>
      </c>
      <c r="O30" s="1357">
        <f>SUBTOTAL(109,AFF8Debt[Curr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8 IS'!D60</f>
        <v>0</v>
      </c>
      <c r="D64" s="1193"/>
      <c r="E64" s="1196">
        <f>'Aff 8 IS'!F60</f>
        <v>0</v>
      </c>
      <c r="F64" s="1194"/>
      <c r="G64" s="1196">
        <f>'Aff 8 IS'!H60</f>
        <v>0</v>
      </c>
      <c r="H64" s="1195"/>
      <c r="I64" s="1196">
        <f>'Aff 8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YMABA6WVM7Rq1a31D7Dw3SuF+T5k3g/9crKLA+GJEaWbmwGbJCEBkPkJl5Dlcpzfknn0gg7Bgxxl4VeyIwo5Ww==" saltValue="X0Ry5b0NypiHH36LRVxQqQ==" spinCount="100000" sheet="1" scenarios="1" formatCells="0" formatColumns="0" formatRows="0"/>
  <mergeCells count="54">
    <mergeCell ref="A122:J122"/>
    <mergeCell ref="A111:J111"/>
    <mergeCell ref="A112:J112"/>
    <mergeCell ref="A113:J113"/>
    <mergeCell ref="A114:J114"/>
    <mergeCell ref="A115:J115"/>
    <mergeCell ref="A116:J116"/>
    <mergeCell ref="A117:J117"/>
    <mergeCell ref="A118:J118"/>
    <mergeCell ref="A119:J119"/>
    <mergeCell ref="A120:J120"/>
    <mergeCell ref="A121:J121"/>
    <mergeCell ref="A110:J110"/>
    <mergeCell ref="A99:J99"/>
    <mergeCell ref="A100:J100"/>
    <mergeCell ref="A101:J101"/>
    <mergeCell ref="A102:J102"/>
    <mergeCell ref="A103:J103"/>
    <mergeCell ref="A104:J104"/>
    <mergeCell ref="A105:J105"/>
    <mergeCell ref="A106:J106"/>
    <mergeCell ref="A107:J107"/>
    <mergeCell ref="A108:J108"/>
    <mergeCell ref="A109:J109"/>
    <mergeCell ref="A98:J98"/>
    <mergeCell ref="A87:J87"/>
    <mergeCell ref="A88:J88"/>
    <mergeCell ref="A89:J89"/>
    <mergeCell ref="A90:J90"/>
    <mergeCell ref="A91:J91"/>
    <mergeCell ref="A92:J92"/>
    <mergeCell ref="A93:J93"/>
    <mergeCell ref="A94:J94"/>
    <mergeCell ref="A95:J95"/>
    <mergeCell ref="A96:J96"/>
    <mergeCell ref="A97:J97"/>
    <mergeCell ref="A86:J86"/>
    <mergeCell ref="M35:O35"/>
    <mergeCell ref="A61:J61"/>
    <mergeCell ref="A62:J62"/>
    <mergeCell ref="A78:J78"/>
    <mergeCell ref="A79:J79"/>
    <mergeCell ref="A80:J80"/>
    <mergeCell ref="A81:J81"/>
    <mergeCell ref="A82:J82"/>
    <mergeCell ref="A83:J83"/>
    <mergeCell ref="A84:J84"/>
    <mergeCell ref="A85:J85"/>
    <mergeCell ref="M34:O34"/>
    <mergeCell ref="A1:J1"/>
    <mergeCell ref="A2:J2"/>
    <mergeCell ref="M31:O31"/>
    <mergeCell ref="M32:O32"/>
    <mergeCell ref="M33:O33"/>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9A3BD92-5890-4071-8B41-259B5504A33D}">
          <x14:formula1>
            <xm:f>Lists!$C$2:$C$4</xm:f>
          </x14:formula1>
          <xm:sqref>Q9:Q29</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FAA34-B20E-41DA-8BCF-AB2D3BEECD55}">
  <sheetPr codeName="Sheet71">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8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8 CF</v>
      </c>
      <c r="V2" s="2901"/>
      <c r="W2" s="2901"/>
    </row>
    <row r="3" spans="1:29" ht="15.5" customHeight="1">
      <c r="A3" s="261" t="s">
        <v>182</v>
      </c>
      <c r="B3" s="262"/>
      <c r="C3" s="1086">
        <f>'Aff 8 IS'!D4</f>
        <v>44561</v>
      </c>
      <c r="D3" s="296"/>
      <c r="E3" s="1086">
        <f>'Aff 8 IS'!F4</f>
        <v>44926</v>
      </c>
      <c r="F3" s="296"/>
      <c r="G3" s="1086">
        <f>'Aff 8 IS'!H4</f>
        <v>45291</v>
      </c>
      <c r="H3" s="296"/>
      <c r="I3" s="1086">
        <f>'Aff 8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8 IS'!D5</f>
        <v>12</v>
      </c>
      <c r="D5" s="298"/>
      <c r="E5" s="266">
        <f>'Aff 8 IS'!F5</f>
        <v>12</v>
      </c>
      <c r="F5" s="298"/>
      <c r="G5" s="266">
        <f>'Aff 8 IS'!H5</f>
        <v>12</v>
      </c>
      <c r="H5" s="298"/>
      <c r="I5" s="266">
        <f>'Aff 8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8 IS'!D63</f>
        <v>0</v>
      </c>
      <c r="D7" s="1523"/>
      <c r="E7" s="1522">
        <f>'Aff 8 IS'!F63</f>
        <v>0</v>
      </c>
      <c r="F7" s="1523"/>
      <c r="G7" s="1522">
        <f>'Aff 8 IS'!H63</f>
        <v>0</v>
      </c>
      <c r="H7" s="1523"/>
      <c r="I7" s="1522">
        <f>'Aff 8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5">
        <f>'Aff 8 IS'!D33</f>
        <v>0</v>
      </c>
      <c r="D8" s="1526"/>
      <c r="E8" s="1525">
        <f>'Aff 8 IS'!F33</f>
        <v>0</v>
      </c>
      <c r="F8" s="1526"/>
      <c r="G8" s="1525">
        <f>'Aff 8 IS'!H33</f>
        <v>0</v>
      </c>
      <c r="H8" s="1526"/>
      <c r="I8" s="1525">
        <f>'Aff 8 IS'!J33</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5">
        <f>'Aff 8 IS'!D32</f>
        <v>0</v>
      </c>
      <c r="D9" s="1526"/>
      <c r="E9" s="1525">
        <f>'Aff 8 IS'!F32</f>
        <v>0</v>
      </c>
      <c r="F9" s="1526"/>
      <c r="G9" s="1525">
        <f>'Aff 8 IS'!H32</f>
        <v>0</v>
      </c>
      <c r="H9" s="1526"/>
      <c r="I9" s="1525">
        <f>'Aff 8 IS'!J32</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5">
        <f>'Aff 8 IS'!D61</f>
        <v>0</v>
      </c>
      <c r="D11" s="1529"/>
      <c r="E11" s="1525">
        <f>'Aff 8 IS'!F61</f>
        <v>0</v>
      </c>
      <c r="F11" s="1529"/>
      <c r="G11" s="1525">
        <f>'Aff 8 IS'!H61</f>
        <v>0</v>
      </c>
      <c r="H11" s="1529"/>
      <c r="I11" s="1525">
        <f>'Aff 8 IS'!J61</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AFF8Debt[[#Totals],[Curr Pmt]]*'Aff 8 CF'!C5</f>
        <v>0</v>
      </c>
      <c r="D27" s="1543"/>
      <c r="E27" s="1524">
        <f>AFF8Debt[[#Totals],[Curr Pmt]]*'Aff 8 CF'!E5</f>
        <v>0</v>
      </c>
      <c r="F27" s="1543"/>
      <c r="G27" s="1524">
        <f>AFF8Debt[[#Totals],[Curr Pmt]]*'Aff 8 CF'!G5</f>
        <v>0</v>
      </c>
      <c r="H27" s="1543"/>
      <c r="I27" s="1524">
        <f>AFF8Debt[[#Totals],[Curr Pmt]]*'Aff 8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FaUMV0cpzv2dYoAdMLpGZkoj/9gAE/1smugUOKWmGxz6jZvf7Kw3oldPSBjj7w1o+n15yIPO2cbEMmnerV1QKw==" saltValue="GlccpixTrV4gXf5b+rFuWA=="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37953"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37954"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37955"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37956"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1401-60A8-4F1B-9D96-53224E02667B}">
  <sheetPr codeName="Sheet73">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9rwDXeuXI7V8Qy2CQnbacYMrsGYlUnLA0TFoLFX21uoDco3SVD9E9F50tYCTcQ2JpdWF5KEL73hmbAx4gc0pqQ==" saltValue="+UzU4vJgV+meXC+bAhsIJQ=="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F136B4E-96C8-4033-8E8D-4307E0358C41}">
          <x14:formula1>
            <xm:f>Lists!$E$16:$E$20</xm:f>
          </x14:formula1>
          <xm:sqref>D7 J7 H7 F7</xm:sqref>
        </x14:dataValidation>
        <x14:dataValidation type="list" allowBlank="1" showInputMessage="1" showErrorMessage="1" xr:uid="{8A21AA11-3C60-4762-BA10-E854BCF7BD4F}">
          <x14:formula1>
            <xm:f>Lists!$D$16:$D$24</xm:f>
          </x14:formula1>
          <xm:sqref>D6 J6 H6 F6</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F93EB-2664-4032-8252-C29156BD6B1D}">
  <sheetPr codeName="Sheet75">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9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9 IS'!D4</f>
        <v>44561</v>
      </c>
      <c r="D3" s="1151"/>
      <c r="E3" s="1190">
        <f>'Aff 9 IS'!F4</f>
        <v>44926</v>
      </c>
      <c r="F3" s="1151"/>
      <c r="G3" s="1190">
        <f>'Aff 9 IS'!H4</f>
        <v>45291</v>
      </c>
      <c r="H3" s="1151"/>
      <c r="I3" s="1190">
        <f>'Aff 9 IS'!J4</f>
        <v>45382</v>
      </c>
      <c r="J3" s="1154"/>
      <c r="K3" s="26"/>
      <c r="L3" s="26"/>
      <c r="M3" s="1347"/>
      <c r="N3" s="1347"/>
      <c r="O3" s="1347"/>
      <c r="P3" s="26"/>
      <c r="Q3" s="26"/>
      <c r="R3" s="26"/>
      <c r="S3" s="26"/>
      <c r="T3" s="26"/>
      <c r="U3" s="26"/>
      <c r="V3" s="26"/>
      <c r="W3" s="26"/>
      <c r="X3" s="26"/>
      <c r="Y3" s="26"/>
      <c r="Z3" s="26"/>
    </row>
    <row r="4" spans="1:26" ht="16">
      <c r="A4" s="1155" t="s">
        <v>183</v>
      </c>
      <c r="B4" s="1150"/>
      <c r="C4" s="1201">
        <f>'Aff 9 IS'!D5</f>
        <v>12</v>
      </c>
      <c r="D4" s="1151"/>
      <c r="E4" s="1201">
        <f>'Aff 9 IS'!F5</f>
        <v>12</v>
      </c>
      <c r="F4" s="1151"/>
      <c r="G4" s="1201">
        <f>'Aff 9 IS'!H5</f>
        <v>12</v>
      </c>
      <c r="H4" s="1151"/>
      <c r="I4" s="1201">
        <f>'Aff 9 IS'!J5</f>
        <v>3</v>
      </c>
      <c r="J4" s="1160"/>
      <c r="K4" s="26"/>
      <c r="L4" s="26"/>
      <c r="M4" s="1347"/>
      <c r="N4" s="1347"/>
      <c r="O4" s="1347"/>
      <c r="P4" s="26"/>
      <c r="Q4" s="26"/>
      <c r="R4" s="26"/>
      <c r="S4" s="26"/>
      <c r="T4" s="26"/>
      <c r="U4" s="26"/>
      <c r="V4" s="26"/>
      <c r="W4" s="26"/>
      <c r="X4" s="26"/>
      <c r="Y4" s="26"/>
      <c r="Z4" s="26"/>
    </row>
    <row r="5" spans="1:26" ht="16">
      <c r="A5" s="1155" t="s">
        <v>185</v>
      </c>
      <c r="B5" s="1150"/>
      <c r="C5" s="1201">
        <f>'Aff 9 IS'!D6</f>
        <v>0</v>
      </c>
      <c r="D5" s="1162"/>
      <c r="E5" s="1201">
        <f>'Aff 9 IS'!F6</f>
        <v>0</v>
      </c>
      <c r="F5" s="1162"/>
      <c r="G5" s="1201">
        <f>'Aff 9 IS'!H6</f>
        <v>0</v>
      </c>
      <c r="H5" s="1162"/>
      <c r="I5" s="1201">
        <f>'Aff 9 IS'!J6</f>
        <v>0</v>
      </c>
      <c r="J5" s="1160"/>
      <c r="K5" s="26"/>
      <c r="L5" s="26"/>
      <c r="M5" s="1347"/>
      <c r="N5" s="1347"/>
      <c r="O5" s="1347"/>
      <c r="P5" s="26"/>
      <c r="Q5" s="26"/>
      <c r="R5" s="26"/>
      <c r="S5" s="26"/>
      <c r="T5" s="26"/>
      <c r="U5" s="26"/>
      <c r="V5" s="26"/>
      <c r="W5" s="26"/>
      <c r="X5" s="26"/>
      <c r="Y5" s="26"/>
      <c r="Z5" s="26"/>
    </row>
    <row r="6" spans="1:26" ht="16">
      <c r="A6" s="1155" t="s">
        <v>188</v>
      </c>
      <c r="B6" s="1150"/>
      <c r="C6" s="1201">
        <f>'Aff 9 IS'!D7</f>
        <v>0</v>
      </c>
      <c r="D6" s="1162"/>
      <c r="E6" s="1201">
        <f>'Aff 9 IS'!F7</f>
        <v>0</v>
      </c>
      <c r="F6" s="1162"/>
      <c r="G6" s="1201">
        <f>'Aff 9 IS'!H7</f>
        <v>0</v>
      </c>
      <c r="H6" s="1162"/>
      <c r="I6" s="1201">
        <f>'Aff 9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SUBTOTAL(109,AFF9Debt[Curr Bal])</f>
        <v>0</v>
      </c>
      <c r="O30" s="1357">
        <f>SUBTOTAL(109,AFF9Debt[Curr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9 IS'!D60</f>
        <v>0</v>
      </c>
      <c r="D64" s="1193"/>
      <c r="E64" s="1196">
        <f>'Aff 9 IS'!F60</f>
        <v>0</v>
      </c>
      <c r="F64" s="1194"/>
      <c r="G64" s="1196">
        <f>'Aff 9 IS'!H60</f>
        <v>0</v>
      </c>
      <c r="H64" s="1195"/>
      <c r="I64" s="1196">
        <f>'Aff 9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36zYiI7GE2QnKvc2os38Co8FmEsdf/cDcLG+dbg4xLMeH8984h5j9+YoDEM3T4/DSoTjxeU0uHZsiWHeUuYWzQ==" saltValue="M/m0mhu+5KpdDLO228EFhQ==" spinCount="100000" sheet="1" scenarios="1" formatCells="0" formatColumns="0" formatRows="0"/>
  <mergeCells count="54">
    <mergeCell ref="A122:J122"/>
    <mergeCell ref="A111:J111"/>
    <mergeCell ref="A112:J112"/>
    <mergeCell ref="A113:J113"/>
    <mergeCell ref="A114:J114"/>
    <mergeCell ref="A115:J115"/>
    <mergeCell ref="A116:J116"/>
    <mergeCell ref="A117:J117"/>
    <mergeCell ref="A118:J118"/>
    <mergeCell ref="A119:J119"/>
    <mergeCell ref="A120:J120"/>
    <mergeCell ref="A121:J121"/>
    <mergeCell ref="A110:J110"/>
    <mergeCell ref="A99:J99"/>
    <mergeCell ref="A100:J100"/>
    <mergeCell ref="A101:J101"/>
    <mergeCell ref="A102:J102"/>
    <mergeCell ref="A103:J103"/>
    <mergeCell ref="A104:J104"/>
    <mergeCell ref="A105:J105"/>
    <mergeCell ref="A106:J106"/>
    <mergeCell ref="A107:J107"/>
    <mergeCell ref="A108:J108"/>
    <mergeCell ref="A109:J109"/>
    <mergeCell ref="A98:J98"/>
    <mergeCell ref="A87:J87"/>
    <mergeCell ref="A88:J88"/>
    <mergeCell ref="A89:J89"/>
    <mergeCell ref="A90:J90"/>
    <mergeCell ref="A91:J91"/>
    <mergeCell ref="A92:J92"/>
    <mergeCell ref="A93:J93"/>
    <mergeCell ref="A94:J94"/>
    <mergeCell ref="A95:J95"/>
    <mergeCell ref="A96:J96"/>
    <mergeCell ref="A97:J97"/>
    <mergeCell ref="A86:J86"/>
    <mergeCell ref="M35:O35"/>
    <mergeCell ref="A61:J61"/>
    <mergeCell ref="A62:J62"/>
    <mergeCell ref="A78:J78"/>
    <mergeCell ref="A79:J79"/>
    <mergeCell ref="A80:J80"/>
    <mergeCell ref="A81:J81"/>
    <mergeCell ref="A82:J82"/>
    <mergeCell ref="A83:J83"/>
    <mergeCell ref="A84:J84"/>
    <mergeCell ref="A85:J85"/>
    <mergeCell ref="M34:O34"/>
    <mergeCell ref="A1:J1"/>
    <mergeCell ref="A2:J2"/>
    <mergeCell ref="M31:O31"/>
    <mergeCell ref="M32:O32"/>
    <mergeCell ref="M33:O33"/>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5A29EF8-95CB-4C32-AC8B-8C1472D2E25E}">
          <x14:formula1>
            <xm:f>Lists!$C$2:$C$4</xm:f>
          </x14:formula1>
          <xm:sqref>Q9:Q29</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B7E96-CB34-4512-9BF4-4C466806E2B0}">
  <sheetPr codeName="Sheet74">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9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9 CF</v>
      </c>
      <c r="V2" s="2901"/>
      <c r="W2" s="2901"/>
    </row>
    <row r="3" spans="1:29" ht="15.5" customHeight="1">
      <c r="A3" s="261" t="s">
        <v>182</v>
      </c>
      <c r="B3" s="262"/>
      <c r="C3" s="1086">
        <f>'Aff 9 IS'!D4</f>
        <v>44561</v>
      </c>
      <c r="D3" s="296"/>
      <c r="E3" s="1086">
        <f>'Aff 9 IS'!F4</f>
        <v>44926</v>
      </c>
      <c r="F3" s="296"/>
      <c r="G3" s="1086">
        <f>'Aff 9 IS'!H4</f>
        <v>45291</v>
      </c>
      <c r="H3" s="296"/>
      <c r="I3" s="1086">
        <f>'Aff 9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9 IS'!D5</f>
        <v>12</v>
      </c>
      <c r="D5" s="298"/>
      <c r="E5" s="266">
        <f>'Aff 9 IS'!F5</f>
        <v>12</v>
      </c>
      <c r="F5" s="298"/>
      <c r="G5" s="266">
        <f>'Aff 9 IS'!H5</f>
        <v>12</v>
      </c>
      <c r="H5" s="298"/>
      <c r="I5" s="266">
        <f>'Aff 9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9 IS'!D63</f>
        <v>0</v>
      </c>
      <c r="D7" s="1523"/>
      <c r="E7" s="1522">
        <f>'Aff 9 IS'!F63</f>
        <v>0</v>
      </c>
      <c r="F7" s="1523"/>
      <c r="G7" s="1522">
        <f>'Aff 9 IS'!H63</f>
        <v>0</v>
      </c>
      <c r="H7" s="1523"/>
      <c r="I7" s="1522">
        <f>'Aff 9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5">
        <f>'Aff 9 IS'!D33</f>
        <v>0</v>
      </c>
      <c r="D8" s="1526"/>
      <c r="E8" s="1525">
        <f>'Aff 9 IS'!F33</f>
        <v>0</v>
      </c>
      <c r="F8" s="1526"/>
      <c r="G8" s="1525">
        <f>'Aff 9 IS'!H33</f>
        <v>0</v>
      </c>
      <c r="H8" s="1526"/>
      <c r="I8" s="1525">
        <f>'Aff 9 IS'!J33</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5">
        <f>'Aff 9 IS'!D32</f>
        <v>0</v>
      </c>
      <c r="D9" s="1526"/>
      <c r="E9" s="1525">
        <f>'Aff 9 IS'!F32</f>
        <v>0</v>
      </c>
      <c r="F9" s="1526"/>
      <c r="G9" s="1525">
        <f>'Aff 9 IS'!H32</f>
        <v>0</v>
      </c>
      <c r="H9" s="1526"/>
      <c r="I9" s="1525">
        <f>'Aff 9 IS'!J32</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5">
        <f>'Aff 9 IS'!D61</f>
        <v>0</v>
      </c>
      <c r="D11" s="1529"/>
      <c r="E11" s="1525">
        <f>'Aff 9 IS'!F61</f>
        <v>0</v>
      </c>
      <c r="F11" s="1529"/>
      <c r="G11" s="1525">
        <f>'Aff 9 IS'!H61</f>
        <v>0</v>
      </c>
      <c r="H11" s="1529"/>
      <c r="I11" s="1525">
        <f>'Aff 9 IS'!J61</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AFF9Debt[[#Totals],[Curr Pmt]]*'Aff 9 CF'!C5</f>
        <v>0</v>
      </c>
      <c r="D27" s="1543"/>
      <c r="E27" s="1524">
        <f>AFF9Debt[[#Totals],[Curr Pmt]]*'Aff 9 CF'!E5</f>
        <v>0</v>
      </c>
      <c r="F27" s="1543"/>
      <c r="G27" s="1524">
        <f>AFF9Debt[[#Totals],[Curr Pmt]]*'Aff 9 CF'!G5</f>
        <v>0</v>
      </c>
      <c r="H27" s="1543"/>
      <c r="I27" s="1524">
        <f>AFF9Debt[[#Totals],[Curr Pmt]]*'Aff 9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BuS913P8IsuesMWKd5KTvwKpswpWG9J76eOSnnmzkoGCl7TWjlhLHP3QqUnH9DylTopio5NSvBlCft/KpJ7sAQ==" saltValue="67PR28hD0Mbyf8Uxy2LG5Q=="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41025"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41026"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41027"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41028"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717C1-B60E-4F67-A6AE-DAE459B1595C}">
  <sheetPr codeName="Sheet76">
    <tabColor rgb="FF00B050"/>
    <pageSetUpPr autoPageBreaks="0"/>
  </sheetPr>
  <dimension ref="B1:T75"/>
  <sheetViews>
    <sheetView showGridLines="0" topLeftCell="E1"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VG5xYNGMLQPv5aeM1A4bf7Hxn2Gf5cg68NyC7pUcuVfBQXt1DfEYJSwL43X5b4ZM4rdySVR+O6eK6lCr5HyJig==" saltValue="m3JPj9GZRkwCxcmrhJ2ctA=="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37D08572-5122-40A1-95DD-6840355DC138}">
          <x14:formula1>
            <xm:f>Lists!$D$16:$D$24</xm:f>
          </x14:formula1>
          <xm:sqref>D6 J6 H6 F6</xm:sqref>
        </x14:dataValidation>
        <x14:dataValidation type="list" allowBlank="1" showInputMessage="1" showErrorMessage="1" xr:uid="{973FA5C9-7752-4D58-B52F-34CD56A000B0}">
          <x14:formula1>
            <xm:f>Lists!$E$16:$E$20</xm:f>
          </x14:formula1>
          <xm:sqref>D7 J7 H7 F7</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4B854-E4DA-42DB-AAFA-67ADA3876AB0}">
  <sheetPr codeName="Sheet78">
    <tabColor rgb="FF00B050"/>
    <pageSetUpPr autoPageBreaks="0"/>
  </sheetPr>
  <dimension ref="A1:Z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4" bestFit="1" customWidth="1"/>
    <col min="14" max="14" width="11.5" bestFit="1" customWidth="1"/>
    <col min="15" max="15" width="12.5" bestFit="1" customWidth="1"/>
    <col min="16" max="16" width="13.1640625" bestFit="1" customWidth="1"/>
    <col min="17" max="17" width="16.33203125" bestFit="1" customWidth="1"/>
  </cols>
  <sheetData>
    <row r="1" spans="1:26" ht="16">
      <c r="A1" s="2922" t="s">
        <v>921</v>
      </c>
      <c r="B1" s="2923"/>
      <c r="C1" s="2923"/>
      <c r="D1" s="2923"/>
      <c r="E1" s="2923"/>
      <c r="F1" s="2923"/>
      <c r="G1" s="2923"/>
      <c r="H1" s="2923"/>
      <c r="I1" s="2923"/>
      <c r="J1" s="2924"/>
      <c r="K1" s="26"/>
      <c r="L1" s="26"/>
      <c r="M1" s="1346"/>
      <c r="N1" s="1346"/>
      <c r="O1" s="1346"/>
      <c r="P1" s="26"/>
      <c r="Q1" s="26"/>
      <c r="R1" s="26"/>
      <c r="S1" s="26"/>
      <c r="T1" s="26"/>
      <c r="U1" s="26"/>
      <c r="V1" s="26"/>
      <c r="W1" s="26"/>
      <c r="X1" s="26"/>
      <c r="Y1" s="26"/>
      <c r="Z1" s="26"/>
    </row>
    <row r="2" spans="1:26" ht="16">
      <c r="A2" s="2927" t="str">
        <f>'Aff 10 IS'!B2</f>
        <v>{Insert business name which represents PSOR}</v>
      </c>
      <c r="B2" s="2928"/>
      <c r="C2" s="2928"/>
      <c r="D2" s="2928"/>
      <c r="E2" s="2928"/>
      <c r="F2" s="2928"/>
      <c r="G2" s="2928"/>
      <c r="H2" s="2928"/>
      <c r="I2" s="2928"/>
      <c r="J2" s="2989"/>
      <c r="K2" s="26"/>
      <c r="L2" s="26"/>
      <c r="M2" s="1347"/>
      <c r="N2" s="1347"/>
      <c r="O2" s="1347"/>
      <c r="P2" s="26"/>
      <c r="Q2" s="26"/>
      <c r="R2" s="26"/>
      <c r="S2" s="26"/>
      <c r="T2" s="26"/>
      <c r="U2" s="26"/>
      <c r="V2" s="26"/>
      <c r="W2" s="26"/>
      <c r="X2" s="26"/>
      <c r="Y2" s="26"/>
      <c r="Z2" s="26"/>
    </row>
    <row r="3" spans="1:26" ht="16">
      <c r="A3" s="1155" t="s">
        <v>182</v>
      </c>
      <c r="B3" s="1150"/>
      <c r="C3" s="1190">
        <f>'Aff 10 IS'!D4</f>
        <v>44561</v>
      </c>
      <c r="D3" s="1151"/>
      <c r="E3" s="1190">
        <f>'Aff 10 IS'!F4</f>
        <v>44926</v>
      </c>
      <c r="F3" s="1151"/>
      <c r="G3" s="1190">
        <f>'Aff 10 IS'!H4</f>
        <v>45291</v>
      </c>
      <c r="H3" s="1151"/>
      <c r="I3" s="1190">
        <f>'Aff 10 IS'!J4</f>
        <v>45382</v>
      </c>
      <c r="J3" s="1154"/>
      <c r="K3" s="26"/>
      <c r="L3" s="26"/>
      <c r="M3" s="1347"/>
      <c r="N3" s="1347"/>
      <c r="O3" s="1347"/>
      <c r="P3" s="26"/>
      <c r="Q3" s="26"/>
      <c r="R3" s="26"/>
      <c r="S3" s="26"/>
      <c r="T3" s="26"/>
      <c r="U3" s="26"/>
      <c r="V3" s="26"/>
      <c r="W3" s="26"/>
      <c r="X3" s="26"/>
      <c r="Y3" s="26"/>
      <c r="Z3" s="26"/>
    </row>
    <row r="4" spans="1:26" ht="16">
      <c r="A4" s="1155" t="s">
        <v>183</v>
      </c>
      <c r="B4" s="1150"/>
      <c r="C4" s="1201">
        <f>'Aff 10 IS'!D5</f>
        <v>12</v>
      </c>
      <c r="D4" s="1151"/>
      <c r="E4" s="1201">
        <f>'Aff 10 IS'!F5</f>
        <v>12</v>
      </c>
      <c r="F4" s="1151"/>
      <c r="G4" s="1201">
        <f>'Aff 10 IS'!H5</f>
        <v>12</v>
      </c>
      <c r="H4" s="1151"/>
      <c r="I4" s="1201">
        <f>'Aff 10 IS'!J5</f>
        <v>3</v>
      </c>
      <c r="J4" s="1160"/>
      <c r="K4" s="26"/>
      <c r="L4" s="26"/>
      <c r="M4" s="1347"/>
      <c r="N4" s="1347"/>
      <c r="O4" s="1347"/>
      <c r="P4" s="26"/>
      <c r="Q4" s="26"/>
      <c r="R4" s="26"/>
      <c r="S4" s="26"/>
      <c r="T4" s="26"/>
      <c r="U4" s="26"/>
      <c r="V4" s="26"/>
      <c r="W4" s="26"/>
      <c r="X4" s="26"/>
      <c r="Y4" s="26"/>
      <c r="Z4" s="26"/>
    </row>
    <row r="5" spans="1:26" ht="16">
      <c r="A5" s="1155" t="s">
        <v>185</v>
      </c>
      <c r="B5" s="1150"/>
      <c r="C5" s="1201">
        <f>'Aff 10 IS'!D6</f>
        <v>0</v>
      </c>
      <c r="D5" s="1162"/>
      <c r="E5" s="1201">
        <f>'Aff 10 IS'!F6</f>
        <v>0</v>
      </c>
      <c r="F5" s="1162"/>
      <c r="G5" s="1201">
        <f>'Aff 10 IS'!H6</f>
        <v>0</v>
      </c>
      <c r="H5" s="1162"/>
      <c r="I5" s="1201">
        <f>'Aff 10 IS'!J6</f>
        <v>0</v>
      </c>
      <c r="J5" s="1160"/>
      <c r="K5" s="26"/>
      <c r="L5" s="26"/>
      <c r="M5" s="1347"/>
      <c r="N5" s="1347"/>
      <c r="O5" s="1347"/>
      <c r="P5" s="26"/>
      <c r="Q5" s="26"/>
      <c r="R5" s="26"/>
      <c r="S5" s="26"/>
      <c r="T5" s="26"/>
      <c r="U5" s="26"/>
      <c r="V5" s="26"/>
      <c r="W5" s="26"/>
      <c r="X5" s="26"/>
      <c r="Y5" s="26"/>
      <c r="Z5" s="26"/>
    </row>
    <row r="6" spans="1:26" ht="16">
      <c r="A6" s="1155" t="s">
        <v>188</v>
      </c>
      <c r="B6" s="1150"/>
      <c r="C6" s="1201">
        <f>'Aff 10 IS'!D7</f>
        <v>0</v>
      </c>
      <c r="D6" s="1162"/>
      <c r="E6" s="1201">
        <f>'Aff 10 IS'!F7</f>
        <v>0</v>
      </c>
      <c r="F6" s="1162"/>
      <c r="G6" s="1201">
        <f>'Aff 10 IS'!H7</f>
        <v>0</v>
      </c>
      <c r="H6" s="1162"/>
      <c r="I6" s="1201">
        <f>'Aff 10 IS'!J7</f>
        <v>0</v>
      </c>
      <c r="J6" s="1160"/>
      <c r="K6" s="26"/>
      <c r="L6" s="26"/>
      <c r="M6" s="1348"/>
      <c r="N6" s="1348"/>
      <c r="O6" s="1348"/>
      <c r="P6" s="26"/>
      <c r="Q6" s="26"/>
      <c r="R6" s="26"/>
      <c r="S6" s="26"/>
      <c r="T6" s="26"/>
      <c r="U6" s="26"/>
      <c r="V6" s="26"/>
      <c r="W6" s="26"/>
      <c r="X6" s="26"/>
      <c r="Y6" s="26"/>
      <c r="Z6" s="26"/>
    </row>
    <row r="7" spans="1:26"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c r="V7" s="26"/>
      <c r="W7" s="26"/>
      <c r="X7" s="26"/>
      <c r="Y7" s="26"/>
      <c r="Z7" s="26"/>
    </row>
    <row r="8" spans="1:26"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c r="V8" s="26"/>
      <c r="W8" s="26"/>
      <c r="X8" s="26"/>
      <c r="Y8" s="26"/>
      <c r="Z8" s="26"/>
    </row>
    <row r="9" spans="1:26"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c r="V9" s="26"/>
      <c r="W9" s="26"/>
      <c r="X9" s="26"/>
      <c r="Y9" s="26"/>
      <c r="Z9" s="26"/>
    </row>
    <row r="10" spans="1:26"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c r="V10" s="26"/>
      <c r="W10" s="26"/>
      <c r="X10" s="26"/>
      <c r="Y10" s="26"/>
      <c r="Z10" s="26"/>
    </row>
    <row r="11" spans="1:26"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c r="V11" s="26"/>
      <c r="W11" s="26"/>
      <c r="X11" s="26"/>
      <c r="Y11" s="26"/>
      <c r="Z11" s="26"/>
    </row>
    <row r="12" spans="1:26"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c r="V12" s="26"/>
      <c r="W12" s="26"/>
      <c r="X12" s="26"/>
      <c r="Y12" s="26"/>
      <c r="Z12" s="26"/>
    </row>
    <row r="13" spans="1:26"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c r="V13" s="26"/>
      <c r="W13" s="26"/>
      <c r="X13" s="26"/>
      <c r="Y13" s="26"/>
      <c r="Z13" s="26"/>
    </row>
    <row r="14" spans="1:26"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c r="V14" s="26"/>
      <c r="W14" s="26"/>
      <c r="X14" s="26"/>
      <c r="Y14" s="26"/>
      <c r="Z14" s="26"/>
    </row>
    <row r="15" spans="1:26" ht="16">
      <c r="A15" s="1167"/>
      <c r="B15" s="311"/>
      <c r="C15" s="1172"/>
      <c r="D15" s="1169"/>
      <c r="E15" s="1172"/>
      <c r="F15" s="1169"/>
      <c r="G15" s="1172"/>
      <c r="H15" s="1169"/>
      <c r="I15" s="1172"/>
      <c r="J15" s="1170"/>
      <c r="K15" s="26"/>
      <c r="L15" s="26"/>
      <c r="M15" s="1352"/>
      <c r="N15" s="1358"/>
      <c r="O15" s="1358"/>
      <c r="P15" s="1353"/>
      <c r="Q15" s="1354"/>
      <c r="R15" s="26"/>
      <c r="S15" s="26"/>
      <c r="T15" s="26"/>
      <c r="U15" s="26"/>
      <c r="V15" s="26"/>
      <c r="W15" s="26"/>
      <c r="X15" s="26"/>
      <c r="Y15" s="26"/>
      <c r="Z15" s="26"/>
    </row>
    <row r="16" spans="1:26"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c r="V16" s="26"/>
      <c r="W16" s="26"/>
      <c r="X16" s="26"/>
      <c r="Y16" s="26"/>
      <c r="Z16" s="26"/>
    </row>
    <row r="17" spans="1:26"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c r="V17" s="26"/>
      <c r="W17" s="26"/>
      <c r="X17" s="26"/>
      <c r="Y17" s="26"/>
      <c r="Z17" s="26"/>
    </row>
    <row r="18" spans="1:26"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c r="V18" s="26"/>
      <c r="W18" s="26"/>
      <c r="X18" s="26"/>
      <c r="Y18" s="26"/>
      <c r="Z18" s="26"/>
    </row>
    <row r="19" spans="1:26"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c r="V19" s="26"/>
      <c r="W19" s="26"/>
      <c r="X19" s="26"/>
      <c r="Y19" s="26"/>
      <c r="Z19" s="26"/>
    </row>
    <row r="20" spans="1:26"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c r="V20" s="26"/>
      <c r="W20" s="26"/>
      <c r="X20" s="26"/>
      <c r="Y20" s="26"/>
      <c r="Z20" s="26"/>
    </row>
    <row r="21" spans="1:26"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c r="V21" s="26"/>
      <c r="W21" s="26"/>
      <c r="X21" s="26"/>
      <c r="Y21" s="26"/>
      <c r="Z21" s="26"/>
    </row>
    <row r="22" spans="1:26"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c r="V22" s="26"/>
      <c r="W22" s="26"/>
      <c r="X22" s="26"/>
      <c r="Y22" s="26"/>
      <c r="Z22" s="26"/>
    </row>
    <row r="23" spans="1:26"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c r="V23" s="26"/>
      <c r="W23" s="26"/>
      <c r="X23" s="26"/>
      <c r="Y23" s="26"/>
      <c r="Z23" s="26"/>
    </row>
    <row r="24" spans="1:26"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c r="V24" s="26"/>
      <c r="W24" s="26"/>
      <c r="X24" s="26"/>
      <c r="Y24" s="26"/>
      <c r="Z24" s="26"/>
    </row>
    <row r="25" spans="1:26"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c r="V25" s="26"/>
      <c r="W25" s="26"/>
      <c r="X25" s="26"/>
      <c r="Y25" s="26"/>
      <c r="Z25" s="26"/>
    </row>
    <row r="26" spans="1:26" ht="16">
      <c r="A26" s="1167"/>
      <c r="B26" s="311"/>
      <c r="C26" s="1172"/>
      <c r="D26" s="1169"/>
      <c r="E26" s="1172"/>
      <c r="F26" s="1169"/>
      <c r="G26" s="1172"/>
      <c r="H26" s="1169"/>
      <c r="I26" s="1172"/>
      <c r="J26" s="1170"/>
      <c r="K26" s="26"/>
      <c r="L26" s="26"/>
      <c r="M26" s="1355"/>
      <c r="N26" s="1358"/>
      <c r="O26" s="1358"/>
      <c r="P26" s="1353"/>
      <c r="Q26" s="1354"/>
      <c r="R26" s="26"/>
      <c r="S26" s="26"/>
      <c r="T26" s="26"/>
      <c r="U26" s="26"/>
      <c r="V26" s="26"/>
      <c r="W26" s="26"/>
      <c r="X26" s="26"/>
      <c r="Y26" s="26"/>
      <c r="Z26" s="26"/>
    </row>
    <row r="27" spans="1:26"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c r="V27" s="26"/>
      <c r="W27" s="26"/>
      <c r="X27" s="26"/>
      <c r="Y27" s="26"/>
      <c r="Z27" s="26"/>
    </row>
    <row r="28" spans="1:26"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c r="V28" s="26"/>
      <c r="W28" s="26"/>
      <c r="X28" s="26"/>
      <c r="Y28" s="26"/>
      <c r="Z28" s="26"/>
    </row>
    <row r="29" spans="1:26"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c r="V29" s="26"/>
      <c r="W29" s="26"/>
      <c r="X29" s="26"/>
      <c r="Y29" s="26"/>
      <c r="Z29" s="26"/>
    </row>
    <row r="30" spans="1:26"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SUBTOTAL(109,AFF10Debt[Curr Bal])</f>
        <v>0</v>
      </c>
      <c r="O30" s="1357">
        <f>SUBTOTAL(109,AFF10Debt[Curr Pmt])</f>
        <v>0</v>
      </c>
      <c r="P30" s="1350"/>
      <c r="Q30" s="1350"/>
      <c r="R30" s="26"/>
      <c r="S30" s="26"/>
      <c r="T30" s="26"/>
      <c r="U30" s="26"/>
      <c r="V30" s="26"/>
      <c r="W30" s="26"/>
      <c r="X30" s="26"/>
      <c r="Y30" s="26"/>
      <c r="Z30" s="26"/>
    </row>
    <row r="31" spans="1:26"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c r="M31" s="2901"/>
      <c r="N31" s="2901"/>
      <c r="O31" s="2901"/>
    </row>
    <row r="32" spans="1:26" ht="16">
      <c r="A32" s="1167"/>
      <c r="B32" s="311"/>
      <c r="C32" s="1168"/>
      <c r="D32" s="1169"/>
      <c r="E32" s="1168"/>
      <c r="F32" s="1169"/>
      <c r="G32" s="1168"/>
      <c r="H32" s="1169"/>
      <c r="I32" s="1168"/>
      <c r="J32" s="1170"/>
      <c r="M32" s="2776"/>
      <c r="N32" s="2776"/>
      <c r="O32" s="2776"/>
    </row>
    <row r="33" spans="1:15" ht="16">
      <c r="A33" s="1161" t="s">
        <v>944</v>
      </c>
      <c r="B33" s="311"/>
      <c r="C33" s="1172"/>
      <c r="D33" s="1169"/>
      <c r="E33" s="1172"/>
      <c r="F33" s="1169"/>
      <c r="G33" s="1172"/>
      <c r="H33" s="1169"/>
      <c r="I33" s="1172"/>
      <c r="J33" s="1170"/>
      <c r="M33" s="2776"/>
      <c r="N33" s="2776"/>
      <c r="O33" s="2776"/>
    </row>
    <row r="34" spans="1:15"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c r="M34" s="2776"/>
      <c r="N34" s="2776"/>
      <c r="O34" s="2776"/>
    </row>
    <row r="35" spans="1:15" ht="16">
      <c r="A35" s="1167" t="s">
        <v>946</v>
      </c>
      <c r="B35" s="311"/>
      <c r="C35" s="309"/>
      <c r="D35" s="1169">
        <f t="shared" si="10"/>
        <v>0</v>
      </c>
      <c r="E35" s="309"/>
      <c r="F35" s="1169">
        <f t="shared" si="11"/>
        <v>0</v>
      </c>
      <c r="G35" s="309"/>
      <c r="H35" s="1169">
        <f t="shared" si="12"/>
        <v>0</v>
      </c>
      <c r="I35" s="309"/>
      <c r="J35" s="1170">
        <f t="shared" si="13"/>
        <v>0</v>
      </c>
      <c r="M35" s="2901"/>
      <c r="N35" s="2901"/>
      <c r="O35" s="2901"/>
    </row>
    <row r="36" spans="1:15" ht="16">
      <c r="A36" s="1167" t="s">
        <v>947</v>
      </c>
      <c r="B36" s="311"/>
      <c r="C36" s="309"/>
      <c r="D36" s="1169">
        <f t="shared" si="10"/>
        <v>0</v>
      </c>
      <c r="E36" s="309"/>
      <c r="F36" s="1169">
        <f t="shared" si="11"/>
        <v>0</v>
      </c>
      <c r="G36" s="309"/>
      <c r="H36" s="1169">
        <f t="shared" si="12"/>
        <v>0</v>
      </c>
      <c r="I36" s="309"/>
      <c r="J36" s="1170">
        <f t="shared" si="13"/>
        <v>0</v>
      </c>
    </row>
    <row r="37" spans="1:15" ht="16">
      <c r="A37" s="1167" t="s">
        <v>948</v>
      </c>
      <c r="B37" s="311"/>
      <c r="C37" s="309"/>
      <c r="D37" s="1169">
        <f t="shared" si="10"/>
        <v>0</v>
      </c>
      <c r="E37" s="309"/>
      <c r="F37" s="1169">
        <f t="shared" si="11"/>
        <v>0</v>
      </c>
      <c r="G37" s="309"/>
      <c r="H37" s="1169">
        <f t="shared" si="12"/>
        <v>0</v>
      </c>
      <c r="I37" s="309"/>
      <c r="J37" s="1170">
        <f t="shared" si="13"/>
        <v>0</v>
      </c>
    </row>
    <row r="38" spans="1:15" ht="16">
      <c r="A38" s="1167" t="s">
        <v>949</v>
      </c>
      <c r="B38" s="311"/>
      <c r="C38" s="309"/>
      <c r="D38" s="1169">
        <f t="shared" si="10"/>
        <v>0</v>
      </c>
      <c r="E38" s="309"/>
      <c r="F38" s="1169">
        <f t="shared" si="11"/>
        <v>0</v>
      </c>
      <c r="G38" s="309"/>
      <c r="H38" s="1169">
        <f t="shared" si="12"/>
        <v>0</v>
      </c>
      <c r="I38" s="309"/>
      <c r="J38" s="1170">
        <f t="shared" si="13"/>
        <v>0</v>
      </c>
    </row>
    <row r="39" spans="1:15" ht="16">
      <c r="A39" s="1319" t="s">
        <v>950</v>
      </c>
      <c r="B39" s="311"/>
      <c r="C39" s="310"/>
      <c r="D39" s="1169">
        <f t="shared" si="10"/>
        <v>0</v>
      </c>
      <c r="E39" s="310"/>
      <c r="F39" s="1169">
        <f t="shared" si="11"/>
        <v>0</v>
      </c>
      <c r="G39" s="310"/>
      <c r="H39" s="1169">
        <f t="shared" si="12"/>
        <v>0</v>
      </c>
      <c r="I39" s="310"/>
      <c r="J39" s="1170">
        <f t="shared" si="13"/>
        <v>0</v>
      </c>
    </row>
    <row r="40" spans="1:15"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5" ht="16">
      <c r="A41" s="1167"/>
      <c r="B41" s="311"/>
      <c r="C41" s="1172"/>
      <c r="D41" s="1169"/>
      <c r="E41" s="1172"/>
      <c r="F41" s="1169"/>
      <c r="G41" s="1172"/>
      <c r="H41" s="1169"/>
      <c r="I41" s="1172"/>
      <c r="J41" s="1170"/>
    </row>
    <row r="42" spans="1:15"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5" ht="16">
      <c r="A43" s="1167" t="s">
        <v>953</v>
      </c>
      <c r="B43" s="311"/>
      <c r="C43" s="309"/>
      <c r="D43" s="1169">
        <f t="shared" si="14"/>
        <v>0</v>
      </c>
      <c r="E43" s="309"/>
      <c r="F43" s="1169">
        <f t="shared" si="15"/>
        <v>0</v>
      </c>
      <c r="G43" s="309"/>
      <c r="H43" s="1169">
        <f t="shared" si="16"/>
        <v>0</v>
      </c>
      <c r="I43" s="309"/>
      <c r="J43" s="1170">
        <f t="shared" si="17"/>
        <v>0</v>
      </c>
    </row>
    <row r="44" spans="1:15" ht="16">
      <c r="A44" s="1167" t="s">
        <v>954</v>
      </c>
      <c r="B44" s="311"/>
      <c r="C44" s="309"/>
      <c r="D44" s="1169">
        <f t="shared" si="14"/>
        <v>0</v>
      </c>
      <c r="E44" s="309"/>
      <c r="F44" s="1169">
        <f t="shared" si="15"/>
        <v>0</v>
      </c>
      <c r="G44" s="309"/>
      <c r="H44" s="1169">
        <f t="shared" si="16"/>
        <v>0</v>
      </c>
      <c r="I44" s="309"/>
      <c r="J44" s="1170">
        <f t="shared" si="17"/>
        <v>0</v>
      </c>
    </row>
    <row r="45" spans="1:15" ht="16">
      <c r="A45" s="1319" t="s">
        <v>955</v>
      </c>
      <c r="B45" s="311"/>
      <c r="C45" s="310"/>
      <c r="D45" s="1169">
        <f t="shared" si="14"/>
        <v>0</v>
      </c>
      <c r="E45" s="310"/>
      <c r="F45" s="1169">
        <f t="shared" si="15"/>
        <v>0</v>
      </c>
      <c r="G45" s="310"/>
      <c r="H45" s="1169">
        <f t="shared" si="16"/>
        <v>0</v>
      </c>
      <c r="I45" s="310"/>
      <c r="J45" s="1170">
        <f t="shared" si="17"/>
        <v>0</v>
      </c>
    </row>
    <row r="46" spans="1:15"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5" ht="16">
      <c r="A47" s="1167"/>
      <c r="B47" s="311"/>
      <c r="C47" s="1172"/>
      <c r="D47" s="1169"/>
      <c r="E47" s="1172"/>
      <c r="F47" s="1169"/>
      <c r="G47" s="1172"/>
      <c r="H47" s="1169"/>
      <c r="I47" s="1172"/>
      <c r="J47" s="1170"/>
    </row>
    <row r="48" spans="1:15"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10 IS'!D60</f>
        <v>0</v>
      </c>
      <c r="D64" s="1193"/>
      <c r="E64" s="1196">
        <f>'Aff 10 IS'!F60</f>
        <v>0</v>
      </c>
      <c r="F64" s="1194"/>
      <c r="G64" s="1196">
        <f>'Aff 10 IS'!H60</f>
        <v>0</v>
      </c>
      <c r="H64" s="1195"/>
      <c r="I64" s="1196">
        <f>'Aff 10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Jk4ysg2mbXaTj8vTvaURPdhPVufCo6ApS6e51hXPw9fNJcpRlstavRTpCoLd2B8BKesKfIGNN6Hpdm8Jm/GB/A==" saltValue="UywaclJAti4wPztgOfYA7A==" spinCount="100000" sheet="1" scenarios="1" formatCells="0" formatColumns="0" formatRows="0"/>
  <mergeCells count="54">
    <mergeCell ref="A122:J122"/>
    <mergeCell ref="A111:J111"/>
    <mergeCell ref="A112:J112"/>
    <mergeCell ref="A113:J113"/>
    <mergeCell ref="A114:J114"/>
    <mergeCell ref="A115:J115"/>
    <mergeCell ref="A116:J116"/>
    <mergeCell ref="A117:J117"/>
    <mergeCell ref="A118:J118"/>
    <mergeCell ref="A119:J119"/>
    <mergeCell ref="A120:J120"/>
    <mergeCell ref="A121:J121"/>
    <mergeCell ref="A110:J110"/>
    <mergeCell ref="A99:J99"/>
    <mergeCell ref="A100:J100"/>
    <mergeCell ref="A101:J101"/>
    <mergeCell ref="A102:J102"/>
    <mergeCell ref="A103:J103"/>
    <mergeCell ref="A104:J104"/>
    <mergeCell ref="A105:J105"/>
    <mergeCell ref="A106:J106"/>
    <mergeCell ref="A107:J107"/>
    <mergeCell ref="A108:J108"/>
    <mergeCell ref="A109:J109"/>
    <mergeCell ref="A98:J98"/>
    <mergeCell ref="A87:J87"/>
    <mergeCell ref="A88:J88"/>
    <mergeCell ref="A89:J89"/>
    <mergeCell ref="A90:J90"/>
    <mergeCell ref="A91:J91"/>
    <mergeCell ref="A92:J92"/>
    <mergeCell ref="A93:J93"/>
    <mergeCell ref="A94:J94"/>
    <mergeCell ref="A95:J95"/>
    <mergeCell ref="A96:J96"/>
    <mergeCell ref="A97:J97"/>
    <mergeCell ref="A86:J86"/>
    <mergeCell ref="M35:O35"/>
    <mergeCell ref="A61:J61"/>
    <mergeCell ref="A62:J62"/>
    <mergeCell ref="A78:J78"/>
    <mergeCell ref="A79:J79"/>
    <mergeCell ref="A80:J80"/>
    <mergeCell ref="A81:J81"/>
    <mergeCell ref="A82:J82"/>
    <mergeCell ref="A83:J83"/>
    <mergeCell ref="A84:J84"/>
    <mergeCell ref="A85:J85"/>
    <mergeCell ref="M34:O34"/>
    <mergeCell ref="A1:J1"/>
    <mergeCell ref="A2:J2"/>
    <mergeCell ref="M31:O31"/>
    <mergeCell ref="M32:O32"/>
    <mergeCell ref="M33:O33"/>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9A94698-884D-4CC0-BCDE-B0432E6C5ECF}">
          <x14:formula1>
            <xm:f>Lists!$C$2:$C$4</xm:f>
          </x14:formula1>
          <xm:sqref>Q9:Q29</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8FC88-FEB9-492E-83B7-72B6592D762F}">
  <sheetPr codeName="Sheet77">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10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10 CF</v>
      </c>
      <c r="V2" s="2901"/>
      <c r="W2" s="2901"/>
    </row>
    <row r="3" spans="1:29" ht="15.5" customHeight="1">
      <c r="A3" s="261" t="s">
        <v>182</v>
      </c>
      <c r="B3" s="262"/>
      <c r="C3" s="1086">
        <f>'Aff 10 IS'!D4</f>
        <v>44561</v>
      </c>
      <c r="D3" s="296"/>
      <c r="E3" s="1086">
        <f>'Aff 10 IS'!F4</f>
        <v>44926</v>
      </c>
      <c r="F3" s="296"/>
      <c r="G3" s="1086">
        <f>'Aff 10 IS'!H4</f>
        <v>45291</v>
      </c>
      <c r="H3" s="296"/>
      <c r="I3" s="1086">
        <f>'Aff 10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10 IS'!D5</f>
        <v>12</v>
      </c>
      <c r="D5" s="298"/>
      <c r="E5" s="266">
        <f>'Aff 10 IS'!F5</f>
        <v>12</v>
      </c>
      <c r="F5" s="298"/>
      <c r="G5" s="266">
        <f>'Aff 10 IS'!H5</f>
        <v>12</v>
      </c>
      <c r="H5" s="298"/>
      <c r="I5" s="266">
        <f>'Aff 10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2">
        <f>'Aff 10 IS'!D63</f>
        <v>0</v>
      </c>
      <c r="D7" s="1523"/>
      <c r="E7" s="1522">
        <f>'Aff 10 IS'!F63</f>
        <v>0</v>
      </c>
      <c r="F7" s="1523"/>
      <c r="G7" s="1522">
        <f>'Aff 10 IS'!H63</f>
        <v>0</v>
      </c>
      <c r="H7" s="1523"/>
      <c r="I7" s="1522">
        <f>'Aff 10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5">
        <f>'Aff 10 IS'!D33</f>
        <v>0</v>
      </c>
      <c r="D8" s="1526"/>
      <c r="E8" s="1525">
        <f>'Aff 10 IS'!F33</f>
        <v>0</v>
      </c>
      <c r="F8" s="1526"/>
      <c r="G8" s="1525">
        <f>'Aff 10 IS'!H33</f>
        <v>0</v>
      </c>
      <c r="H8" s="1526"/>
      <c r="I8" s="1525">
        <f>'Aff 10 IS'!J33</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5">
        <f>'Aff 10 IS'!D32</f>
        <v>0</v>
      </c>
      <c r="D9" s="1526"/>
      <c r="E9" s="1525">
        <f>'Aff 10 IS'!F32</f>
        <v>0</v>
      </c>
      <c r="F9" s="1526"/>
      <c r="G9" s="1525">
        <f>'Aff 10 IS'!H32</f>
        <v>0</v>
      </c>
      <c r="H9" s="1526"/>
      <c r="I9" s="1525">
        <f>'Aff 10 IS'!J32</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5"/>
      <c r="D10" s="1526"/>
      <c r="E10" s="1525"/>
      <c r="F10" s="1526"/>
      <c r="G10" s="1525"/>
      <c r="H10" s="1526"/>
      <c r="I10" s="1525"/>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5">
        <f>'Aff 10 IS'!D61</f>
        <v>0</v>
      </c>
      <c r="D11" s="1529"/>
      <c r="E11" s="1525">
        <f>'Aff 10 IS'!F61</f>
        <v>0</v>
      </c>
      <c r="F11" s="1529"/>
      <c r="G11" s="1525">
        <f>'Aff 10 IS'!H61</f>
        <v>0</v>
      </c>
      <c r="H11" s="1529"/>
      <c r="I11" s="1525">
        <f>'Aff 10 IS'!J61</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AFF10Debt[[#Totals],[Curr Pmt]]*'Aff 10 CF'!C5</f>
        <v>0</v>
      </c>
      <c r="D27" s="1543"/>
      <c r="E27" s="1524">
        <f>AFF10Debt[[#Totals],[Curr Pmt]]*'Aff 10 CF'!E5</f>
        <v>0</v>
      </c>
      <c r="F27" s="1543"/>
      <c r="G27" s="1524">
        <f>AFF10Debt[[#Totals],[Curr Pmt]]*'Aff 10 CF'!G5</f>
        <v>0</v>
      </c>
      <c r="H27" s="1543"/>
      <c r="I27" s="1524">
        <f>AFF10Debt[[#Totals],[Curr Pmt]]*'Aff 10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iuHQw6Alh1enMV+ScGGETTVnXdPg2vHvTaxY6qx3w+31RszSXn3vjrkxEeY6dy7B9ep9CY+hoRarne0yMdhNKw==" saltValue="0lJhPWHRFLGdXlsnETPdCw=="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44097"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44098"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44099"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44100"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4FE65-C0CD-4737-91FD-207B59587509}">
  <sheetPr codeName="Sheet79">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vfIGqQ8rjrgQz0iJ3zK11dMgMK9qzOqxoOWlVrBr5AL7SfTGE3/8LZ6UCyDS1+QnbGUB4C9r/t/NBTv17q6ByA==" saltValue="UlbE0xeF/ksR2xmSSI52JQ=="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5A8511C4-C893-4CBE-A012-608AC6014799}">
          <x14:formula1>
            <xm:f>Lists!$E$16:$E$20</xm:f>
          </x14:formula1>
          <xm:sqref>D7 J7 H7 F7</xm:sqref>
        </x14:dataValidation>
        <x14:dataValidation type="list" allowBlank="1" showInputMessage="1" showErrorMessage="1" xr:uid="{A3680FC9-4068-42FF-9795-9F107096E305}">
          <x14:formula1>
            <xm:f>Lists!$D$16:$D$24</xm:f>
          </x14:formula1>
          <xm:sqref>D6 J6 H6 F6</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64EAC-C4D1-47BD-B940-2523E4E00D87}">
  <sheetPr codeName="Sheet80">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2.6640625" bestFit="1" customWidth="1"/>
    <col min="14" max="14" width="11.1640625" bestFit="1" customWidth="1"/>
    <col min="15" max="15" width="12" bestFit="1" customWidth="1"/>
    <col min="16" max="16" width="12.6640625" bestFit="1" customWidth="1"/>
    <col min="17" max="17"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11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11 IS'!D4</f>
        <v>44561</v>
      </c>
      <c r="D3" s="1151"/>
      <c r="E3" s="1190">
        <f>'Aff 11 IS'!F4</f>
        <v>44926</v>
      </c>
      <c r="F3" s="1151"/>
      <c r="G3" s="1190">
        <f>'Aff 11 IS'!H4</f>
        <v>45291</v>
      </c>
      <c r="H3" s="1151"/>
      <c r="I3" s="1190">
        <f>'Aff 11 IS'!J4</f>
        <v>45382</v>
      </c>
      <c r="J3" s="1154"/>
      <c r="K3" s="26"/>
      <c r="L3" s="26"/>
      <c r="M3" s="26"/>
      <c r="N3" s="26"/>
      <c r="O3" s="26"/>
      <c r="P3" s="26"/>
      <c r="Q3" s="26"/>
      <c r="R3" s="26"/>
      <c r="S3" s="26"/>
      <c r="T3" s="26"/>
      <c r="U3" s="26"/>
    </row>
    <row r="4" spans="1:21" ht="16">
      <c r="A4" s="1155" t="s">
        <v>183</v>
      </c>
      <c r="B4" s="1150"/>
      <c r="C4" s="1201">
        <f>'Aff 11 IS'!D5</f>
        <v>12</v>
      </c>
      <c r="D4" s="1151"/>
      <c r="E4" s="1201">
        <f>'Aff 11 IS'!F5</f>
        <v>12</v>
      </c>
      <c r="F4" s="1151"/>
      <c r="G4" s="1201">
        <f>'Aff 11 IS'!H5</f>
        <v>12</v>
      </c>
      <c r="H4" s="1151"/>
      <c r="I4" s="1201">
        <f>'Aff 11 IS'!J5</f>
        <v>3</v>
      </c>
      <c r="J4" s="1160"/>
      <c r="K4" s="26"/>
      <c r="L4" s="26"/>
      <c r="M4" s="26"/>
      <c r="N4" s="26"/>
      <c r="O4" s="26"/>
      <c r="P4" s="26"/>
      <c r="Q4" s="26"/>
      <c r="R4" s="26"/>
      <c r="S4" s="26"/>
      <c r="T4" s="26"/>
      <c r="U4" s="26"/>
    </row>
    <row r="5" spans="1:21" ht="16">
      <c r="A5" s="1155" t="s">
        <v>185</v>
      </c>
      <c r="B5" s="1150"/>
      <c r="C5" s="1201">
        <f>'Aff 11 IS'!D6</f>
        <v>0</v>
      </c>
      <c r="D5" s="1162"/>
      <c r="E5" s="1201">
        <f>'Aff 11 IS'!F6</f>
        <v>0</v>
      </c>
      <c r="F5" s="1162"/>
      <c r="G5" s="1201">
        <f>'Aff 11 IS'!H6</f>
        <v>0</v>
      </c>
      <c r="H5" s="1162"/>
      <c r="I5" s="1201">
        <f>'Aff 11 IS'!J6</f>
        <v>0</v>
      </c>
      <c r="J5" s="1160"/>
      <c r="K5" s="26"/>
      <c r="L5" s="26"/>
      <c r="M5" s="26"/>
      <c r="N5" s="26"/>
      <c r="O5" s="26"/>
      <c r="P5" s="26"/>
      <c r="Q5" s="26"/>
      <c r="R5" s="26"/>
      <c r="S5" s="26"/>
      <c r="T5" s="26"/>
      <c r="U5" s="26"/>
    </row>
    <row r="6" spans="1:21" ht="16">
      <c r="A6" s="1155" t="s">
        <v>188</v>
      </c>
      <c r="B6" s="1150"/>
      <c r="C6" s="1201">
        <f>'Aff 11 IS'!D7</f>
        <v>0</v>
      </c>
      <c r="D6" s="1162"/>
      <c r="E6" s="1201">
        <f>'Aff 11 IS'!F7</f>
        <v>0</v>
      </c>
      <c r="F6" s="1162"/>
      <c r="G6" s="1201">
        <f>'Aff 11 IS'!H7</f>
        <v>0</v>
      </c>
      <c r="H6" s="1162"/>
      <c r="I6" s="1201">
        <f>'Aff 11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row>
    <row r="15" spans="1:21" ht="16">
      <c r="A15" s="1167"/>
      <c r="B15" s="311"/>
      <c r="C15" s="1172"/>
      <c r="D15" s="1169"/>
      <c r="E15" s="1172"/>
      <c r="F15" s="1169"/>
      <c r="G15" s="1172"/>
      <c r="H15" s="1169"/>
      <c r="I15" s="1172"/>
      <c r="J15" s="1170"/>
      <c r="K15" s="26"/>
      <c r="L15" s="26"/>
      <c r="M15" s="1352"/>
      <c r="N15" s="1358"/>
      <c r="O15" s="1358"/>
      <c r="P15" s="1353"/>
      <c r="Q15" s="1354"/>
      <c r="R15" s="26"/>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row>
    <row r="26" spans="1:21" ht="16">
      <c r="A26" s="1167"/>
      <c r="B26" s="311"/>
      <c r="C26" s="1172"/>
      <c r="D26" s="1169"/>
      <c r="E26" s="1172"/>
      <c r="F26" s="1169"/>
      <c r="G26" s="1172"/>
      <c r="H26" s="1169"/>
      <c r="I26" s="1172"/>
      <c r="J26" s="1170"/>
      <c r="K26" s="26"/>
      <c r="L26" s="26"/>
      <c r="M26" s="1355"/>
      <c r="N26" s="1358"/>
      <c r="O26" s="1358"/>
      <c r="P26" s="1353"/>
      <c r="Q26" s="1354"/>
      <c r="R26" s="26"/>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SUBTOTAL(109,AFF11Debt[Curr Bal])</f>
        <v>0</v>
      </c>
      <c r="O30" s="1357">
        <f>SUBTOTAL(109,AFF11Debt[Curr Pmt])</f>
        <v>0</v>
      </c>
      <c r="P30" s="1350"/>
      <c r="Q30" s="1350"/>
      <c r="R30" s="26"/>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11 IS'!D60</f>
        <v>0</v>
      </c>
      <c r="D64" s="1193"/>
      <c r="E64" s="1196">
        <f>'Aff 11 IS'!F60</f>
        <v>0</v>
      </c>
      <c r="F64" s="1194"/>
      <c r="G64" s="1196">
        <f>'Aff 11 IS'!H60</f>
        <v>0</v>
      </c>
      <c r="H64" s="1195"/>
      <c r="I64" s="1196">
        <f>'Aff 11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VPLvhk3v9VPAcHm/AdVc8JrSnBh0NGnRHvOx+Y6K20spe7WbKsnqsKhmncg34MDSiHOojPch3Qd+jTzIQJk2ZA==" saltValue="REjpeH3LnvvcaKISRJPFrg=="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6C70FAC-1371-4AD2-BF1A-9E6327E34124}">
          <x14:formula1>
            <xm:f>Lists!$C$2:$C$4</xm:f>
          </x14:formula1>
          <xm:sqref>Q9:Q29</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ADA2D-2283-4665-A281-4FF3C3F5349F}">
  <sheetPr codeName="Sheet81">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11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11 CF</v>
      </c>
      <c r="V2" s="2901"/>
      <c r="W2" s="2901"/>
    </row>
    <row r="3" spans="1:29" ht="15.5" customHeight="1">
      <c r="A3" s="261" t="s">
        <v>182</v>
      </c>
      <c r="B3" s="262"/>
      <c r="C3" s="1086">
        <f>'Aff 11 IS'!D4</f>
        <v>44561</v>
      </c>
      <c r="D3" s="296"/>
      <c r="E3" s="1086">
        <f>'Aff 11 IS'!F4</f>
        <v>44926</v>
      </c>
      <c r="F3" s="296"/>
      <c r="G3" s="1086">
        <f>'Aff 11 IS'!H4</f>
        <v>45291</v>
      </c>
      <c r="H3" s="296"/>
      <c r="I3" s="1086">
        <f>'Aff 11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11 IS'!D5</f>
        <v>12</v>
      </c>
      <c r="D5" s="298"/>
      <c r="E5" s="266">
        <f>'Aff 11 IS'!F5</f>
        <v>12</v>
      </c>
      <c r="F5" s="298"/>
      <c r="G5" s="266">
        <f>'Aff 11 IS'!H5</f>
        <v>12</v>
      </c>
      <c r="H5" s="298"/>
      <c r="I5" s="266">
        <f>'Aff 11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11 IS'!D63</f>
        <v>0</v>
      </c>
      <c r="D7" s="1523"/>
      <c r="E7" s="1524">
        <f>'Aff 11 IS'!F63</f>
        <v>0</v>
      </c>
      <c r="F7" s="1523"/>
      <c r="G7" s="1524">
        <f>'Aff 11 IS'!H63</f>
        <v>0</v>
      </c>
      <c r="H7" s="1523"/>
      <c r="I7" s="1524">
        <f>'Aff 11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11 IS'!D64</f>
        <v>0</v>
      </c>
      <c r="D8" s="1526"/>
      <c r="E8" s="1527">
        <f>'Aff 11 IS'!F64</f>
        <v>0</v>
      </c>
      <c r="F8" s="1526"/>
      <c r="G8" s="1527">
        <f>'Aff 11 IS'!H64</f>
        <v>0</v>
      </c>
      <c r="H8" s="1526"/>
      <c r="I8" s="1527">
        <f>'Aff 11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11 IS'!D65</f>
        <v>0</v>
      </c>
      <c r="D9" s="1526"/>
      <c r="E9" s="1527">
        <f>'Aff 11 IS'!F65</f>
        <v>0</v>
      </c>
      <c r="F9" s="1526"/>
      <c r="G9" s="1527">
        <f>'Aff 11 IS'!H65</f>
        <v>0</v>
      </c>
      <c r="H9" s="1526"/>
      <c r="I9" s="1527">
        <f>'Aff 11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11 IS'!D67</f>
        <v>0</v>
      </c>
      <c r="D11" s="1529"/>
      <c r="E11" s="1527">
        <f>'Aff 11 IS'!F67</f>
        <v>0</v>
      </c>
      <c r="F11" s="1529"/>
      <c r="G11" s="1527">
        <f>'Aff 11 IS'!H67</f>
        <v>0</v>
      </c>
      <c r="H11" s="1529"/>
      <c r="I11" s="1527">
        <f>'Aff 11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AFF11Debt[[#Totals],[Curr Pmt]]*'Aff 11 CF'!C5</f>
        <v>0</v>
      </c>
      <c r="D27" s="1543"/>
      <c r="E27" s="1524">
        <f>AFF11Debt[[#Totals],[Curr Pmt]]*'Aff 11 CF'!E5</f>
        <v>0</v>
      </c>
      <c r="F27" s="1543"/>
      <c r="G27" s="1524">
        <f>AFF11Debt[[#Totals],[Curr Pmt]]*'Aff 11 CF'!G5</f>
        <v>0</v>
      </c>
      <c r="H27" s="1543"/>
      <c r="I27" s="1524">
        <f>AFF11Debt[[#Totals],[Curr Pmt]]*'Aff 11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KyBg8Ng+0Fum7FbqkVUoTiUG3951hUnt3CjvY9U7I/0Hkk6CPYnbx5UjeL3kacQufloOV6IDubcCRwcDUDn9xg==" saltValue="SDTtfGcEff2FPaxT2ATrQw=="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75841"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75842"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75843"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75844"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6F9F7-14AA-4283-AAD6-97F204B1BA37}">
  <sheetPr codeName="Sheet82">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2YnkVlyBGiogTxbVd+lwIIE6vuXfGcpF+wH5ZL9888xaEZcUIg0NlXEnl94OFA8NF7TEhSKFhHL3cQuHuwE1Zg==" saltValue="EGiTR0r5Crvr8y1lLiQYZw=="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EAD0BE0-EB85-4CD3-9CD3-D4D033C57E3D}">
          <x14:formula1>
            <xm:f>Lists!$D$16:$D$24</xm:f>
          </x14:formula1>
          <xm:sqref>D6 J6 H6 F6</xm:sqref>
        </x14:dataValidation>
        <x14:dataValidation type="list" allowBlank="1" showInputMessage="1" showErrorMessage="1" xr:uid="{5D262142-7023-40A1-8CCA-B60A75F20C78}">
          <x14:formula1>
            <xm:f>Lists!$E$16:$E$20</xm:f>
          </x14:formula1>
          <xm:sqref>D7 J7 H7 F7</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EDA87-C073-4D08-B847-E589B936EEE4}">
  <sheetPr codeName="Sheet83">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2.6640625" bestFit="1" customWidth="1"/>
    <col min="14" max="14" width="11.1640625" bestFit="1" customWidth="1"/>
    <col min="15" max="15" width="12" bestFit="1" customWidth="1"/>
    <col min="16" max="16" width="12.6640625" bestFit="1" customWidth="1"/>
    <col min="17" max="17"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12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12 IS'!D4</f>
        <v>44561</v>
      </c>
      <c r="D3" s="1151"/>
      <c r="E3" s="1190">
        <f>'Aff 12 IS'!F4</f>
        <v>44926</v>
      </c>
      <c r="F3" s="1151"/>
      <c r="G3" s="1190">
        <f>'Aff 12 IS'!H4</f>
        <v>45291</v>
      </c>
      <c r="H3" s="1151"/>
      <c r="I3" s="1190">
        <f>'Aff 12 IS'!J4</f>
        <v>45382</v>
      </c>
      <c r="J3" s="1154"/>
      <c r="K3" s="26"/>
      <c r="L3" s="26"/>
      <c r="M3" s="26"/>
      <c r="N3" s="26"/>
      <c r="O3" s="26"/>
      <c r="P3" s="26"/>
      <c r="Q3" s="26"/>
      <c r="R3" s="26"/>
      <c r="S3" s="26"/>
      <c r="T3" s="26"/>
      <c r="U3" s="26"/>
    </row>
    <row r="4" spans="1:21" ht="16">
      <c r="A4" s="1155" t="s">
        <v>183</v>
      </c>
      <c r="B4" s="1150"/>
      <c r="C4" s="1201">
        <f>'Aff 12 IS'!D5</f>
        <v>12</v>
      </c>
      <c r="D4" s="1151"/>
      <c r="E4" s="1201">
        <f>'Aff 12 IS'!F5</f>
        <v>12</v>
      </c>
      <c r="F4" s="1151"/>
      <c r="G4" s="1201">
        <f>'Aff 12 IS'!H5</f>
        <v>12</v>
      </c>
      <c r="H4" s="1151"/>
      <c r="I4" s="1201">
        <f>'Aff 12 IS'!J5</f>
        <v>3</v>
      </c>
      <c r="J4" s="1160"/>
      <c r="K4" s="26"/>
      <c r="L4" s="26"/>
      <c r="M4" s="26"/>
      <c r="N4" s="26"/>
      <c r="O4" s="26"/>
      <c r="P4" s="26"/>
      <c r="Q4" s="26"/>
      <c r="R4" s="26"/>
      <c r="S4" s="26"/>
      <c r="T4" s="26"/>
      <c r="U4" s="26"/>
    </row>
    <row r="5" spans="1:21" ht="16">
      <c r="A5" s="1155" t="s">
        <v>185</v>
      </c>
      <c r="B5" s="1150"/>
      <c r="C5" s="1201">
        <f>'Aff 12 IS'!D6</f>
        <v>0</v>
      </c>
      <c r="D5" s="1162"/>
      <c r="E5" s="1201">
        <f>'Aff 12 IS'!F6</f>
        <v>0</v>
      </c>
      <c r="F5" s="1162"/>
      <c r="G5" s="1201">
        <f>'Aff 12 IS'!H6</f>
        <v>0</v>
      </c>
      <c r="H5" s="1162"/>
      <c r="I5" s="1201">
        <f>'Aff 12 IS'!J6</f>
        <v>0</v>
      </c>
      <c r="J5" s="1160"/>
      <c r="K5" s="26"/>
      <c r="L5" s="26"/>
      <c r="M5" s="26"/>
      <c r="N5" s="26"/>
      <c r="O5" s="26"/>
      <c r="P5" s="26"/>
      <c r="Q5" s="26"/>
      <c r="R5" s="26"/>
      <c r="S5" s="26"/>
      <c r="T5" s="26"/>
      <c r="U5" s="26"/>
    </row>
    <row r="6" spans="1:21" ht="16">
      <c r="A6" s="1155" t="s">
        <v>188</v>
      </c>
      <c r="B6" s="1150"/>
      <c r="C6" s="1201">
        <f>'Aff 12 IS'!D7</f>
        <v>0</v>
      </c>
      <c r="D6" s="1162"/>
      <c r="E6" s="1201">
        <f>'Aff 12 IS'!F7</f>
        <v>0</v>
      </c>
      <c r="F6" s="1162"/>
      <c r="G6" s="1201">
        <f>'Aff 12 IS'!H7</f>
        <v>0</v>
      </c>
      <c r="H6" s="1162"/>
      <c r="I6" s="1201">
        <f>'Aff 12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row>
    <row r="15" spans="1:21" ht="16">
      <c r="A15" s="1167"/>
      <c r="B15" s="311"/>
      <c r="C15" s="1172"/>
      <c r="D15" s="1169"/>
      <c r="E15" s="1172"/>
      <c r="F15" s="1169"/>
      <c r="G15" s="1172"/>
      <c r="H15" s="1169"/>
      <c r="I15" s="1172"/>
      <c r="J15" s="1170"/>
      <c r="K15" s="26"/>
      <c r="L15" s="26"/>
      <c r="M15" s="1352"/>
      <c r="N15" s="1358"/>
      <c r="O15" s="1358"/>
      <c r="P15" s="1353"/>
      <c r="Q15" s="1354"/>
      <c r="R15" s="26"/>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row>
    <row r="26" spans="1:21" ht="16">
      <c r="A26" s="1167"/>
      <c r="B26" s="311"/>
      <c r="C26" s="1172"/>
      <c r="D26" s="1169"/>
      <c r="E26" s="1172"/>
      <c r="F26" s="1169"/>
      <c r="G26" s="1172"/>
      <c r="H26" s="1169"/>
      <c r="I26" s="1172"/>
      <c r="J26" s="1170"/>
      <c r="K26" s="26"/>
      <c r="L26" s="26"/>
      <c r="M26" s="1355"/>
      <c r="N26" s="1358"/>
      <c r="O26" s="1358"/>
      <c r="P26" s="1353"/>
      <c r="Q26" s="1354"/>
      <c r="R26" s="26"/>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SUBTOTAL(109,AFF12Debt[Curr Bal])</f>
        <v>0</v>
      </c>
      <c r="O30" s="1357">
        <f>SUBTOTAL(109,AFF12Debt[Curr Pmt])</f>
        <v>0</v>
      </c>
      <c r="P30" s="1350"/>
      <c r="Q30" s="1350"/>
      <c r="R30" s="26"/>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12 IS'!D60</f>
        <v>0</v>
      </c>
      <c r="D64" s="1193"/>
      <c r="E64" s="1196">
        <f>'Aff 12 IS'!F60</f>
        <v>0</v>
      </c>
      <c r="F64" s="1194"/>
      <c r="G64" s="1196">
        <f>'Aff 12 IS'!H60</f>
        <v>0</v>
      </c>
      <c r="H64" s="1195"/>
      <c r="I64" s="1196">
        <f>'Aff 12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37Rzo8gevPEiwOVfgubPrQOf2dXs6eG7g6RKQto+rev7nuKUZxidRol2Ryl32LSlKgNwbhYvbqQms3z4jqWVHg==" saltValue="QpwiQBqba1/9u2R1j7XudA=="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1D9045E-22E6-4E4F-9E2B-7D21801503EC}">
          <x14:formula1>
            <xm:f>Lists!$C$2:$C$4</xm:f>
          </x14:formula1>
          <xm:sqref>Q9:Q29</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A7AE9-2190-47F5-B768-F1A30988F5FC}">
  <sheetPr codeName="Sheet84">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12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12 CF</v>
      </c>
      <c r="V2" s="2901"/>
      <c r="W2" s="2901"/>
    </row>
    <row r="3" spans="1:29" ht="15.5" customHeight="1">
      <c r="A3" s="261" t="s">
        <v>182</v>
      </c>
      <c r="B3" s="262"/>
      <c r="C3" s="1086">
        <f>'Aff 12 IS'!D4</f>
        <v>44561</v>
      </c>
      <c r="D3" s="296"/>
      <c r="E3" s="1086">
        <f>'Aff 12 IS'!F4</f>
        <v>44926</v>
      </c>
      <c r="F3" s="296"/>
      <c r="G3" s="1086">
        <f>'Aff 12 IS'!H4</f>
        <v>45291</v>
      </c>
      <c r="H3" s="296"/>
      <c r="I3" s="1086">
        <f>'Aff 12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12 IS'!D5</f>
        <v>12</v>
      </c>
      <c r="D5" s="298"/>
      <c r="E5" s="266">
        <f>'Aff 12 IS'!F5</f>
        <v>12</v>
      </c>
      <c r="F5" s="298"/>
      <c r="G5" s="266">
        <f>'Aff 12 IS'!H5</f>
        <v>12</v>
      </c>
      <c r="H5" s="298"/>
      <c r="I5" s="266">
        <f>'Aff 12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12 IS'!D63</f>
        <v>0</v>
      </c>
      <c r="D7" s="1523"/>
      <c r="E7" s="1524">
        <f>'Aff 12 IS'!F63</f>
        <v>0</v>
      </c>
      <c r="F7" s="1523"/>
      <c r="G7" s="1524">
        <f>'Aff 12 IS'!H63</f>
        <v>0</v>
      </c>
      <c r="H7" s="1523"/>
      <c r="I7" s="1524">
        <f>'Aff 12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12 IS'!D64</f>
        <v>0</v>
      </c>
      <c r="D8" s="1526"/>
      <c r="E8" s="1527">
        <f>'Aff 12 IS'!F64</f>
        <v>0</v>
      </c>
      <c r="F8" s="1526"/>
      <c r="G8" s="1527">
        <f>'Aff 12 IS'!H64</f>
        <v>0</v>
      </c>
      <c r="H8" s="1526"/>
      <c r="I8" s="1527">
        <f>'Aff 12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12 IS'!D65</f>
        <v>0</v>
      </c>
      <c r="D9" s="1526"/>
      <c r="E9" s="1527">
        <f>'Aff 12 IS'!F65</f>
        <v>0</v>
      </c>
      <c r="F9" s="1526"/>
      <c r="G9" s="1527">
        <f>'Aff 12 IS'!H65</f>
        <v>0</v>
      </c>
      <c r="H9" s="1526"/>
      <c r="I9" s="1527">
        <f>'Aff 12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12 IS'!D67</f>
        <v>0</v>
      </c>
      <c r="D11" s="1529"/>
      <c r="E11" s="1527">
        <f>'Aff 12 IS'!F67</f>
        <v>0</v>
      </c>
      <c r="F11" s="1529"/>
      <c r="G11" s="1527">
        <f>'Aff 12 IS'!H67</f>
        <v>0</v>
      </c>
      <c r="H11" s="1529"/>
      <c r="I11" s="1527">
        <f>'Aff 12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AFF12Debt[[#Totals],[Curr Pmt]]*'Aff 12 CF'!C5</f>
        <v>0</v>
      </c>
      <c r="D27" s="1543"/>
      <c r="E27" s="1524">
        <f>AFF12Debt[[#Totals],[Curr Pmt]]*'Aff 12 CF'!E5</f>
        <v>0</v>
      </c>
      <c r="F27" s="1543"/>
      <c r="G27" s="1524">
        <f>AFF12Debt[[#Totals],[Curr Pmt]]*'Aff 12 CF'!G5</f>
        <v>0</v>
      </c>
      <c r="H27" s="1543"/>
      <c r="I27" s="1524">
        <f>AFF12Debt[[#Totals],[Curr Pmt]]*'Aff 12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jClrpifmPL0ya2NGwbScqdSrcoeE232y9eTjztGB0Jpdhhyvw6yl2NmoOCHWi88jicalivA/aC4B/Yagq9dwDA==" saltValue="6eiJfEzF7NyCW+ZBYJ+3Nw=="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78913"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78914"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78915"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78916"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E2F49-6DA2-4E49-AA00-8DB8FC5E7CEB}">
  <sheetPr codeName="Sheet85">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THLSqgHFhFiLOYaCeaJvxCVbTxcQyJHskx05chivdeGqSlOArh8CoQBOvfIJ13fujQMXuwN7P8DZBSWbA6iCyw==" saltValue="fnDoyEGzA2FXsWnyzi96XQ=="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B9396C3-ECB2-4729-AA89-62CF6EFB2C74}">
          <x14:formula1>
            <xm:f>Lists!$D$16:$D$24</xm:f>
          </x14:formula1>
          <xm:sqref>D6 J6 H6 F6</xm:sqref>
        </x14:dataValidation>
        <x14:dataValidation type="list" allowBlank="1" showInputMessage="1" showErrorMessage="1" xr:uid="{70E5C311-C320-4677-ABF8-FAA8B1338170}">
          <x14:formula1>
            <xm:f>Lists!$E$16:$E$20</xm:f>
          </x14:formula1>
          <xm:sqref>D7 J7 H7 F7</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71D53-74D6-4E4B-BF6F-2A50F2C70108}">
  <sheetPr codeName="Sheet86">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4" max="14" width="22.6640625" bestFit="1" customWidth="1"/>
    <col min="15" max="15" width="11.1640625" bestFit="1" customWidth="1"/>
    <col min="16" max="16" width="12" bestFit="1" customWidth="1"/>
    <col min="17" max="17" width="12.6640625" bestFit="1" customWidth="1"/>
    <col min="18" max="18"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13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13 IS'!D4</f>
        <v>44561</v>
      </c>
      <c r="D3" s="1151"/>
      <c r="E3" s="1190">
        <f>'Aff 13 IS'!F4</f>
        <v>44926</v>
      </c>
      <c r="F3" s="1151"/>
      <c r="G3" s="1190">
        <f>'Aff 13 IS'!H4</f>
        <v>45291</v>
      </c>
      <c r="H3" s="1151"/>
      <c r="I3" s="1190">
        <f>'Aff 13 IS'!J4</f>
        <v>45382</v>
      </c>
      <c r="J3" s="1154"/>
      <c r="K3" s="26"/>
      <c r="L3" s="26"/>
      <c r="M3" s="26"/>
      <c r="N3" s="26"/>
      <c r="O3" s="26"/>
      <c r="P3" s="26"/>
      <c r="Q3" s="26"/>
      <c r="R3" s="26"/>
      <c r="S3" s="26"/>
      <c r="T3" s="26"/>
      <c r="U3" s="26"/>
    </row>
    <row r="4" spans="1:21" ht="16">
      <c r="A4" s="1155" t="s">
        <v>183</v>
      </c>
      <c r="B4" s="1150"/>
      <c r="C4" s="1201">
        <f>'Aff 13 IS'!D5</f>
        <v>12</v>
      </c>
      <c r="D4" s="1151"/>
      <c r="E4" s="1201">
        <f>'Aff 13 IS'!F5</f>
        <v>12</v>
      </c>
      <c r="F4" s="1151"/>
      <c r="G4" s="1201">
        <f>'Aff 13 IS'!H5</f>
        <v>12</v>
      </c>
      <c r="H4" s="1151"/>
      <c r="I4" s="1201">
        <f>'Aff 13 IS'!J5</f>
        <v>3</v>
      </c>
      <c r="J4" s="1160"/>
      <c r="K4" s="26"/>
      <c r="L4" s="26"/>
      <c r="M4" s="26"/>
      <c r="N4" s="26"/>
      <c r="O4" s="26"/>
      <c r="P4" s="26"/>
      <c r="Q4" s="26"/>
      <c r="R4" s="26"/>
      <c r="S4" s="26"/>
      <c r="T4" s="26"/>
      <c r="U4" s="26"/>
    </row>
    <row r="5" spans="1:21" ht="16">
      <c r="A5" s="1155" t="s">
        <v>185</v>
      </c>
      <c r="B5" s="1150"/>
      <c r="C5" s="1201">
        <f>'Aff 13 IS'!D6</f>
        <v>0</v>
      </c>
      <c r="D5" s="1162"/>
      <c r="E5" s="1201">
        <f>'Aff 13 IS'!F6</f>
        <v>0</v>
      </c>
      <c r="F5" s="1162"/>
      <c r="G5" s="1201">
        <f>'Aff 13 IS'!H6</f>
        <v>0</v>
      </c>
      <c r="H5" s="1162"/>
      <c r="I5" s="1201">
        <f>'Aff 13 IS'!J6</f>
        <v>0</v>
      </c>
      <c r="J5" s="1160"/>
      <c r="K5" s="26"/>
      <c r="L5" s="26"/>
      <c r="M5" s="26"/>
      <c r="N5" s="26"/>
      <c r="O5" s="26"/>
      <c r="P5" s="26"/>
      <c r="Q5" s="26"/>
      <c r="R5" s="26"/>
      <c r="S5" s="26"/>
      <c r="T5" s="26"/>
      <c r="U5" s="26"/>
    </row>
    <row r="6" spans="1:21" ht="16">
      <c r="A6" s="1155" t="s">
        <v>188</v>
      </c>
      <c r="B6" s="1150"/>
      <c r="C6" s="1201">
        <f>'Aff 13 IS'!D7</f>
        <v>0</v>
      </c>
      <c r="D6" s="1162"/>
      <c r="E6" s="1201">
        <f>'Aff 13 IS'!F7</f>
        <v>0</v>
      </c>
      <c r="F6" s="1162"/>
      <c r="G6" s="1201">
        <f>'Aff 13 IS'!H7</f>
        <v>0</v>
      </c>
      <c r="H6" s="1162"/>
      <c r="I6" s="1201">
        <f>'Aff 13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26"/>
      <c r="N7" s="1356" t="s">
        <v>1094</v>
      </c>
      <c r="O7" s="1349"/>
      <c r="P7" s="1349"/>
      <c r="Q7" s="1350"/>
      <c r="R7" s="1350"/>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26"/>
      <c r="N8" s="1349" t="s">
        <v>1095</v>
      </c>
      <c r="O8" s="1349" t="s">
        <v>1096</v>
      </c>
      <c r="P8" s="1349" t="s">
        <v>1097</v>
      </c>
      <c r="Q8" s="1350" t="s">
        <v>1098</v>
      </c>
      <c r="R8" s="1350" t="s">
        <v>1099</v>
      </c>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26"/>
      <c r="N9" s="1352"/>
      <c r="O9" s="1358"/>
      <c r="P9" s="1358"/>
      <c r="Q9" s="1353"/>
      <c r="R9" s="1354"/>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26"/>
      <c r="N10" s="1352"/>
      <c r="O10" s="1358"/>
      <c r="P10" s="1358"/>
      <c r="Q10" s="1353"/>
      <c r="R10" s="1354"/>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26"/>
      <c r="N11" s="1352"/>
      <c r="O11" s="1358"/>
      <c r="P11" s="1358"/>
      <c r="Q11" s="1353"/>
      <c r="R11" s="1354"/>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26"/>
      <c r="N12" s="1352"/>
      <c r="O12" s="1358"/>
      <c r="P12" s="1358"/>
      <c r="Q12" s="1353"/>
      <c r="R12" s="1354"/>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26"/>
      <c r="N13" s="1352"/>
      <c r="O13" s="1358"/>
      <c r="P13" s="1358"/>
      <c r="Q13" s="1353"/>
      <c r="R13" s="1354"/>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26"/>
      <c r="N14" s="1352"/>
      <c r="O14" s="1358"/>
      <c r="P14" s="1358"/>
      <c r="Q14" s="1353"/>
      <c r="R14" s="1354"/>
      <c r="S14" s="26"/>
      <c r="T14" s="26"/>
      <c r="U14" s="26"/>
    </row>
    <row r="15" spans="1:21" ht="16">
      <c r="A15" s="1167"/>
      <c r="B15" s="311"/>
      <c r="C15" s="1172"/>
      <c r="D15" s="1169"/>
      <c r="E15" s="1172"/>
      <c r="F15" s="1169"/>
      <c r="G15" s="1172"/>
      <c r="H15" s="1169"/>
      <c r="I15" s="1172"/>
      <c r="J15" s="1170"/>
      <c r="K15" s="26"/>
      <c r="L15" s="26"/>
      <c r="M15" s="26"/>
      <c r="N15" s="1352"/>
      <c r="O15" s="1358"/>
      <c r="P15" s="1358"/>
      <c r="Q15" s="1353"/>
      <c r="R15" s="1354"/>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26"/>
      <c r="N16" s="1352"/>
      <c r="O16" s="1358"/>
      <c r="P16" s="1358"/>
      <c r="Q16" s="1353"/>
      <c r="R16" s="1354"/>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26"/>
      <c r="N17" s="1352"/>
      <c r="O17" s="1358"/>
      <c r="P17" s="1358"/>
      <c r="Q17" s="1353"/>
      <c r="R17" s="1354"/>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26"/>
      <c r="N18" s="1352"/>
      <c r="O18" s="1358"/>
      <c r="P18" s="1358"/>
      <c r="Q18" s="1353"/>
      <c r="R18" s="1354"/>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26"/>
      <c r="N19" s="1352"/>
      <c r="O19" s="1358"/>
      <c r="P19" s="1358"/>
      <c r="Q19" s="1353"/>
      <c r="R19" s="1354"/>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26"/>
      <c r="N20" s="1352"/>
      <c r="O20" s="1358"/>
      <c r="P20" s="1358"/>
      <c r="Q20" s="1353"/>
      <c r="R20" s="1354"/>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26"/>
      <c r="N21" s="1352"/>
      <c r="O21" s="1358"/>
      <c r="P21" s="1358"/>
      <c r="Q21" s="1353"/>
      <c r="R21" s="1354"/>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26"/>
      <c r="N22" s="1352"/>
      <c r="O22" s="1358"/>
      <c r="P22" s="1358"/>
      <c r="Q22" s="1353"/>
      <c r="R22" s="1354"/>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26"/>
      <c r="N23" s="1352"/>
      <c r="O23" s="1358"/>
      <c r="P23" s="1358"/>
      <c r="Q23" s="1353"/>
      <c r="R23" s="1354"/>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26"/>
      <c r="N24" s="1355"/>
      <c r="O24" s="1358"/>
      <c r="P24" s="1358"/>
      <c r="Q24" s="1353"/>
      <c r="R24" s="1354"/>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26"/>
      <c r="N25" s="1355"/>
      <c r="O25" s="1358"/>
      <c r="P25" s="1358"/>
      <c r="Q25" s="1353"/>
      <c r="R25" s="1354"/>
      <c r="S25" s="26"/>
      <c r="T25" s="26"/>
      <c r="U25" s="26"/>
    </row>
    <row r="26" spans="1:21" ht="16">
      <c r="A26" s="1167"/>
      <c r="B26" s="311"/>
      <c r="C26" s="1172"/>
      <c r="D26" s="1169"/>
      <c r="E26" s="1172"/>
      <c r="F26" s="1169"/>
      <c r="G26" s="1172"/>
      <c r="H26" s="1169"/>
      <c r="I26" s="1172"/>
      <c r="J26" s="1170"/>
      <c r="K26" s="26"/>
      <c r="L26" s="26"/>
      <c r="M26" s="26"/>
      <c r="N26" s="1355"/>
      <c r="O26" s="1358"/>
      <c r="P26" s="1358"/>
      <c r="Q26" s="1353"/>
      <c r="R26" s="1354"/>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26"/>
      <c r="N27" s="1355"/>
      <c r="O27" s="1358"/>
      <c r="P27" s="1358"/>
      <c r="Q27" s="1353"/>
      <c r="R27" s="1354"/>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26"/>
      <c r="N28" s="1355"/>
      <c r="O28" s="1358"/>
      <c r="P28" s="1358"/>
      <c r="Q28" s="1353"/>
      <c r="R28" s="1354"/>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26"/>
      <c r="N29" s="1355"/>
      <c r="O29" s="1358"/>
      <c r="P29" s="1358"/>
      <c r="Q29" s="1353"/>
      <c r="R29" s="1354"/>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26"/>
      <c r="N30" s="1351" t="s">
        <v>104</v>
      </c>
      <c r="O30" s="1357">
        <f>SUBTOTAL(109,AFF13Debt[Curr Bal])</f>
        <v>0</v>
      </c>
      <c r="P30" s="1357">
        <f>SUBTOTAL(109,AFF13Debt[Curr Pmt])</f>
        <v>0</v>
      </c>
      <c r="Q30" s="1350"/>
      <c r="R30" s="1350"/>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13 IS'!D60</f>
        <v>0</v>
      </c>
      <c r="D64" s="1193"/>
      <c r="E64" s="1196">
        <f>'Aff 13 IS'!F60</f>
        <v>0</v>
      </c>
      <c r="F64" s="1194"/>
      <c r="G64" s="1196">
        <f>'Aff 13 IS'!H60</f>
        <v>0</v>
      </c>
      <c r="H64" s="1195"/>
      <c r="I64" s="1196">
        <f>'Aff 13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YhRddIkEccS1rvfLZ4/57Xa6aC7y52hoMSAqR7ESKxEK2a6N9uhQ4cgrmJ8z+F59/IW7+RAsncRPOP4zGq5w0Q==" saltValue="RAX+JLgwz8ycGhGTrMJyAw=="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F95CE18-6A40-494A-A006-26D6098817B0}">
          <x14:formula1>
            <xm:f>Lists!$C$2:$C$4</xm:f>
          </x14:formula1>
          <xm:sqref>R9:R29</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049D-AEA6-4E7D-BD4A-15341AD8A918}">
  <sheetPr codeName="Sheet87">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13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13 CF</v>
      </c>
      <c r="V2" s="2901"/>
      <c r="W2" s="2901"/>
    </row>
    <row r="3" spans="1:29" ht="15.5" customHeight="1">
      <c r="A3" s="261" t="s">
        <v>182</v>
      </c>
      <c r="B3" s="262"/>
      <c r="C3" s="1086">
        <f>'Aff 13 IS'!D4</f>
        <v>44561</v>
      </c>
      <c r="D3" s="296"/>
      <c r="E3" s="1086">
        <f>'Aff 13 IS'!F4</f>
        <v>44926</v>
      </c>
      <c r="F3" s="296"/>
      <c r="G3" s="1086">
        <f>'Aff 13 IS'!H4</f>
        <v>45291</v>
      </c>
      <c r="H3" s="296"/>
      <c r="I3" s="1086">
        <f>'Aff 13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13 IS'!D5</f>
        <v>12</v>
      </c>
      <c r="D5" s="298"/>
      <c r="E5" s="266">
        <f>'Aff 13 IS'!F5</f>
        <v>12</v>
      </c>
      <c r="F5" s="298"/>
      <c r="G5" s="266">
        <f>'Aff 13 IS'!H5</f>
        <v>12</v>
      </c>
      <c r="H5" s="298"/>
      <c r="I5" s="266">
        <f>'Aff 13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13 IS'!D63</f>
        <v>0</v>
      </c>
      <c r="D7" s="1523"/>
      <c r="E7" s="1524">
        <f>'Aff 13 IS'!F63</f>
        <v>0</v>
      </c>
      <c r="F7" s="1523"/>
      <c r="G7" s="1524">
        <f>'Aff 13 IS'!H63</f>
        <v>0</v>
      </c>
      <c r="H7" s="1523"/>
      <c r="I7" s="1524">
        <f>'Aff 13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13 IS'!D64</f>
        <v>0</v>
      </c>
      <c r="D8" s="1526"/>
      <c r="E8" s="1527">
        <f>'Aff 13 IS'!F64</f>
        <v>0</v>
      </c>
      <c r="F8" s="1526"/>
      <c r="G8" s="1527">
        <f>'Aff 13 IS'!H64</f>
        <v>0</v>
      </c>
      <c r="H8" s="1526"/>
      <c r="I8" s="1527">
        <f>'Aff 13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13 IS'!D65</f>
        <v>0</v>
      </c>
      <c r="D9" s="1526"/>
      <c r="E9" s="1527">
        <f>'Aff 13 IS'!F65</f>
        <v>0</v>
      </c>
      <c r="F9" s="1526"/>
      <c r="G9" s="1527">
        <f>'Aff 13 IS'!H65</f>
        <v>0</v>
      </c>
      <c r="H9" s="1526"/>
      <c r="I9" s="1527">
        <f>'Aff 13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13 IS'!D67</f>
        <v>0</v>
      </c>
      <c r="D11" s="1529"/>
      <c r="E11" s="1527">
        <f>'Aff 13 IS'!F67</f>
        <v>0</v>
      </c>
      <c r="F11" s="1529"/>
      <c r="G11" s="1527">
        <f>'Aff 13 IS'!H67</f>
        <v>0</v>
      </c>
      <c r="H11" s="1529"/>
      <c r="I11" s="1527">
        <f>'Aff 13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AFF13Debt[[#Totals],[Curr Pmt]]*'Aff 13 CF'!C5</f>
        <v>0</v>
      </c>
      <c r="D27" s="1543"/>
      <c r="E27" s="1524">
        <f>AFF13Debt[[#Totals],[Curr Pmt]]*'Aff 13 CF'!E5</f>
        <v>0</v>
      </c>
      <c r="F27" s="1543"/>
      <c r="G27" s="1524">
        <f>AFF13Debt[[#Totals],[Curr Pmt]]*'Aff 13 CF'!G5</f>
        <v>0</v>
      </c>
      <c r="H27" s="1543"/>
      <c r="I27" s="1524">
        <f>AFF13Debt[[#Totals],[Curr Pmt]]*'Aff 13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75SBYj6KfiXMmvl8HrF21C2QHoeKtW35BfFF38ys8s2GvPBXzMsk8uqVlTSrASQFPNW9x6BW540tE2/f/YtnwQ==" saltValue="kki+nWELcYX0H14znkZuvA=="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81985"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81986"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81987"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81988"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4A673-2373-4C46-9C23-1EEBF5DE006A}">
  <sheetPr codeName="Sheet88">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qIGpaQ/YFoGWL+WxeFMhRapNzeSFP/gZ6+5Im1y8Kk7YibiXljYESQG3CTlPn+Ptq5vXUvkmYPHKCAJfzr0GiA==" saltValue="9EVnKwKABiyae0U8hfpxpg=="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03EF017-FBD1-41CB-BEF4-A542B2F6D038}">
          <x14:formula1>
            <xm:f>Lists!$E$16:$E$20</xm:f>
          </x14:formula1>
          <xm:sqref>D7 J7 H7 F7</xm:sqref>
        </x14:dataValidation>
        <x14:dataValidation type="list" allowBlank="1" showInputMessage="1" showErrorMessage="1" xr:uid="{4AD62D88-119E-42CB-A42E-C468F1B76463}">
          <x14:formula1>
            <xm:f>Lists!$D$16:$D$24</xm:f>
          </x14:formula1>
          <xm:sqref>D6 J6 H6 F6</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FDC80-3BF4-43A3-87F0-1E2B75FD4401}">
  <sheetPr codeName="Sheet89">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4" max="14" width="22.6640625" bestFit="1" customWidth="1"/>
    <col min="15" max="15" width="11.1640625" bestFit="1" customWidth="1"/>
    <col min="16" max="16" width="12" bestFit="1" customWidth="1"/>
    <col min="17" max="17" width="12.6640625" bestFit="1" customWidth="1"/>
    <col min="18" max="18"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14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14 IS'!D4</f>
        <v>44561</v>
      </c>
      <c r="D3" s="1151"/>
      <c r="E3" s="1190">
        <f>'Aff 14 IS'!F4</f>
        <v>44926</v>
      </c>
      <c r="F3" s="1151"/>
      <c r="G3" s="1190">
        <f>'Aff 14 IS'!H4</f>
        <v>45291</v>
      </c>
      <c r="H3" s="1151"/>
      <c r="I3" s="1190">
        <f>'Aff 14 IS'!J4</f>
        <v>45382</v>
      </c>
      <c r="J3" s="1154"/>
      <c r="K3" s="26"/>
      <c r="L3" s="26"/>
      <c r="M3" s="26"/>
      <c r="N3" s="26"/>
      <c r="O3" s="26"/>
      <c r="P3" s="26"/>
      <c r="Q3" s="26"/>
      <c r="R3" s="26"/>
      <c r="S3" s="26"/>
      <c r="T3" s="26"/>
      <c r="U3" s="26"/>
    </row>
    <row r="4" spans="1:21" ht="16">
      <c r="A4" s="1155" t="s">
        <v>183</v>
      </c>
      <c r="B4" s="1150"/>
      <c r="C4" s="1201">
        <f>'Aff 14 IS'!D5</f>
        <v>12</v>
      </c>
      <c r="D4" s="1151"/>
      <c r="E4" s="1201">
        <f>'Aff 14 IS'!F5</f>
        <v>12</v>
      </c>
      <c r="F4" s="1151"/>
      <c r="G4" s="1201">
        <f>'Aff 14 IS'!H5</f>
        <v>12</v>
      </c>
      <c r="H4" s="1151"/>
      <c r="I4" s="1201">
        <f>'Aff 14 IS'!J5</f>
        <v>3</v>
      </c>
      <c r="J4" s="1160"/>
      <c r="K4" s="26"/>
      <c r="L4" s="26"/>
      <c r="M4" s="26"/>
      <c r="N4" s="26"/>
      <c r="O4" s="26"/>
      <c r="P4" s="26"/>
      <c r="Q4" s="26"/>
      <c r="R4" s="26"/>
      <c r="S4" s="26"/>
      <c r="T4" s="26"/>
      <c r="U4" s="26"/>
    </row>
    <row r="5" spans="1:21" ht="16">
      <c r="A5" s="1155" t="s">
        <v>185</v>
      </c>
      <c r="B5" s="1150"/>
      <c r="C5" s="1201">
        <f>'Aff 14 IS'!D6</f>
        <v>0</v>
      </c>
      <c r="D5" s="1162"/>
      <c r="E5" s="1201">
        <f>'Aff 14 IS'!F6</f>
        <v>0</v>
      </c>
      <c r="F5" s="1162"/>
      <c r="G5" s="1201">
        <f>'Aff 14 IS'!H6</f>
        <v>0</v>
      </c>
      <c r="H5" s="1162"/>
      <c r="I5" s="1201">
        <f>'Aff 14 IS'!J6</f>
        <v>0</v>
      </c>
      <c r="J5" s="1160"/>
      <c r="K5" s="26"/>
      <c r="L5" s="26"/>
      <c r="M5" s="26"/>
      <c r="N5" s="26"/>
      <c r="O5" s="26"/>
      <c r="P5" s="26"/>
      <c r="Q5" s="26"/>
      <c r="R5" s="26"/>
      <c r="S5" s="26"/>
      <c r="T5" s="26"/>
      <c r="U5" s="26"/>
    </row>
    <row r="6" spans="1:21" ht="16">
      <c r="A6" s="1155" t="s">
        <v>188</v>
      </c>
      <c r="B6" s="1150"/>
      <c r="C6" s="1201">
        <f>'Aff 14 IS'!D7</f>
        <v>0</v>
      </c>
      <c r="D6" s="1162"/>
      <c r="E6" s="1201">
        <f>'Aff 14 IS'!F7</f>
        <v>0</v>
      </c>
      <c r="F6" s="1162"/>
      <c r="G6" s="1201">
        <f>'Aff 14 IS'!H7</f>
        <v>0</v>
      </c>
      <c r="H6" s="1162"/>
      <c r="I6" s="1201">
        <f>'Aff 14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26"/>
      <c r="N7" s="1356" t="s">
        <v>1094</v>
      </c>
      <c r="O7" s="1349"/>
      <c r="P7" s="1349"/>
      <c r="Q7" s="1350"/>
      <c r="R7" s="1350"/>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26"/>
      <c r="N8" s="1349" t="s">
        <v>1095</v>
      </c>
      <c r="O8" s="1349" t="s">
        <v>1096</v>
      </c>
      <c r="P8" s="1349" t="s">
        <v>1097</v>
      </c>
      <c r="Q8" s="1350" t="s">
        <v>1098</v>
      </c>
      <c r="R8" s="1350" t="s">
        <v>1099</v>
      </c>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26"/>
      <c r="N9" s="1352"/>
      <c r="O9" s="1358"/>
      <c r="P9" s="1358"/>
      <c r="Q9" s="1353"/>
      <c r="R9" s="1354"/>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26"/>
      <c r="N10" s="1352"/>
      <c r="O10" s="1358"/>
      <c r="P10" s="1358"/>
      <c r="Q10" s="1353"/>
      <c r="R10" s="1354"/>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26"/>
      <c r="N11" s="1352"/>
      <c r="O11" s="1358"/>
      <c r="P11" s="1358"/>
      <c r="Q11" s="1353"/>
      <c r="R11" s="1354"/>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26"/>
      <c r="N12" s="1352"/>
      <c r="O12" s="1358"/>
      <c r="P12" s="1358"/>
      <c r="Q12" s="1353"/>
      <c r="R12" s="1354"/>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26"/>
      <c r="N13" s="1352"/>
      <c r="O13" s="1358"/>
      <c r="P13" s="1358"/>
      <c r="Q13" s="1353"/>
      <c r="R13" s="1354"/>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26"/>
      <c r="N14" s="1352"/>
      <c r="O14" s="1358"/>
      <c r="P14" s="1358"/>
      <c r="Q14" s="1353"/>
      <c r="R14" s="1354"/>
      <c r="S14" s="26"/>
      <c r="T14" s="26"/>
      <c r="U14" s="26"/>
    </row>
    <row r="15" spans="1:21" ht="16">
      <c r="A15" s="1167"/>
      <c r="B15" s="311"/>
      <c r="C15" s="1172"/>
      <c r="D15" s="1169"/>
      <c r="E15" s="1172"/>
      <c r="F15" s="1169"/>
      <c r="G15" s="1172"/>
      <c r="H15" s="1169"/>
      <c r="I15" s="1172"/>
      <c r="J15" s="1170"/>
      <c r="K15" s="26"/>
      <c r="L15" s="26"/>
      <c r="M15" s="26"/>
      <c r="N15" s="1352"/>
      <c r="O15" s="1358"/>
      <c r="P15" s="1358"/>
      <c r="Q15" s="1353"/>
      <c r="R15" s="1354"/>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26"/>
      <c r="N16" s="1352"/>
      <c r="O16" s="1358"/>
      <c r="P16" s="1358"/>
      <c r="Q16" s="1353"/>
      <c r="R16" s="1354"/>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26"/>
      <c r="N17" s="1352"/>
      <c r="O17" s="1358"/>
      <c r="P17" s="1358"/>
      <c r="Q17" s="1353"/>
      <c r="R17" s="1354"/>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26"/>
      <c r="N18" s="1352"/>
      <c r="O18" s="1358"/>
      <c r="P18" s="1358"/>
      <c r="Q18" s="1353"/>
      <c r="R18" s="1354"/>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26"/>
      <c r="N19" s="1352"/>
      <c r="O19" s="1358"/>
      <c r="P19" s="1358"/>
      <c r="Q19" s="1353"/>
      <c r="R19" s="1354"/>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26"/>
      <c r="N20" s="1352"/>
      <c r="O20" s="1358"/>
      <c r="P20" s="1358"/>
      <c r="Q20" s="1353"/>
      <c r="R20" s="1354"/>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26"/>
      <c r="N21" s="1352"/>
      <c r="O21" s="1358"/>
      <c r="P21" s="1358"/>
      <c r="Q21" s="1353"/>
      <c r="R21" s="1354"/>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26"/>
      <c r="N22" s="1352"/>
      <c r="O22" s="1358"/>
      <c r="P22" s="1358"/>
      <c r="Q22" s="1353"/>
      <c r="R22" s="1354"/>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26"/>
      <c r="N23" s="1352"/>
      <c r="O23" s="1358"/>
      <c r="P23" s="1358"/>
      <c r="Q23" s="1353"/>
      <c r="R23" s="1354"/>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26"/>
      <c r="N24" s="1355"/>
      <c r="O24" s="1358"/>
      <c r="P24" s="1358"/>
      <c r="Q24" s="1353"/>
      <c r="R24" s="1354"/>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26"/>
      <c r="N25" s="1355"/>
      <c r="O25" s="1358"/>
      <c r="P25" s="1358"/>
      <c r="Q25" s="1353"/>
      <c r="R25" s="1354"/>
      <c r="S25" s="26"/>
      <c r="T25" s="26"/>
      <c r="U25" s="26"/>
    </row>
    <row r="26" spans="1:21" ht="16">
      <c r="A26" s="1167"/>
      <c r="B26" s="311"/>
      <c r="C26" s="1172"/>
      <c r="D26" s="1169"/>
      <c r="E26" s="1172"/>
      <c r="F26" s="1169"/>
      <c r="G26" s="1172"/>
      <c r="H26" s="1169"/>
      <c r="I26" s="1172"/>
      <c r="J26" s="1170"/>
      <c r="K26" s="26"/>
      <c r="L26" s="26"/>
      <c r="M26" s="26"/>
      <c r="N26" s="1355"/>
      <c r="O26" s="1358"/>
      <c r="P26" s="1358"/>
      <c r="Q26" s="1353"/>
      <c r="R26" s="1354"/>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26"/>
      <c r="N27" s="1355"/>
      <c r="O27" s="1358"/>
      <c r="P27" s="1358"/>
      <c r="Q27" s="1353"/>
      <c r="R27" s="1354"/>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26"/>
      <c r="N28" s="1355"/>
      <c r="O28" s="1358"/>
      <c r="P28" s="1358"/>
      <c r="Q28" s="1353"/>
      <c r="R28" s="1354"/>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26"/>
      <c r="N29" s="1355"/>
      <c r="O29" s="1358"/>
      <c r="P29" s="1358"/>
      <c r="Q29" s="1353"/>
      <c r="R29" s="1354"/>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26"/>
      <c r="N30" s="1351" t="s">
        <v>104</v>
      </c>
      <c r="O30" s="1357">
        <f>SUBTOTAL(109,AFF14Debt[Curr Bal])</f>
        <v>0</v>
      </c>
      <c r="P30" s="1357">
        <f>SUBTOTAL(109,AFF14Debt[Curr Pmt])</f>
        <v>0</v>
      </c>
      <c r="Q30" s="1350"/>
      <c r="R30" s="1350"/>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14 IS'!D60</f>
        <v>0</v>
      </c>
      <c r="D64" s="1193"/>
      <c r="E64" s="1196">
        <f>'Aff 14 IS'!F60</f>
        <v>0</v>
      </c>
      <c r="F64" s="1194"/>
      <c r="G64" s="1196">
        <f>'Aff 14 IS'!H60</f>
        <v>0</v>
      </c>
      <c r="H64" s="1195"/>
      <c r="I64" s="1196">
        <f>'Aff 14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RJ7nMxUhLK3CVGJ5llloGQsDXo8WYfyuKQLf/feYGaFjapQDKWePgLxkkkU8Xf6Tl4TWp2cgDVgA8GsrW4rV0w==" saltValue="wGvnnrxI+Y816EElvGMBLQ=="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F331F0-FA7C-40AE-BEC4-4A99F9B993E9}">
          <x14:formula1>
            <xm:f>Lists!$C$2:$C$4</xm:f>
          </x14:formula1>
          <xm:sqref>R9:R29</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39743-82BA-43E7-BDFF-4DE6410E2FCC}">
  <sheetPr codeName="Sheet90">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14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14 CF</v>
      </c>
      <c r="V2" s="2901"/>
      <c r="W2" s="2901"/>
    </row>
    <row r="3" spans="1:29" ht="15.5" customHeight="1">
      <c r="A3" s="261" t="s">
        <v>182</v>
      </c>
      <c r="B3" s="262"/>
      <c r="C3" s="1086">
        <f>'Aff 14 IS'!D4</f>
        <v>44561</v>
      </c>
      <c r="D3" s="296"/>
      <c r="E3" s="1086">
        <f>'Aff 14 IS'!F4</f>
        <v>44926</v>
      </c>
      <c r="F3" s="296"/>
      <c r="G3" s="1086">
        <f>'Aff 14 IS'!H4</f>
        <v>45291</v>
      </c>
      <c r="H3" s="296"/>
      <c r="I3" s="1086">
        <f>'Aff 14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14 IS'!D5</f>
        <v>12</v>
      </c>
      <c r="D5" s="298"/>
      <c r="E5" s="266">
        <f>'Aff 14 IS'!F5</f>
        <v>12</v>
      </c>
      <c r="F5" s="298"/>
      <c r="G5" s="266">
        <f>'Aff 14 IS'!H5</f>
        <v>12</v>
      </c>
      <c r="H5" s="298"/>
      <c r="I5" s="266">
        <f>'Aff 14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14 IS'!D63</f>
        <v>0</v>
      </c>
      <c r="D7" s="1523"/>
      <c r="E7" s="1524">
        <f>'Aff 14 IS'!F63</f>
        <v>0</v>
      </c>
      <c r="F7" s="1523"/>
      <c r="G7" s="1524">
        <f>'Aff 14 IS'!H63</f>
        <v>0</v>
      </c>
      <c r="H7" s="1523"/>
      <c r="I7" s="1524">
        <f>'Aff 14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14 IS'!D64</f>
        <v>0</v>
      </c>
      <c r="D8" s="1526"/>
      <c r="E8" s="1527">
        <f>'Aff 14 IS'!F64</f>
        <v>0</v>
      </c>
      <c r="F8" s="1526"/>
      <c r="G8" s="1527">
        <f>'Aff 14 IS'!H64</f>
        <v>0</v>
      </c>
      <c r="H8" s="1526"/>
      <c r="I8" s="1527">
        <f>'Aff 14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14 IS'!D65</f>
        <v>0</v>
      </c>
      <c r="D9" s="1526"/>
      <c r="E9" s="1527">
        <f>'Aff 14 IS'!F65</f>
        <v>0</v>
      </c>
      <c r="F9" s="1526"/>
      <c r="G9" s="1527">
        <f>'Aff 14 IS'!H65</f>
        <v>0</v>
      </c>
      <c r="H9" s="1526"/>
      <c r="I9" s="1527">
        <f>'Aff 14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14 IS'!D67</f>
        <v>0</v>
      </c>
      <c r="D11" s="1529"/>
      <c r="E11" s="1527">
        <f>'Aff 14 IS'!F67</f>
        <v>0</v>
      </c>
      <c r="F11" s="1529"/>
      <c r="G11" s="1527">
        <f>'Aff 14 IS'!H67</f>
        <v>0</v>
      </c>
      <c r="H11" s="1529"/>
      <c r="I11" s="1527">
        <f>'Aff 14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AFF14Debt[[#Totals],[Curr Pmt]]*'Aff 14 CF'!C5</f>
        <v>0</v>
      </c>
      <c r="D27" s="1543"/>
      <c r="E27" s="1524">
        <f>AFF14Debt[[#Totals],[Curr Pmt]]*'Aff 14 CF'!E5</f>
        <v>0</v>
      </c>
      <c r="F27" s="1543"/>
      <c r="G27" s="1524">
        <f>AFF14Debt[[#Totals],[Curr Pmt]]*'Aff 14 CF'!G5</f>
        <v>0</v>
      </c>
      <c r="H27" s="1543"/>
      <c r="I27" s="1524">
        <f>AFF14Debt[[#Totals],[Curr Pmt]]*'Aff 14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NUrZNGch08Y7D1ir88NGiapk220P0hnSuK/LLS1zl0Dji1cCyyUVrfMDMbe9UIoE+3FP/HgAfmRWo1CYYCN69w==" saltValue="H8CqPpV1Xy7cDGJUBH/DKg=="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85057"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85058"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85059"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85060"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1D657-5BB9-41A0-A33E-7464A7C83435}">
  <sheetPr codeName="Sheet91">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llsuSfZZISg9z4puvfw73KqfpRR9gOBK3gSTUhcft57EL6CznBtMUYnABM7eRPwqJd3N7jlzOPEQTLXFwStMjw==" saltValue="EymXSrt85nQ8aKf9q99bbA=="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1339F23-F6B3-4576-BCD2-3433E390E811}">
          <x14:formula1>
            <xm:f>Lists!$D$16:$D$24</xm:f>
          </x14:formula1>
          <xm:sqref>D6 J6 H6 F6</xm:sqref>
        </x14:dataValidation>
        <x14:dataValidation type="list" allowBlank="1" showInputMessage="1" showErrorMessage="1" xr:uid="{03F76361-DBF9-42C4-9C03-4A06908C2422}">
          <x14:formula1>
            <xm:f>Lists!$E$16:$E$20</xm:f>
          </x14:formula1>
          <xm:sqref>D7 J7 H7 F7</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148B1-845F-410B-8962-1ADD4072BD8E}">
  <sheetPr codeName="Sheet92">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2.6640625" bestFit="1" customWidth="1"/>
    <col min="14" max="14" width="11.1640625" bestFit="1" customWidth="1"/>
    <col min="15" max="15" width="12" bestFit="1" customWidth="1"/>
    <col min="16" max="16" width="12.6640625" bestFit="1" customWidth="1"/>
    <col min="17" max="17"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15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15 IS'!D4</f>
        <v>44561</v>
      </c>
      <c r="D3" s="1151"/>
      <c r="E3" s="1190">
        <f>'Aff 15 IS'!F4</f>
        <v>44926</v>
      </c>
      <c r="F3" s="1151"/>
      <c r="G3" s="1190">
        <f>'Aff 15 IS'!H4</f>
        <v>45291</v>
      </c>
      <c r="H3" s="1151"/>
      <c r="I3" s="1190">
        <f>'Aff 15 IS'!J4</f>
        <v>45382</v>
      </c>
      <c r="J3" s="1154"/>
      <c r="K3" s="26"/>
      <c r="L3" s="26"/>
      <c r="M3" s="26"/>
      <c r="N3" s="26"/>
      <c r="O3" s="26"/>
      <c r="P3" s="26"/>
      <c r="Q3" s="26"/>
      <c r="R3" s="26"/>
      <c r="S3" s="26"/>
      <c r="T3" s="26"/>
      <c r="U3" s="26"/>
    </row>
    <row r="4" spans="1:21" ht="16">
      <c r="A4" s="1155" t="s">
        <v>183</v>
      </c>
      <c r="B4" s="1150"/>
      <c r="C4" s="1201">
        <f>'Aff 15 IS'!D5</f>
        <v>12</v>
      </c>
      <c r="D4" s="1151"/>
      <c r="E4" s="1201">
        <f>'Aff 15 IS'!F5</f>
        <v>12</v>
      </c>
      <c r="F4" s="1151"/>
      <c r="G4" s="1201">
        <f>'Aff 15 IS'!H5</f>
        <v>12</v>
      </c>
      <c r="H4" s="1151"/>
      <c r="I4" s="1201">
        <f>'Aff 15 IS'!J5</f>
        <v>3</v>
      </c>
      <c r="J4" s="1160"/>
      <c r="K4" s="26"/>
      <c r="L4" s="26"/>
      <c r="M4" s="26"/>
      <c r="N4" s="26"/>
      <c r="O4" s="26"/>
      <c r="P4" s="26"/>
      <c r="Q4" s="26"/>
      <c r="R4" s="26"/>
      <c r="S4" s="26"/>
      <c r="T4" s="26"/>
      <c r="U4" s="26"/>
    </row>
    <row r="5" spans="1:21" ht="16">
      <c r="A5" s="1155" t="s">
        <v>185</v>
      </c>
      <c r="B5" s="1150"/>
      <c r="C5" s="1201">
        <f>'Aff 15 IS'!D6</f>
        <v>0</v>
      </c>
      <c r="D5" s="1162"/>
      <c r="E5" s="1201">
        <f>'Aff 15 IS'!F6</f>
        <v>0</v>
      </c>
      <c r="F5" s="1162"/>
      <c r="G5" s="1201">
        <f>'Aff 15 IS'!H6</f>
        <v>0</v>
      </c>
      <c r="H5" s="1162"/>
      <c r="I5" s="1201">
        <f>'Aff 15 IS'!J6</f>
        <v>0</v>
      </c>
      <c r="J5" s="1160"/>
      <c r="K5" s="26"/>
      <c r="L5" s="26"/>
      <c r="M5" s="26"/>
      <c r="N5" s="26"/>
      <c r="O5" s="26"/>
      <c r="P5" s="26"/>
      <c r="Q5" s="26"/>
      <c r="R5" s="26"/>
      <c r="S5" s="26"/>
      <c r="T5" s="26"/>
      <c r="U5" s="26"/>
    </row>
    <row r="6" spans="1:21" ht="16">
      <c r="A6" s="1155" t="s">
        <v>188</v>
      </c>
      <c r="B6" s="1150"/>
      <c r="C6" s="1201">
        <f>'Aff 15 IS'!D7</f>
        <v>0</v>
      </c>
      <c r="D6" s="1162"/>
      <c r="E6" s="1201">
        <f>'Aff 15 IS'!F7</f>
        <v>0</v>
      </c>
      <c r="F6" s="1162"/>
      <c r="G6" s="1201">
        <f>'Aff 15 IS'!H7</f>
        <v>0</v>
      </c>
      <c r="H6" s="1162"/>
      <c r="I6" s="1201">
        <f>'Aff 15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row>
    <row r="15" spans="1:21" ht="16">
      <c r="A15" s="1167"/>
      <c r="B15" s="311"/>
      <c r="C15" s="1172"/>
      <c r="D15" s="1169"/>
      <c r="E15" s="1172"/>
      <c r="F15" s="1169"/>
      <c r="G15" s="1172"/>
      <c r="H15" s="1169"/>
      <c r="I15" s="1172"/>
      <c r="J15" s="1170"/>
      <c r="K15" s="26"/>
      <c r="L15" s="26"/>
      <c r="M15" s="1352"/>
      <c r="N15" s="1358"/>
      <c r="O15" s="1358"/>
      <c r="P15" s="1353"/>
      <c r="Q15" s="1354"/>
      <c r="R15" s="26"/>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row>
    <row r="26" spans="1:21" ht="16">
      <c r="A26" s="1167"/>
      <c r="B26" s="311"/>
      <c r="C26" s="1172"/>
      <c r="D26" s="1169"/>
      <c r="E26" s="1172"/>
      <c r="F26" s="1169"/>
      <c r="G26" s="1172"/>
      <c r="H26" s="1169"/>
      <c r="I26" s="1172"/>
      <c r="J26" s="1170"/>
      <c r="K26" s="26"/>
      <c r="L26" s="26"/>
      <c r="M26" s="1355"/>
      <c r="N26" s="1358"/>
      <c r="O26" s="1358"/>
      <c r="P26" s="1353"/>
      <c r="Q26" s="1354"/>
      <c r="R26" s="26"/>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SUBTOTAL(109,AFF15Debt[Curr Bal])</f>
        <v>0</v>
      </c>
      <c r="O30" s="1357">
        <f>SUBTOTAL(109,AFF15Debt[Curr Pmt])</f>
        <v>0</v>
      </c>
      <c r="P30" s="1350"/>
      <c r="Q30" s="1350"/>
      <c r="R30" s="26"/>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15 IS'!D60</f>
        <v>0</v>
      </c>
      <c r="D64" s="1193"/>
      <c r="E64" s="1196">
        <f>'Aff 15 IS'!F60</f>
        <v>0</v>
      </c>
      <c r="F64" s="1194"/>
      <c r="G64" s="1196">
        <f>'Aff 15 IS'!H60</f>
        <v>0</v>
      </c>
      <c r="H64" s="1195"/>
      <c r="I64" s="1196">
        <f>'Aff 15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KLIBod5g+dN+QRg+qFnhqTF4H52Q9qWSBWQs9GUIyfJrWb+unSYBsCnNu6czGTPXkZpXQiyj98oqoVWRon1r2A==" saltValue="0TYbm60Wrviy9+magHZD8Q=="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FDFAC8B5-0E44-4365-B91D-378E65E1DA40}">
          <x14:formula1>
            <xm:f>Lists!$C$2:$C$4</xm:f>
          </x14:formula1>
          <xm:sqref>Q9:Q29</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A33A7-98C5-43EE-AE36-360879ADB9E5}">
  <sheetPr codeName="Sheet93">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15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15 CF</v>
      </c>
      <c r="V2" s="2901"/>
      <c r="W2" s="2901"/>
    </row>
    <row r="3" spans="1:29" ht="15.5" customHeight="1">
      <c r="A3" s="261" t="s">
        <v>182</v>
      </c>
      <c r="B3" s="262"/>
      <c r="C3" s="1086">
        <f>'Aff 15 IS'!D4</f>
        <v>44561</v>
      </c>
      <c r="D3" s="296"/>
      <c r="E3" s="1086">
        <f>'Aff 15 IS'!F4</f>
        <v>44926</v>
      </c>
      <c r="F3" s="296"/>
      <c r="G3" s="1086">
        <f>'Aff 15 IS'!H4</f>
        <v>45291</v>
      </c>
      <c r="H3" s="296"/>
      <c r="I3" s="1086">
        <f>'Aff 15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15 IS'!D5</f>
        <v>12</v>
      </c>
      <c r="D5" s="298"/>
      <c r="E5" s="266">
        <f>'Aff 15 IS'!F5</f>
        <v>12</v>
      </c>
      <c r="F5" s="298"/>
      <c r="G5" s="266">
        <f>'Aff 15 IS'!H5</f>
        <v>12</v>
      </c>
      <c r="H5" s="298"/>
      <c r="I5" s="266">
        <f>'Aff 15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15 IS'!D63</f>
        <v>0</v>
      </c>
      <c r="D7" s="1523"/>
      <c r="E7" s="1524">
        <f>'Aff 15 IS'!F63</f>
        <v>0</v>
      </c>
      <c r="F7" s="1523"/>
      <c r="G7" s="1524">
        <f>'Aff 15 IS'!H63</f>
        <v>0</v>
      </c>
      <c r="H7" s="1523"/>
      <c r="I7" s="1524">
        <f>'Aff 15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15 IS'!D64</f>
        <v>0</v>
      </c>
      <c r="D8" s="1526"/>
      <c r="E8" s="1527">
        <f>'Aff 15 IS'!F64</f>
        <v>0</v>
      </c>
      <c r="F8" s="1526"/>
      <c r="G8" s="1527">
        <f>'Aff 15 IS'!H64</f>
        <v>0</v>
      </c>
      <c r="H8" s="1526"/>
      <c r="I8" s="1527">
        <f>'Aff 15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15 IS'!D65</f>
        <v>0</v>
      </c>
      <c r="D9" s="1526"/>
      <c r="E9" s="1527">
        <f>'Aff 15 IS'!F65</f>
        <v>0</v>
      </c>
      <c r="F9" s="1526"/>
      <c r="G9" s="1527">
        <f>'Aff 15 IS'!H65</f>
        <v>0</v>
      </c>
      <c r="H9" s="1526"/>
      <c r="I9" s="1527">
        <f>'Aff 15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15 IS'!D67</f>
        <v>0</v>
      </c>
      <c r="D11" s="1529"/>
      <c r="E11" s="1527">
        <f>'Aff 15 IS'!F67</f>
        <v>0</v>
      </c>
      <c r="F11" s="1529"/>
      <c r="G11" s="1527">
        <f>'Aff 15 IS'!H67</f>
        <v>0</v>
      </c>
      <c r="H11" s="1529"/>
      <c r="I11" s="1527">
        <f>'Aff 15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AFF15Debt[[#Totals],[Curr Pmt]]*'Aff 15 CF'!C5</f>
        <v>0</v>
      </c>
      <c r="D27" s="1543"/>
      <c r="E27" s="1524">
        <f>AFF15Debt[[#Totals],[Curr Pmt]]*'Aff 15 CF'!E5</f>
        <v>0</v>
      </c>
      <c r="F27" s="1543"/>
      <c r="G27" s="1524">
        <f>AFF15Debt[[#Totals],[Curr Pmt]]*'Aff 15 CF'!G5</f>
        <v>0</v>
      </c>
      <c r="H27" s="1543"/>
      <c r="I27" s="1524">
        <f>AFF15Debt[[#Totals],[Curr Pmt]]*'Aff 15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rEF1rI0V+m/lpaeXr/uSUrFYTq/DpkglHakRXBH8I40hh2VmRrtIEFvWDGQPqYx4il09I51zor1XXZvj/DqiMg==" saltValue="ysGuczEX3Sy4oYcAaAqLzA=="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88129"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88130"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88131"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88132"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0094D-2921-436D-A793-C5868899E346}">
  <sheetPr codeName="Sheet94">
    <tabColor rgb="FF00B050"/>
    <pageSetUpPr autoPageBreaks="0"/>
  </sheetPr>
  <dimension ref="B1:T75"/>
  <sheetViews>
    <sheetView showGridLines="0" topLeftCell="E1"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VH0lcHyqxF/1W4mKk8u1LCd8P7l57h5g5qi+ruCiGS2Ia8u1ALIUoWcCh047+eRThBMijNbzEC1AIvFZwg6mmA==" saltValue="JqAQjOdbaD/WUo8MtGvyDw=="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C8861D-1454-4FA6-826E-947D0C3B665C}">
          <x14:formula1>
            <xm:f>Lists!$E$16:$E$20</xm:f>
          </x14:formula1>
          <xm:sqref>D7 J7 H7 F7</xm:sqref>
        </x14:dataValidation>
        <x14:dataValidation type="list" allowBlank="1" showInputMessage="1" showErrorMessage="1" xr:uid="{280C27B1-D702-4BFC-866B-7404D8DFB904}">
          <x14:formula1>
            <xm:f>Lists!$D$16:$D$24</xm:f>
          </x14:formula1>
          <xm:sqref>D6 J6 H6 F6</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94B38-E380-4025-BF6B-85259BB9795A}">
  <sheetPr codeName="Sheet95">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3" max="13" width="22.6640625" bestFit="1" customWidth="1"/>
    <col min="14" max="14" width="11.1640625" bestFit="1" customWidth="1"/>
    <col min="15" max="15" width="12" bestFit="1" customWidth="1"/>
    <col min="16" max="16" width="12.6640625" bestFit="1" customWidth="1"/>
    <col min="17" max="17"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16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16 IS'!D4</f>
        <v>44561</v>
      </c>
      <c r="D3" s="1151"/>
      <c r="E3" s="1190">
        <f>'Aff 16 IS'!F4</f>
        <v>44926</v>
      </c>
      <c r="F3" s="1151"/>
      <c r="G3" s="1190">
        <f>'Aff 16 IS'!H4</f>
        <v>45291</v>
      </c>
      <c r="H3" s="1151"/>
      <c r="I3" s="1190">
        <f>'Aff 16 IS'!J4</f>
        <v>45382</v>
      </c>
      <c r="J3" s="1154"/>
      <c r="K3" s="26"/>
      <c r="L3" s="26"/>
      <c r="M3" s="26"/>
      <c r="N3" s="26"/>
      <c r="O3" s="26"/>
      <c r="P3" s="26"/>
      <c r="Q3" s="26"/>
      <c r="R3" s="26"/>
      <c r="S3" s="26"/>
      <c r="T3" s="26"/>
      <c r="U3" s="26"/>
    </row>
    <row r="4" spans="1:21" ht="16">
      <c r="A4" s="1155" t="s">
        <v>183</v>
      </c>
      <c r="B4" s="1150"/>
      <c r="C4" s="1201">
        <f>'Aff 16 IS'!D5</f>
        <v>12</v>
      </c>
      <c r="D4" s="1151"/>
      <c r="E4" s="1201">
        <f>'Aff 16 IS'!F5</f>
        <v>12</v>
      </c>
      <c r="F4" s="1151"/>
      <c r="G4" s="1201">
        <f>'Aff 16 IS'!H5</f>
        <v>12</v>
      </c>
      <c r="H4" s="1151"/>
      <c r="I4" s="1201">
        <f>'Aff 16 IS'!J5</f>
        <v>3</v>
      </c>
      <c r="J4" s="1160"/>
      <c r="K4" s="26"/>
      <c r="L4" s="26"/>
      <c r="M4" s="26"/>
      <c r="N4" s="26"/>
      <c r="O4" s="26"/>
      <c r="P4" s="26"/>
      <c r="Q4" s="26"/>
      <c r="R4" s="26"/>
      <c r="S4" s="26"/>
      <c r="T4" s="26"/>
      <c r="U4" s="26"/>
    </row>
    <row r="5" spans="1:21" ht="16">
      <c r="A5" s="1155" t="s">
        <v>185</v>
      </c>
      <c r="B5" s="1150"/>
      <c r="C5" s="1201">
        <f>'Aff 16 IS'!D6</f>
        <v>0</v>
      </c>
      <c r="D5" s="1162"/>
      <c r="E5" s="1201">
        <f>'Aff 16 IS'!F6</f>
        <v>0</v>
      </c>
      <c r="F5" s="1162"/>
      <c r="G5" s="1201">
        <f>'Aff 16 IS'!H6</f>
        <v>0</v>
      </c>
      <c r="H5" s="1162"/>
      <c r="I5" s="1201">
        <f>'Aff 16 IS'!J6</f>
        <v>0</v>
      </c>
      <c r="J5" s="1160"/>
      <c r="K5" s="26"/>
      <c r="L5" s="26"/>
      <c r="M5" s="26"/>
      <c r="N5" s="26"/>
      <c r="O5" s="26"/>
      <c r="P5" s="26"/>
      <c r="Q5" s="26"/>
      <c r="R5" s="26"/>
      <c r="S5" s="26"/>
      <c r="T5" s="26"/>
      <c r="U5" s="26"/>
    </row>
    <row r="6" spans="1:21" ht="16">
      <c r="A6" s="1155" t="s">
        <v>188</v>
      </c>
      <c r="B6" s="1150"/>
      <c r="C6" s="1201">
        <f>'Aff 16 IS'!D7</f>
        <v>0</v>
      </c>
      <c r="D6" s="1162"/>
      <c r="E6" s="1201">
        <f>'Aff 16 IS'!F7</f>
        <v>0</v>
      </c>
      <c r="F6" s="1162"/>
      <c r="G6" s="1201">
        <f>'Aff 16 IS'!H7</f>
        <v>0</v>
      </c>
      <c r="H6" s="1162"/>
      <c r="I6" s="1201">
        <f>'Aff 16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1356" t="s">
        <v>1094</v>
      </c>
      <c r="N7" s="1349"/>
      <c r="O7" s="1349"/>
      <c r="P7" s="1350"/>
      <c r="Q7" s="1350"/>
      <c r="R7" s="26"/>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1349" t="s">
        <v>1095</v>
      </c>
      <c r="N8" s="1349" t="s">
        <v>1096</v>
      </c>
      <c r="O8" s="1349" t="s">
        <v>1097</v>
      </c>
      <c r="P8" s="1350" t="s">
        <v>1098</v>
      </c>
      <c r="Q8" s="1350" t="s">
        <v>1099</v>
      </c>
      <c r="R8" s="26"/>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1352"/>
      <c r="N9" s="1358"/>
      <c r="O9" s="1358"/>
      <c r="P9" s="1353"/>
      <c r="Q9" s="1354"/>
      <c r="R9" s="26"/>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1352"/>
      <c r="N10" s="1358"/>
      <c r="O10" s="1358"/>
      <c r="P10" s="1353"/>
      <c r="Q10" s="1354"/>
      <c r="R10" s="26"/>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1352"/>
      <c r="N11" s="1358"/>
      <c r="O11" s="1358"/>
      <c r="P11" s="1353"/>
      <c r="Q11" s="1354"/>
      <c r="R11" s="26"/>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1352"/>
      <c r="N12" s="1358"/>
      <c r="O12" s="1358"/>
      <c r="P12" s="1353"/>
      <c r="Q12" s="1354"/>
      <c r="R12" s="26"/>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1352"/>
      <c r="N13" s="1358"/>
      <c r="O13" s="1358"/>
      <c r="P13" s="1353"/>
      <c r="Q13" s="1354"/>
      <c r="R13" s="26"/>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1352"/>
      <c r="N14" s="1358"/>
      <c r="O14" s="1358"/>
      <c r="P14" s="1353"/>
      <c r="Q14" s="1354"/>
      <c r="R14" s="26"/>
      <c r="S14" s="26"/>
      <c r="T14" s="26"/>
      <c r="U14" s="26"/>
    </row>
    <row r="15" spans="1:21" ht="16">
      <c r="A15" s="1167"/>
      <c r="B15" s="311"/>
      <c r="C15" s="1172"/>
      <c r="D15" s="1169"/>
      <c r="E15" s="1172"/>
      <c r="F15" s="1169"/>
      <c r="G15" s="1172"/>
      <c r="H15" s="1169"/>
      <c r="I15" s="1172"/>
      <c r="J15" s="1170"/>
      <c r="K15" s="26"/>
      <c r="L15" s="26"/>
      <c r="M15" s="1352"/>
      <c r="N15" s="1358"/>
      <c r="O15" s="1358"/>
      <c r="P15" s="1353"/>
      <c r="Q15" s="1354"/>
      <c r="R15" s="26"/>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1352"/>
      <c r="N16" s="1358"/>
      <c r="O16" s="1358"/>
      <c r="P16" s="1353"/>
      <c r="Q16" s="1354"/>
      <c r="R16" s="26"/>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1352"/>
      <c r="N17" s="1358"/>
      <c r="O17" s="1358"/>
      <c r="P17" s="1353"/>
      <c r="Q17" s="1354"/>
      <c r="R17" s="26"/>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1352"/>
      <c r="N18" s="1358"/>
      <c r="O18" s="1358"/>
      <c r="P18" s="1353"/>
      <c r="Q18" s="1354"/>
      <c r="R18" s="26"/>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1352"/>
      <c r="N19" s="1358"/>
      <c r="O19" s="1358"/>
      <c r="P19" s="1353"/>
      <c r="Q19" s="1354"/>
      <c r="R19" s="26"/>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1352"/>
      <c r="N20" s="1358"/>
      <c r="O20" s="1358"/>
      <c r="P20" s="1353"/>
      <c r="Q20" s="1354"/>
      <c r="R20" s="26"/>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1352"/>
      <c r="N21" s="1358"/>
      <c r="O21" s="1358"/>
      <c r="P21" s="1353"/>
      <c r="Q21" s="1354"/>
      <c r="R21" s="26"/>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1352"/>
      <c r="N22" s="1358"/>
      <c r="O22" s="1358"/>
      <c r="P22" s="1353"/>
      <c r="Q22" s="1354"/>
      <c r="R22" s="26"/>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1352"/>
      <c r="N23" s="1358"/>
      <c r="O23" s="1358"/>
      <c r="P23" s="1353"/>
      <c r="Q23" s="1354"/>
      <c r="R23" s="26"/>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1355"/>
      <c r="N24" s="1358"/>
      <c r="O24" s="1358"/>
      <c r="P24" s="1353"/>
      <c r="Q24" s="1354"/>
      <c r="R24" s="26"/>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1355"/>
      <c r="N25" s="1358"/>
      <c r="O25" s="1358"/>
      <c r="P25" s="1353"/>
      <c r="Q25" s="1354"/>
      <c r="R25" s="26"/>
      <c r="S25" s="26"/>
      <c r="T25" s="26"/>
      <c r="U25" s="26"/>
    </row>
    <row r="26" spans="1:21" ht="16">
      <c r="A26" s="1167"/>
      <c r="B26" s="311"/>
      <c r="C26" s="1172"/>
      <c r="D26" s="1169"/>
      <c r="E26" s="1172"/>
      <c r="F26" s="1169"/>
      <c r="G26" s="1172"/>
      <c r="H26" s="1169"/>
      <c r="I26" s="1172"/>
      <c r="J26" s="1170"/>
      <c r="K26" s="26"/>
      <c r="L26" s="26"/>
      <c r="M26" s="1355"/>
      <c r="N26" s="1358"/>
      <c r="O26" s="1358"/>
      <c r="P26" s="1353"/>
      <c r="Q26" s="1354"/>
      <c r="R26" s="26"/>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1355"/>
      <c r="N27" s="1358"/>
      <c r="O27" s="1358"/>
      <c r="P27" s="1353"/>
      <c r="Q27" s="1354"/>
      <c r="R27" s="26"/>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1355"/>
      <c r="N28" s="1358"/>
      <c r="O28" s="1358"/>
      <c r="P28" s="1353"/>
      <c r="Q28" s="1354"/>
      <c r="R28" s="26"/>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1355"/>
      <c r="N29" s="1358"/>
      <c r="O29" s="1358"/>
      <c r="P29" s="1353"/>
      <c r="Q29" s="1354"/>
      <c r="R29" s="26"/>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1351" t="s">
        <v>104</v>
      </c>
      <c r="N30" s="1357">
        <f>SUBTOTAL(109,AFF16Debt[Curr Bal])</f>
        <v>0</v>
      </c>
      <c r="O30" s="1357">
        <f>SUBTOTAL(109,AFF16Debt[Curr Pmt])</f>
        <v>0</v>
      </c>
      <c r="P30" s="1350"/>
      <c r="Q30" s="1350"/>
      <c r="R30" s="26"/>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16 IS'!D60</f>
        <v>0</v>
      </c>
      <c r="D64" s="1193"/>
      <c r="E64" s="1196">
        <f>'Aff 16 IS'!F60</f>
        <v>0</v>
      </c>
      <c r="F64" s="1194"/>
      <c r="G64" s="1196">
        <f>'Aff 16 IS'!H60</f>
        <v>0</v>
      </c>
      <c r="H64" s="1195"/>
      <c r="I64" s="1196">
        <f>'Aff 16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yfOGdgshVfcwp9V8CvSES6Uk7J+fniMsa4x2F0kPumoY/oLo5D/IvAAMT4xqzm1sH4bRsXfjYVzmntDmBjsPXg==" saltValue="2m7W/90QtqV54XdEWUB4Ng=="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1E615A-54DF-4A25-87EC-8A4574B8AFE4}">
          <x14:formula1>
            <xm:f>Lists!$C$2:$C$4</xm:f>
          </x14:formula1>
          <xm:sqref>Q9:Q29</xm:sqref>
        </x14:dataValidation>
      </x14:dataValidation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15FBB-7AA5-4111-9C97-432A7800BD84}">
  <sheetPr codeName="Sheet96">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16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16 CF</v>
      </c>
      <c r="V2" s="2901"/>
      <c r="W2" s="2901"/>
    </row>
    <row r="3" spans="1:29" ht="15.5" customHeight="1">
      <c r="A3" s="261" t="s">
        <v>182</v>
      </c>
      <c r="B3" s="262"/>
      <c r="C3" s="1086">
        <f>'Aff 16 IS'!D4</f>
        <v>44561</v>
      </c>
      <c r="D3" s="296"/>
      <c r="E3" s="1086">
        <f>'Aff 16 IS'!F4</f>
        <v>44926</v>
      </c>
      <c r="F3" s="296"/>
      <c r="G3" s="1086">
        <f>'Aff 16 IS'!H4</f>
        <v>45291</v>
      </c>
      <c r="H3" s="296"/>
      <c r="I3" s="1086">
        <f>'Aff 16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16 IS'!D5</f>
        <v>12</v>
      </c>
      <c r="D5" s="298"/>
      <c r="E5" s="266">
        <f>'Aff 16 IS'!F5</f>
        <v>12</v>
      </c>
      <c r="F5" s="298"/>
      <c r="G5" s="266">
        <f>'Aff 16 IS'!H5</f>
        <v>12</v>
      </c>
      <c r="H5" s="298"/>
      <c r="I5" s="266">
        <f>'Aff 16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16 IS'!D63</f>
        <v>0</v>
      </c>
      <c r="D7" s="1523"/>
      <c r="E7" s="1524">
        <f>'Aff 16 IS'!F63</f>
        <v>0</v>
      </c>
      <c r="F7" s="1523"/>
      <c r="G7" s="1524">
        <f>'Aff 16 IS'!H63</f>
        <v>0</v>
      </c>
      <c r="H7" s="1523"/>
      <c r="I7" s="1524">
        <f>'Aff 16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16 IS'!D64</f>
        <v>0</v>
      </c>
      <c r="D8" s="1526"/>
      <c r="E8" s="1527">
        <f>'Aff 16 IS'!F64</f>
        <v>0</v>
      </c>
      <c r="F8" s="1526"/>
      <c r="G8" s="1527">
        <f>'Aff 16 IS'!H64</f>
        <v>0</v>
      </c>
      <c r="H8" s="1526"/>
      <c r="I8" s="1527">
        <f>'Aff 16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16 IS'!D65</f>
        <v>0</v>
      </c>
      <c r="D9" s="1526"/>
      <c r="E9" s="1527">
        <f>'Aff 16 IS'!F65</f>
        <v>0</v>
      </c>
      <c r="F9" s="1526"/>
      <c r="G9" s="1527">
        <f>'Aff 16 IS'!H65</f>
        <v>0</v>
      </c>
      <c r="H9" s="1526"/>
      <c r="I9" s="1527">
        <f>'Aff 16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16 IS'!D67</f>
        <v>0</v>
      </c>
      <c r="D11" s="1529"/>
      <c r="E11" s="1527">
        <f>'Aff 16 IS'!F67</f>
        <v>0</v>
      </c>
      <c r="F11" s="1529"/>
      <c r="G11" s="1527">
        <f>'Aff 16 IS'!H67</f>
        <v>0</v>
      </c>
      <c r="H11" s="1529"/>
      <c r="I11" s="1527">
        <f>'Aff 16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AFF16Debt[[#Totals],[Curr Pmt]]*'Aff 16 CF'!C5</f>
        <v>0</v>
      </c>
      <c r="D27" s="1543"/>
      <c r="E27" s="1524">
        <f>AFF16Debt[[#Totals],[Curr Pmt]]*'Aff 16 CF'!E5</f>
        <v>0</v>
      </c>
      <c r="F27" s="1543"/>
      <c r="G27" s="1524">
        <f>AFF16Debt[[#Totals],[Curr Pmt]]*'Aff 16 CF'!G5</f>
        <v>0</v>
      </c>
      <c r="H27" s="1543"/>
      <c r="I27" s="1524">
        <f>AFF16Debt[[#Totals],[Curr Pmt]]*'Aff 16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ryDzfIOxzRsogcUV0yrurhETZCfI02LHM1HGPDbo5rsi2rF9Ifks1swU1NsA3cZo/Wet5Dp5zUs9i2WY+nkoFA==" saltValue="fkloxH/ZNSrPtYCvUYX7kw=="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91202"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91203"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91204"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0E27-35B4-48DC-8647-DE0816B6B08A}">
  <sheetPr codeName="Sheet97">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aWkadWmrN9Cp71Z7MkQg8Y6qnnW88muy1AtNAdsBDxV3XlEwBfy27hJa5qNqoSIy7rObgiuTQM7G2E+IvNRz/g==" saltValue="hjUWE/fNBKNWSDmrE3T0eQ=="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A6F5E75-64D1-42F4-866A-A53E183B6D04}">
          <x14:formula1>
            <xm:f>Lists!$E$16:$E$20</xm:f>
          </x14:formula1>
          <xm:sqref>D7 J7 H7 F7</xm:sqref>
        </x14:dataValidation>
        <x14:dataValidation type="list" allowBlank="1" showInputMessage="1" showErrorMessage="1" xr:uid="{613218CE-08EA-4CCC-9192-E28F9544E20F}">
          <x14:formula1>
            <xm:f>Lists!$D$16:$D$24</xm:f>
          </x14:formula1>
          <xm:sqref>D6 J6 H6 F6</xm:sqref>
        </x14:dataValidation>
      </x14:dataValidation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8B3C-32BC-4CD2-811B-196A3B586A6B}">
  <sheetPr codeName="Sheet98">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4" max="14" width="22.6640625" bestFit="1" customWidth="1"/>
    <col min="15" max="15" width="11.1640625" bestFit="1" customWidth="1"/>
    <col min="16" max="16" width="12" bestFit="1" customWidth="1"/>
    <col min="17" max="17" width="12.6640625" bestFit="1" customWidth="1"/>
    <col min="18" max="18"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17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17 IS'!D4</f>
        <v>44561</v>
      </c>
      <c r="D3" s="1151"/>
      <c r="E3" s="1190">
        <f>'Aff 17 IS'!F4</f>
        <v>44926</v>
      </c>
      <c r="F3" s="1151"/>
      <c r="G3" s="1190">
        <f>'Aff 17 IS'!H4</f>
        <v>45291</v>
      </c>
      <c r="H3" s="1151"/>
      <c r="I3" s="1190">
        <f>'Aff 17 IS'!J4</f>
        <v>45382</v>
      </c>
      <c r="J3" s="1154"/>
      <c r="K3" s="26"/>
      <c r="L3" s="26"/>
      <c r="M3" s="26"/>
      <c r="N3" s="26"/>
      <c r="O3" s="26"/>
      <c r="P3" s="26"/>
      <c r="Q3" s="26"/>
      <c r="R3" s="26"/>
      <c r="S3" s="26"/>
      <c r="T3" s="26"/>
      <c r="U3" s="26"/>
    </row>
    <row r="4" spans="1:21" ht="16">
      <c r="A4" s="1155" t="s">
        <v>183</v>
      </c>
      <c r="B4" s="1150"/>
      <c r="C4" s="1201">
        <f>'Aff 17 IS'!D5</f>
        <v>12</v>
      </c>
      <c r="D4" s="1151"/>
      <c r="E4" s="1201">
        <f>'Aff 17 IS'!F5</f>
        <v>12</v>
      </c>
      <c r="F4" s="1151"/>
      <c r="G4" s="1201">
        <f>'Aff 17 IS'!H5</f>
        <v>12</v>
      </c>
      <c r="H4" s="1151"/>
      <c r="I4" s="1201">
        <f>'Aff 17 IS'!J5</f>
        <v>3</v>
      </c>
      <c r="J4" s="1160"/>
      <c r="K4" s="26"/>
      <c r="L4" s="26"/>
      <c r="M4" s="26"/>
      <c r="N4" s="26"/>
      <c r="O4" s="26"/>
      <c r="P4" s="26"/>
      <c r="Q4" s="26"/>
      <c r="R4" s="26"/>
      <c r="S4" s="26"/>
      <c r="T4" s="26"/>
      <c r="U4" s="26"/>
    </row>
    <row r="5" spans="1:21" ht="16">
      <c r="A5" s="1155" t="s">
        <v>185</v>
      </c>
      <c r="B5" s="1150"/>
      <c r="C5" s="1201">
        <f>'Aff 17 IS'!D6</f>
        <v>0</v>
      </c>
      <c r="D5" s="1162"/>
      <c r="E5" s="1201">
        <f>'Aff 17 IS'!F6</f>
        <v>0</v>
      </c>
      <c r="F5" s="1162"/>
      <c r="G5" s="1201">
        <f>'Aff 17 IS'!H6</f>
        <v>0</v>
      </c>
      <c r="H5" s="1162"/>
      <c r="I5" s="1201">
        <f>'Aff 17 IS'!J6</f>
        <v>0</v>
      </c>
      <c r="J5" s="1160"/>
      <c r="K5" s="26"/>
      <c r="L5" s="26"/>
      <c r="M5" s="26"/>
      <c r="N5" s="26"/>
      <c r="O5" s="26"/>
      <c r="P5" s="26"/>
      <c r="Q5" s="26"/>
      <c r="R5" s="26"/>
      <c r="S5" s="26"/>
      <c r="T5" s="26"/>
      <c r="U5" s="26"/>
    </row>
    <row r="6" spans="1:21" ht="16">
      <c r="A6" s="1155" t="s">
        <v>188</v>
      </c>
      <c r="B6" s="1150"/>
      <c r="C6" s="1201">
        <f>'Aff 17 IS'!D7</f>
        <v>0</v>
      </c>
      <c r="D6" s="1162"/>
      <c r="E6" s="1201">
        <f>'Aff 17 IS'!F7</f>
        <v>0</v>
      </c>
      <c r="F6" s="1162"/>
      <c r="G6" s="1201">
        <f>'Aff 17 IS'!H7</f>
        <v>0</v>
      </c>
      <c r="H6" s="1162"/>
      <c r="I6" s="1201">
        <f>'Aff 17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26"/>
      <c r="N7" s="1356" t="s">
        <v>1094</v>
      </c>
      <c r="O7" s="1349"/>
      <c r="P7" s="1349"/>
      <c r="Q7" s="1350"/>
      <c r="R7" s="1350"/>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26"/>
      <c r="N8" s="1349" t="s">
        <v>1095</v>
      </c>
      <c r="O8" s="1349" t="s">
        <v>1096</v>
      </c>
      <c r="P8" s="1349" t="s">
        <v>1097</v>
      </c>
      <c r="Q8" s="1350" t="s">
        <v>1098</v>
      </c>
      <c r="R8" s="1350" t="s">
        <v>1099</v>
      </c>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26"/>
      <c r="N9" s="1352"/>
      <c r="O9" s="1358"/>
      <c r="P9" s="1358"/>
      <c r="Q9" s="1353"/>
      <c r="R9" s="1354"/>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26"/>
      <c r="N10" s="1352"/>
      <c r="O10" s="1358"/>
      <c r="P10" s="1358"/>
      <c r="Q10" s="1353"/>
      <c r="R10" s="1354"/>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26"/>
      <c r="N11" s="1352"/>
      <c r="O11" s="1358"/>
      <c r="P11" s="1358"/>
      <c r="Q11" s="1353"/>
      <c r="R11" s="1354"/>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26"/>
      <c r="N12" s="1352"/>
      <c r="O12" s="1358"/>
      <c r="P12" s="1358"/>
      <c r="Q12" s="1353"/>
      <c r="R12" s="1354"/>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26"/>
      <c r="N13" s="1352"/>
      <c r="O13" s="1358"/>
      <c r="P13" s="1358"/>
      <c r="Q13" s="1353"/>
      <c r="R13" s="1354"/>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26"/>
      <c r="N14" s="1352"/>
      <c r="O14" s="1358"/>
      <c r="P14" s="1358"/>
      <c r="Q14" s="1353"/>
      <c r="R14" s="1354"/>
      <c r="S14" s="26"/>
      <c r="T14" s="26"/>
      <c r="U14" s="26"/>
    </row>
    <row r="15" spans="1:21" ht="16">
      <c r="A15" s="1167"/>
      <c r="B15" s="311"/>
      <c r="C15" s="1172"/>
      <c r="D15" s="1169"/>
      <c r="E15" s="1172"/>
      <c r="F15" s="1169"/>
      <c r="G15" s="1172"/>
      <c r="H15" s="1169"/>
      <c r="I15" s="1172"/>
      <c r="J15" s="1170"/>
      <c r="K15" s="26"/>
      <c r="L15" s="26"/>
      <c r="M15" s="26"/>
      <c r="N15" s="1352"/>
      <c r="O15" s="1358"/>
      <c r="P15" s="1358"/>
      <c r="Q15" s="1353"/>
      <c r="R15" s="1354"/>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26"/>
      <c r="N16" s="1352"/>
      <c r="O16" s="1358"/>
      <c r="P16" s="1358"/>
      <c r="Q16" s="1353"/>
      <c r="R16" s="1354"/>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26"/>
      <c r="N17" s="1352"/>
      <c r="O17" s="1358"/>
      <c r="P17" s="1358"/>
      <c r="Q17" s="1353"/>
      <c r="R17" s="1354"/>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26"/>
      <c r="N18" s="1352"/>
      <c r="O18" s="1358"/>
      <c r="P18" s="1358"/>
      <c r="Q18" s="1353"/>
      <c r="R18" s="1354"/>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26"/>
      <c r="N19" s="1352"/>
      <c r="O19" s="1358"/>
      <c r="P19" s="1358"/>
      <c r="Q19" s="1353"/>
      <c r="R19" s="1354"/>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26"/>
      <c r="N20" s="1352"/>
      <c r="O20" s="1358"/>
      <c r="P20" s="1358"/>
      <c r="Q20" s="1353"/>
      <c r="R20" s="1354"/>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26"/>
      <c r="N21" s="1352"/>
      <c r="O21" s="1358"/>
      <c r="P21" s="1358"/>
      <c r="Q21" s="1353"/>
      <c r="R21" s="1354"/>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26"/>
      <c r="N22" s="1352"/>
      <c r="O22" s="1358"/>
      <c r="P22" s="1358"/>
      <c r="Q22" s="1353"/>
      <c r="R22" s="1354"/>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26"/>
      <c r="N23" s="1352"/>
      <c r="O23" s="1358"/>
      <c r="P23" s="1358"/>
      <c r="Q23" s="1353"/>
      <c r="R23" s="1354"/>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26"/>
      <c r="N24" s="1355"/>
      <c r="O24" s="1358"/>
      <c r="P24" s="1358"/>
      <c r="Q24" s="1353"/>
      <c r="R24" s="1354"/>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26"/>
      <c r="N25" s="1355"/>
      <c r="O25" s="1358"/>
      <c r="P25" s="1358"/>
      <c r="Q25" s="1353"/>
      <c r="R25" s="1354"/>
      <c r="S25" s="26"/>
      <c r="T25" s="26"/>
      <c r="U25" s="26"/>
    </row>
    <row r="26" spans="1:21" ht="16">
      <c r="A26" s="1167"/>
      <c r="B26" s="311"/>
      <c r="C26" s="1172"/>
      <c r="D26" s="1169"/>
      <c r="E26" s="1172"/>
      <c r="F26" s="1169"/>
      <c r="G26" s="1172"/>
      <c r="H26" s="1169"/>
      <c r="I26" s="1172"/>
      <c r="J26" s="1170"/>
      <c r="K26" s="26"/>
      <c r="L26" s="26"/>
      <c r="M26" s="26"/>
      <c r="N26" s="1355"/>
      <c r="O26" s="1358"/>
      <c r="P26" s="1358"/>
      <c r="Q26" s="1353"/>
      <c r="R26" s="1354"/>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26"/>
      <c r="N27" s="1355"/>
      <c r="O27" s="1358"/>
      <c r="P27" s="1358"/>
      <c r="Q27" s="1353"/>
      <c r="R27" s="1354"/>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26"/>
      <c r="N28" s="1355"/>
      <c r="O28" s="1358"/>
      <c r="P28" s="1358"/>
      <c r="Q28" s="1353"/>
      <c r="R28" s="1354"/>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26"/>
      <c r="N29" s="1355"/>
      <c r="O29" s="1358"/>
      <c r="P29" s="1358"/>
      <c r="Q29" s="1353"/>
      <c r="R29" s="1354"/>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26"/>
      <c r="N30" s="1351" t="s">
        <v>104</v>
      </c>
      <c r="O30" s="1357">
        <f>SUBTOTAL(109,AFF17Debt[Curr Bal])</f>
        <v>0</v>
      </c>
      <c r="P30" s="1357">
        <f>SUBTOTAL(109,AFF17Debt[Curr Pmt])</f>
        <v>0</v>
      </c>
      <c r="Q30" s="1350"/>
      <c r="R30" s="1350"/>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17 IS'!D60</f>
        <v>0</v>
      </c>
      <c r="D64" s="1193"/>
      <c r="E64" s="1196">
        <f>'Aff 17 IS'!F60</f>
        <v>0</v>
      </c>
      <c r="F64" s="1194"/>
      <c r="G64" s="1196">
        <f>'Aff 17 IS'!H60</f>
        <v>0</v>
      </c>
      <c r="H64" s="1195"/>
      <c r="I64" s="1196">
        <f>'Aff 17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fygx2DKYDDTss0IUogRF76OsTG03u+3kgGVrF/LKj5Ic4vI7nEa2k1ht7r11iBFc+TSbZtHTOpDYSpY9E0zpeA==" saltValue="VI8X/e2rmlZ6OrZYMZjjug=="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A8721B1-AEDC-4A25-BB15-3CF5A693A46F}">
          <x14:formula1>
            <xm:f>Lists!$C$2:$C$4</xm:f>
          </x14:formula1>
          <xm:sqref>R9:R29</xm:sqref>
        </x14:dataValidation>
      </x14:dataValidation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89861-C84D-49B4-9DD2-1A16EC43B950}">
  <sheetPr codeName="Sheet99">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17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17 CF</v>
      </c>
      <c r="V2" s="2901"/>
      <c r="W2" s="2901"/>
    </row>
    <row r="3" spans="1:29" ht="15.5" customHeight="1">
      <c r="A3" s="261" t="s">
        <v>182</v>
      </c>
      <c r="B3" s="262"/>
      <c r="C3" s="1086">
        <f>'Aff 17 IS'!D4</f>
        <v>44561</v>
      </c>
      <c r="D3" s="296"/>
      <c r="E3" s="1086">
        <f>'Aff 17 IS'!F4</f>
        <v>44926</v>
      </c>
      <c r="F3" s="296"/>
      <c r="G3" s="1086">
        <f>'Aff 17 IS'!H4</f>
        <v>45291</v>
      </c>
      <c r="H3" s="296"/>
      <c r="I3" s="1086">
        <f>'Aff 17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17 IS'!D5</f>
        <v>12</v>
      </c>
      <c r="D5" s="298"/>
      <c r="E5" s="266">
        <f>'Aff 17 IS'!F5</f>
        <v>12</v>
      </c>
      <c r="F5" s="298"/>
      <c r="G5" s="266">
        <f>'Aff 17 IS'!H5</f>
        <v>12</v>
      </c>
      <c r="H5" s="298"/>
      <c r="I5" s="266">
        <f>'Aff 17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17 IS'!D63</f>
        <v>0</v>
      </c>
      <c r="D7" s="1523"/>
      <c r="E7" s="1524">
        <f>'Aff 17 IS'!F63</f>
        <v>0</v>
      </c>
      <c r="F7" s="1523"/>
      <c r="G7" s="1524">
        <f>'Aff 17 IS'!H63</f>
        <v>0</v>
      </c>
      <c r="H7" s="1523"/>
      <c r="I7" s="1524">
        <f>'Aff 17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17 IS'!D64</f>
        <v>0</v>
      </c>
      <c r="D8" s="1526"/>
      <c r="E8" s="1527">
        <f>'Aff 17 IS'!F64</f>
        <v>0</v>
      </c>
      <c r="F8" s="1526"/>
      <c r="G8" s="1527">
        <f>'Aff 17 IS'!H64</f>
        <v>0</v>
      </c>
      <c r="H8" s="1526"/>
      <c r="I8" s="1527">
        <f>'Aff 17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17 IS'!D65</f>
        <v>0</v>
      </c>
      <c r="D9" s="1526"/>
      <c r="E9" s="1527">
        <f>'Aff 17 IS'!F65</f>
        <v>0</v>
      </c>
      <c r="F9" s="1526"/>
      <c r="G9" s="1527">
        <f>'Aff 17 IS'!H65</f>
        <v>0</v>
      </c>
      <c r="H9" s="1526"/>
      <c r="I9" s="1527">
        <f>'Aff 17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17 IS'!D67</f>
        <v>0</v>
      </c>
      <c r="D11" s="1529"/>
      <c r="E11" s="1527">
        <f>'Aff 17 IS'!F67</f>
        <v>0</v>
      </c>
      <c r="F11" s="1529"/>
      <c r="G11" s="1527">
        <f>'Aff 17 IS'!H67</f>
        <v>0</v>
      </c>
      <c r="H11" s="1529"/>
      <c r="I11" s="1527">
        <f>'Aff 17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AFF17Debt[[#Totals],[Curr Pmt]]*'Aff 17 CF'!C5</f>
        <v>0</v>
      </c>
      <c r="D27" s="1543"/>
      <c r="E27" s="1524">
        <f>AFF17Debt[[#Totals],[Curr Pmt]]*'Aff 17 CF'!E5</f>
        <v>0</v>
      </c>
      <c r="F27" s="1543"/>
      <c r="G27" s="1524">
        <f>AFF17Debt[[#Totals],[Curr Pmt]]*'Aff 17 CF'!G5</f>
        <v>0</v>
      </c>
      <c r="H27" s="1543"/>
      <c r="I27" s="1524">
        <f>AFF17Debt[[#Totals],[Curr Pmt]]*'Aff 17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y9gTm/i5G8bjHL5f3hiCxj/O8pZbMf9rmEyXGRQ10njCZc3wzrZlVIxVmcVYQO5sq7JxKXxxf2YAjlGlW8AAlw==" saltValue="mULve4zjMPNzG36izO/Mig=="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94273"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94274"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94275"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94276"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F636B-004D-4D25-B0B2-8E69A8E71882}">
  <sheetPr codeName="Sheet100">
    <tabColor rgb="FF00B050"/>
    <pageSetUpPr autoPageBreaks="0"/>
  </sheetPr>
  <dimension ref="B1:T75"/>
  <sheetViews>
    <sheetView showGridLines="0" zoomScale="85" zoomScaleNormal="85" workbookViewId="0">
      <selection activeCell="F18" sqref="F18"/>
    </sheetView>
  </sheetViews>
  <sheetFormatPr baseColWidth="10" defaultColWidth="8.83203125" defaultRowHeight="15"/>
  <cols>
    <col min="1" max="1" width="5.6640625" customWidth="1"/>
    <col min="2" max="2" width="30.1640625" customWidth="1"/>
    <col min="3" max="3" width="4.6640625" bestFit="1" customWidth="1"/>
    <col min="4" max="4" width="12.6640625" customWidth="1"/>
    <col min="5" max="5" width="8" bestFit="1" customWidth="1"/>
    <col min="6" max="6" width="12.6640625" customWidth="1"/>
    <col min="7" max="7" width="8" bestFit="1" customWidth="1"/>
    <col min="8" max="8" width="12.6640625" customWidth="1"/>
    <col min="9" max="9" width="8" bestFit="1" customWidth="1"/>
    <col min="10" max="10" width="12.6640625" customWidth="1"/>
    <col min="11" max="11" width="8" bestFit="1" customWidth="1"/>
    <col min="12" max="12" width="1.6640625" customWidth="1"/>
    <col min="13" max="13" width="8.6640625" customWidth="1"/>
    <col min="14" max="15" width="1.6640625" customWidth="1"/>
  </cols>
  <sheetData>
    <row r="1" spans="2:20" ht="16">
      <c r="B1" s="2880" t="s">
        <v>177</v>
      </c>
      <c r="C1" s="2881"/>
      <c r="D1" s="2881"/>
      <c r="E1" s="2881"/>
      <c r="F1" s="2881"/>
      <c r="G1" s="2881"/>
      <c r="H1" s="2881"/>
      <c r="I1" s="2881"/>
      <c r="J1" s="2881"/>
      <c r="K1" s="2881"/>
      <c r="L1" s="2881"/>
      <c r="M1" s="2881"/>
      <c r="N1" s="2881"/>
      <c r="O1" s="2882"/>
      <c r="R1" s="1179"/>
      <c r="S1" s="1179"/>
      <c r="T1" s="1179"/>
    </row>
    <row r="2" spans="2:20" ht="16">
      <c r="B2" s="2383" t="s">
        <v>179</v>
      </c>
      <c r="C2" s="2385"/>
      <c r="D2" s="2385"/>
      <c r="E2" s="2385"/>
      <c r="F2" s="2385"/>
      <c r="G2" s="2385"/>
      <c r="H2" s="2385"/>
      <c r="I2" s="2385"/>
      <c r="J2" s="2385"/>
      <c r="K2" s="2385"/>
      <c r="L2" s="2385"/>
      <c r="M2" s="2385"/>
      <c r="N2" s="2385"/>
      <c r="O2" s="2386"/>
      <c r="R2" s="1189"/>
      <c r="S2" s="1189"/>
      <c r="T2" s="1189"/>
    </row>
    <row r="3" spans="2:20" ht="16">
      <c r="B3" s="1181"/>
      <c r="C3" s="237"/>
      <c r="D3" s="237"/>
      <c r="E3" s="237"/>
      <c r="F3" s="237"/>
      <c r="G3" s="237"/>
      <c r="H3" s="237"/>
      <c r="I3" s="237"/>
      <c r="J3" s="237"/>
      <c r="K3" s="237"/>
      <c r="L3" s="237"/>
      <c r="M3" s="237"/>
      <c r="N3" s="237"/>
      <c r="O3" s="263"/>
      <c r="R3" s="1189"/>
      <c r="S3" s="1189"/>
      <c r="T3" s="1189"/>
    </row>
    <row r="4" spans="2:20" ht="16">
      <c r="B4" s="312" t="s">
        <v>182</v>
      </c>
      <c r="C4" s="270"/>
      <c r="D4" s="135">
        <v>44561</v>
      </c>
      <c r="E4" s="239"/>
      <c r="F4" s="135">
        <f>EOMONTH(D4,F5)</f>
        <v>44926</v>
      </c>
      <c r="G4" s="239"/>
      <c r="H4" s="135">
        <f>EOMONTH(F4,H5)</f>
        <v>45291</v>
      </c>
      <c r="I4" s="239"/>
      <c r="J4" s="135">
        <f>EOMONTH(H4,J5)</f>
        <v>45382</v>
      </c>
      <c r="K4" s="232"/>
      <c r="L4" s="232"/>
      <c r="M4" s="232"/>
      <c r="N4" s="232"/>
      <c r="O4" s="235"/>
      <c r="R4" s="1189"/>
      <c r="S4" s="1189"/>
      <c r="T4" s="1189"/>
    </row>
    <row r="5" spans="2:20" ht="16">
      <c r="B5" s="312" t="s">
        <v>183</v>
      </c>
      <c r="C5" s="270"/>
      <c r="D5" s="136">
        <v>12</v>
      </c>
      <c r="E5" s="316"/>
      <c r="F5" s="136">
        <v>12</v>
      </c>
      <c r="G5" s="316"/>
      <c r="H5" s="136">
        <v>12</v>
      </c>
      <c r="I5" s="316"/>
      <c r="J5" s="136">
        <v>3</v>
      </c>
      <c r="K5" s="1183"/>
      <c r="L5" s="1183"/>
      <c r="M5" s="1183"/>
      <c r="N5" s="1183"/>
      <c r="O5" s="322"/>
      <c r="R5" s="2901"/>
      <c r="S5" s="2901"/>
      <c r="T5" s="2901"/>
    </row>
    <row r="6" spans="2:20" ht="16">
      <c r="B6" s="312" t="s">
        <v>185</v>
      </c>
      <c r="C6" s="270"/>
      <c r="D6" s="137"/>
      <c r="E6" s="317"/>
      <c r="F6" s="137"/>
      <c r="G6" s="317"/>
      <c r="H6" s="1187"/>
      <c r="I6" s="317"/>
      <c r="J6" s="137"/>
      <c r="K6" s="1183"/>
      <c r="L6" s="1183"/>
      <c r="M6" s="2893" t="s">
        <v>737</v>
      </c>
      <c r="N6" s="296"/>
      <c r="O6" s="322"/>
      <c r="R6" s="2901"/>
      <c r="S6" s="2901"/>
      <c r="T6" s="2901"/>
    </row>
    <row r="7" spans="2:20" ht="16">
      <c r="B7" s="312" t="s">
        <v>188</v>
      </c>
      <c r="C7" s="270"/>
      <c r="D7" s="137"/>
      <c r="E7" s="317"/>
      <c r="F7" s="137"/>
      <c r="G7" s="317"/>
      <c r="H7" s="1187"/>
      <c r="I7" s="317"/>
      <c r="J7" s="137"/>
      <c r="K7" s="1183"/>
      <c r="L7" s="1183"/>
      <c r="M7" s="2894"/>
      <c r="N7" s="296"/>
      <c r="O7" s="322"/>
      <c r="R7" s="2901"/>
      <c r="S7" s="2901"/>
      <c r="T7" s="2901"/>
    </row>
    <row r="8" spans="2:20" ht="16">
      <c r="B8" s="236" t="s">
        <v>189</v>
      </c>
      <c r="C8" s="234" t="s">
        <v>795</v>
      </c>
      <c r="D8" s="314"/>
      <c r="E8" s="315"/>
      <c r="F8" s="314"/>
      <c r="G8" s="315"/>
      <c r="H8" s="314"/>
      <c r="I8" s="315"/>
      <c r="J8" s="314"/>
      <c r="K8" s="315"/>
      <c r="L8" s="315"/>
      <c r="M8" s="314"/>
      <c r="N8" s="314"/>
      <c r="O8" s="323"/>
      <c r="R8" s="2901"/>
      <c r="S8" s="2901"/>
      <c r="T8" s="2901"/>
    </row>
    <row r="9" spans="2:20" ht="16">
      <c r="B9" s="1188" t="s">
        <v>796</v>
      </c>
      <c r="C9" s="1052"/>
      <c r="D9" s="4"/>
      <c r="E9" s="318">
        <f>IF($D$18=0,0,D9/$D$18)</f>
        <v>0</v>
      </c>
      <c r="F9" s="4"/>
      <c r="G9" s="318">
        <f>IF($F$18=0,0,F9/$F$18)</f>
        <v>0</v>
      </c>
      <c r="H9" s="4"/>
      <c r="I9" s="318">
        <f>IF($H$18=0,0,H9/$H$18)</f>
        <v>0</v>
      </c>
      <c r="J9" s="4"/>
      <c r="K9" s="320">
        <f>IF($J$18=0,0,J9/$J$18)</f>
        <v>0</v>
      </c>
      <c r="L9" s="321"/>
      <c r="M9" s="56"/>
      <c r="N9" s="314"/>
      <c r="O9" s="324"/>
      <c r="R9" s="2776"/>
      <c r="S9" s="2776"/>
      <c r="T9" s="2776"/>
    </row>
    <row r="10" spans="2:20" ht="16">
      <c r="B10" s="1188" t="s">
        <v>797</v>
      </c>
      <c r="C10" s="246"/>
      <c r="D10" s="5"/>
      <c r="E10" s="318">
        <f t="shared" ref="E10:E20" si="0">IF($D$18=0,0,D10/$D$18)</f>
        <v>0</v>
      </c>
      <c r="F10" s="5"/>
      <c r="G10" s="318">
        <f t="shared" ref="G10:G20" si="1">IF($F$18=0,0,F10/$F$18)</f>
        <v>0</v>
      </c>
      <c r="H10" s="5"/>
      <c r="I10" s="318">
        <f t="shared" ref="I10:I20" si="2">IF($H$18=0,0,H10/$H$18)</f>
        <v>0</v>
      </c>
      <c r="J10" s="5"/>
      <c r="K10" s="320">
        <f t="shared" ref="K10:K20" si="3">IF($J$18=0,0,J10/$J$18)</f>
        <v>0</v>
      </c>
      <c r="L10" s="321"/>
      <c r="M10" s="57"/>
      <c r="N10" s="314"/>
      <c r="O10" s="324"/>
      <c r="R10" s="2776"/>
      <c r="S10" s="2776"/>
      <c r="T10" s="2776"/>
    </row>
    <row r="11" spans="2:20" ht="16">
      <c r="B11" s="1188" t="s">
        <v>798</v>
      </c>
      <c r="C11" s="246"/>
      <c r="D11" s="333">
        <f>D9-D10</f>
        <v>0</v>
      </c>
      <c r="E11" s="318">
        <f t="shared" si="0"/>
        <v>0</v>
      </c>
      <c r="F11" s="333">
        <f>F9-F10</f>
        <v>0</v>
      </c>
      <c r="G11" s="318">
        <f t="shared" si="1"/>
        <v>0</v>
      </c>
      <c r="H11" s="333">
        <f>H9-H10</f>
        <v>0</v>
      </c>
      <c r="I11" s="318">
        <f t="shared" si="2"/>
        <v>0</v>
      </c>
      <c r="J11" s="333">
        <f>J9-J10</f>
        <v>0</v>
      </c>
      <c r="K11" s="320">
        <f t="shared" si="3"/>
        <v>0</v>
      </c>
      <c r="L11" s="321"/>
      <c r="M11" s="57"/>
      <c r="N11" s="314"/>
      <c r="O11" s="324"/>
      <c r="R11" s="2776"/>
      <c r="S11" s="2776"/>
      <c r="T11" s="2776"/>
    </row>
    <row r="12" spans="2:20" ht="16">
      <c r="B12" s="1188" t="s">
        <v>799</v>
      </c>
      <c r="C12" s="246"/>
      <c r="D12" s="5"/>
      <c r="E12" s="318">
        <f t="shared" si="0"/>
        <v>0</v>
      </c>
      <c r="F12" s="5"/>
      <c r="G12" s="318">
        <f t="shared" si="1"/>
        <v>0</v>
      </c>
      <c r="H12" s="5"/>
      <c r="I12" s="318">
        <f t="shared" si="2"/>
        <v>0</v>
      </c>
      <c r="J12" s="5"/>
      <c r="K12" s="320">
        <f t="shared" si="3"/>
        <v>0</v>
      </c>
      <c r="L12" s="321"/>
      <c r="M12" s="57"/>
      <c r="N12" s="314"/>
      <c r="O12" s="324"/>
      <c r="R12" s="2776"/>
      <c r="S12" s="2776"/>
      <c r="T12" s="2776"/>
    </row>
    <row r="13" spans="2:20" ht="16">
      <c r="B13" s="1188" t="s">
        <v>800</v>
      </c>
      <c r="C13" s="246"/>
      <c r="D13" s="5"/>
      <c r="E13" s="318">
        <f t="shared" si="0"/>
        <v>0</v>
      </c>
      <c r="F13" s="5"/>
      <c r="G13" s="318">
        <f t="shared" si="1"/>
        <v>0</v>
      </c>
      <c r="H13" s="5"/>
      <c r="I13" s="318">
        <f t="shared" si="2"/>
        <v>0</v>
      </c>
      <c r="J13" s="5"/>
      <c r="K13" s="320">
        <f t="shared" si="3"/>
        <v>0</v>
      </c>
      <c r="L13" s="321"/>
      <c r="M13" s="57"/>
      <c r="N13" s="314"/>
      <c r="O13" s="324"/>
      <c r="R13" s="2776"/>
      <c r="S13" s="2776"/>
      <c r="T13" s="2776"/>
    </row>
    <row r="14" spans="2:20" ht="16">
      <c r="B14" s="1188" t="s">
        <v>801</v>
      </c>
      <c r="C14" s="246"/>
      <c r="D14" s="333">
        <f>D12-D13</f>
        <v>0</v>
      </c>
      <c r="E14" s="318">
        <f t="shared" si="0"/>
        <v>0</v>
      </c>
      <c r="F14" s="333">
        <f>F12-F13</f>
        <v>0</v>
      </c>
      <c r="G14" s="318">
        <f t="shared" si="1"/>
        <v>0</v>
      </c>
      <c r="H14" s="333">
        <f>H12-H13</f>
        <v>0</v>
      </c>
      <c r="I14" s="318">
        <f t="shared" si="2"/>
        <v>0</v>
      </c>
      <c r="J14" s="333">
        <f>J12-J13</f>
        <v>0</v>
      </c>
      <c r="K14" s="320">
        <f t="shared" si="3"/>
        <v>0</v>
      </c>
      <c r="L14" s="321"/>
      <c r="M14" s="57"/>
      <c r="N14" s="314"/>
      <c r="O14" s="324"/>
      <c r="R14" s="2776"/>
      <c r="S14" s="2776"/>
      <c r="T14" s="2776"/>
    </row>
    <row r="15" spans="2:20" ht="16">
      <c r="B15" s="1188" t="s">
        <v>802</v>
      </c>
      <c r="C15" s="246"/>
      <c r="D15" s="5"/>
      <c r="E15" s="318">
        <f t="shared" si="0"/>
        <v>0</v>
      </c>
      <c r="F15" s="5"/>
      <c r="G15" s="318">
        <f t="shared" si="1"/>
        <v>0</v>
      </c>
      <c r="H15" s="5"/>
      <c r="I15" s="318">
        <f t="shared" si="2"/>
        <v>0</v>
      </c>
      <c r="J15" s="5"/>
      <c r="K15" s="320">
        <f t="shared" si="3"/>
        <v>0</v>
      </c>
      <c r="L15" s="321"/>
      <c r="M15" s="57"/>
      <c r="N15" s="314"/>
      <c r="O15" s="324"/>
      <c r="R15" s="2776"/>
      <c r="S15" s="2776"/>
      <c r="T15" s="2776"/>
    </row>
    <row r="16" spans="2:20" ht="16">
      <c r="B16" s="1188" t="s">
        <v>803</v>
      </c>
      <c r="C16" s="246"/>
      <c r="D16" s="5"/>
      <c r="E16" s="318">
        <f t="shared" si="0"/>
        <v>0</v>
      </c>
      <c r="F16" s="5"/>
      <c r="G16" s="318">
        <f t="shared" si="1"/>
        <v>0</v>
      </c>
      <c r="H16" s="5"/>
      <c r="I16" s="318">
        <f t="shared" si="2"/>
        <v>0</v>
      </c>
      <c r="J16" s="5"/>
      <c r="K16" s="320">
        <f t="shared" si="3"/>
        <v>0</v>
      </c>
      <c r="L16" s="321"/>
      <c r="M16" s="57"/>
      <c r="N16" s="314"/>
      <c r="O16" s="324"/>
      <c r="R16" s="2776"/>
      <c r="S16" s="2776"/>
      <c r="T16" s="2776"/>
    </row>
    <row r="17" spans="2:20" ht="16">
      <c r="B17" s="1188" t="s">
        <v>804</v>
      </c>
      <c r="C17" s="246"/>
      <c r="D17" s="333">
        <f>D15-D16</f>
        <v>0</v>
      </c>
      <c r="E17" s="318">
        <f t="shared" si="0"/>
        <v>0</v>
      </c>
      <c r="F17" s="333">
        <f>F15-F16</f>
        <v>0</v>
      </c>
      <c r="G17" s="318">
        <f t="shared" si="1"/>
        <v>0</v>
      </c>
      <c r="H17" s="333">
        <f>H15-H16</f>
        <v>0</v>
      </c>
      <c r="I17" s="318">
        <f t="shared" si="2"/>
        <v>0</v>
      </c>
      <c r="J17" s="333">
        <f>J15-J16</f>
        <v>0</v>
      </c>
      <c r="K17" s="320">
        <f t="shared" si="3"/>
        <v>0</v>
      </c>
      <c r="L17" s="321"/>
      <c r="M17" s="57"/>
      <c r="N17" s="314"/>
      <c r="O17" s="324"/>
      <c r="R17" s="2776"/>
      <c r="S17" s="2776"/>
      <c r="T17" s="2776"/>
    </row>
    <row r="18" spans="2:20" ht="16">
      <c r="B18" s="236" t="s">
        <v>194</v>
      </c>
      <c r="C18" s="1053"/>
      <c r="D18" s="506">
        <f>D9+D12+D15</f>
        <v>0</v>
      </c>
      <c r="E18" s="318">
        <f t="shared" si="0"/>
        <v>0</v>
      </c>
      <c r="F18" s="506">
        <f>F9+F12+F15</f>
        <v>0</v>
      </c>
      <c r="G18" s="318">
        <f t="shared" si="1"/>
        <v>0</v>
      </c>
      <c r="H18" s="506">
        <f>H9+H12+H15</f>
        <v>0</v>
      </c>
      <c r="I18" s="318">
        <f t="shared" si="2"/>
        <v>0</v>
      </c>
      <c r="J18" s="506">
        <f>J9+J12+J15</f>
        <v>0</v>
      </c>
      <c r="K18" s="320">
        <f t="shared" si="3"/>
        <v>0</v>
      </c>
      <c r="L18" s="321"/>
      <c r="M18" s="57"/>
      <c r="N18" s="314"/>
      <c r="O18" s="324"/>
      <c r="R18" s="2776"/>
      <c r="S18" s="2776"/>
      <c r="T18" s="2776"/>
    </row>
    <row r="19" spans="2:20" ht="16">
      <c r="B19" s="236" t="s">
        <v>195</v>
      </c>
      <c r="C19" s="1053"/>
      <c r="D19" s="507">
        <f>D10+D13+D16</f>
        <v>0</v>
      </c>
      <c r="E19" s="318">
        <f t="shared" si="0"/>
        <v>0</v>
      </c>
      <c r="F19" s="507">
        <f>F10+F13+F16</f>
        <v>0</v>
      </c>
      <c r="G19" s="318">
        <f t="shared" si="1"/>
        <v>0</v>
      </c>
      <c r="H19" s="507">
        <f>H10+H13+H16</f>
        <v>0</v>
      </c>
      <c r="I19" s="318">
        <f t="shared" si="2"/>
        <v>0</v>
      </c>
      <c r="J19" s="507">
        <f>J10+J13+J16</f>
        <v>0</v>
      </c>
      <c r="K19" s="320">
        <f t="shared" si="3"/>
        <v>0</v>
      </c>
      <c r="L19" s="321"/>
      <c r="M19" s="57">
        <f>IF(M20=0,0,(100%-M20))</f>
        <v>0</v>
      </c>
      <c r="N19" s="314"/>
      <c r="O19" s="324"/>
      <c r="R19" s="2776"/>
      <c r="S19" s="2776"/>
      <c r="T19" s="2776"/>
    </row>
    <row r="20" spans="2:20" ht="16">
      <c r="B20" s="236" t="s">
        <v>196</v>
      </c>
      <c r="C20" s="1053"/>
      <c r="D20" s="508">
        <f>D18-D19</f>
        <v>0</v>
      </c>
      <c r="E20" s="318">
        <f t="shared" si="0"/>
        <v>0</v>
      </c>
      <c r="F20" s="508">
        <f>F18-F19</f>
        <v>0</v>
      </c>
      <c r="G20" s="318">
        <f t="shared" si="1"/>
        <v>0</v>
      </c>
      <c r="H20" s="508">
        <f>H18-H19</f>
        <v>0</v>
      </c>
      <c r="I20" s="318">
        <f t="shared" si="2"/>
        <v>0</v>
      </c>
      <c r="J20" s="508">
        <f>J18-J19</f>
        <v>0</v>
      </c>
      <c r="K20" s="320">
        <f t="shared" si="3"/>
        <v>0</v>
      </c>
      <c r="L20" s="321"/>
      <c r="M20" s="57"/>
      <c r="N20" s="314"/>
      <c r="O20" s="324"/>
      <c r="R20" s="2776"/>
      <c r="S20" s="2776"/>
      <c r="T20" s="2776"/>
    </row>
    <row r="21" spans="2:20" ht="16" hidden="1">
      <c r="B21" s="236"/>
      <c r="C21" s="1053"/>
      <c r="D21" s="644"/>
      <c r="E21" s="634"/>
      <c r="F21" s="644"/>
      <c r="G21" s="634"/>
      <c r="H21" s="644"/>
      <c r="I21" s="634"/>
      <c r="J21" s="644"/>
      <c r="K21" s="637"/>
      <c r="L21" s="1184"/>
      <c r="M21" s="57"/>
      <c r="N21" s="314"/>
      <c r="O21" s="324"/>
      <c r="R21" s="6"/>
      <c r="S21" s="6"/>
      <c r="T21" s="6"/>
    </row>
    <row r="22" spans="2:20" ht="16" hidden="1">
      <c r="B22" s="236"/>
      <c r="C22" s="1053"/>
      <c r="D22" s="644"/>
      <c r="E22" s="634"/>
      <c r="F22" s="644"/>
      <c r="G22" s="634"/>
      <c r="H22" s="644"/>
      <c r="I22" s="634"/>
      <c r="J22" s="644"/>
      <c r="K22" s="637"/>
      <c r="L22" s="1184"/>
      <c r="M22" s="57"/>
      <c r="N22" s="314"/>
      <c r="O22" s="324"/>
      <c r="R22" s="6"/>
      <c r="S22" s="6"/>
      <c r="T22" s="6"/>
    </row>
    <row r="23" spans="2:20" ht="16" hidden="1">
      <c r="B23" s="236"/>
      <c r="C23" s="1053"/>
      <c r="D23" s="644"/>
      <c r="E23" s="634"/>
      <c r="F23" s="644"/>
      <c r="G23" s="634"/>
      <c r="H23" s="644"/>
      <c r="I23" s="634"/>
      <c r="J23" s="644"/>
      <c r="K23" s="637"/>
      <c r="L23" s="1184"/>
      <c r="M23" s="57"/>
      <c r="N23" s="314"/>
      <c r="O23" s="324"/>
      <c r="R23" s="6"/>
      <c r="S23" s="6"/>
      <c r="T23" s="6"/>
    </row>
    <row r="24" spans="2:20" ht="16">
      <c r="B24" s="236"/>
      <c r="C24" s="1053"/>
      <c r="D24" s="644"/>
      <c r="E24" s="634"/>
      <c r="F24" s="644"/>
      <c r="G24" s="634"/>
      <c r="H24" s="644"/>
      <c r="I24" s="634"/>
      <c r="J24" s="644"/>
      <c r="K24" s="637"/>
      <c r="L24" s="1184"/>
      <c r="M24" s="57"/>
      <c r="N24" s="314"/>
      <c r="O24" s="325"/>
      <c r="R24" s="2776"/>
      <c r="S24" s="2776"/>
      <c r="T24" s="2776"/>
    </row>
    <row r="25" spans="2:20" ht="16">
      <c r="B25" s="236" t="s">
        <v>197</v>
      </c>
      <c r="C25" s="1053"/>
      <c r="D25" s="509"/>
      <c r="E25" s="318"/>
      <c r="F25" s="509"/>
      <c r="G25" s="318"/>
      <c r="H25" s="509"/>
      <c r="I25" s="318"/>
      <c r="J25" s="509"/>
      <c r="K25" s="320"/>
      <c r="L25" s="321"/>
      <c r="M25" s="57"/>
      <c r="N25" s="314"/>
      <c r="O25" s="324"/>
      <c r="R25" s="2776"/>
      <c r="S25" s="2776"/>
      <c r="T25" s="2776"/>
    </row>
    <row r="26" spans="2:20" ht="16">
      <c r="B26" s="233" t="s">
        <v>198</v>
      </c>
      <c r="C26" s="246"/>
      <c r="D26" s="5"/>
      <c r="E26" s="318">
        <f t="shared" ref="E26:E63" si="4">IF($D$18=0,0,D26/$D$18)</f>
        <v>0</v>
      </c>
      <c r="F26" s="5"/>
      <c r="G26" s="318">
        <f t="shared" ref="G26:G63" si="5">IF($F$18=0,0,F26/$F$18)</f>
        <v>0</v>
      </c>
      <c r="H26" s="5"/>
      <c r="I26" s="318">
        <f t="shared" ref="I26:I50" si="6">IF($H$18=0,0,H26/$H$18)</f>
        <v>0</v>
      </c>
      <c r="J26" s="5"/>
      <c r="K26" s="320">
        <f t="shared" ref="K26:K50" si="7">IF($J$18=0,0,J26/$J$18)</f>
        <v>0</v>
      </c>
      <c r="L26" s="321"/>
      <c r="M26" s="57"/>
      <c r="N26" s="314"/>
      <c r="O26" s="324"/>
      <c r="R26" s="2776"/>
      <c r="S26" s="2776"/>
      <c r="T26" s="2776"/>
    </row>
    <row r="27" spans="2:20" ht="16">
      <c r="B27" s="233" t="s">
        <v>200</v>
      </c>
      <c r="C27" s="246"/>
      <c r="D27" s="5"/>
      <c r="E27" s="318">
        <f t="shared" si="4"/>
        <v>0</v>
      </c>
      <c r="F27" s="5"/>
      <c r="G27" s="318">
        <f t="shared" si="5"/>
        <v>0</v>
      </c>
      <c r="H27" s="5"/>
      <c r="I27" s="318">
        <f t="shared" si="6"/>
        <v>0</v>
      </c>
      <c r="J27" s="5"/>
      <c r="K27" s="320">
        <f t="shared" si="7"/>
        <v>0</v>
      </c>
      <c r="L27" s="321"/>
      <c r="M27" s="57"/>
      <c r="N27" s="314"/>
      <c r="O27" s="324"/>
      <c r="R27" s="2776"/>
      <c r="S27" s="2776"/>
      <c r="T27" s="2776"/>
    </row>
    <row r="28" spans="2:20" ht="16">
      <c r="B28" s="233" t="s">
        <v>201</v>
      </c>
      <c r="C28" s="246"/>
      <c r="D28" s="5"/>
      <c r="E28" s="318">
        <f t="shared" si="4"/>
        <v>0</v>
      </c>
      <c r="F28" s="5"/>
      <c r="G28" s="318">
        <f t="shared" si="5"/>
        <v>0</v>
      </c>
      <c r="H28" s="5"/>
      <c r="I28" s="318">
        <f t="shared" si="6"/>
        <v>0</v>
      </c>
      <c r="J28" s="5"/>
      <c r="K28" s="320">
        <f t="shared" si="7"/>
        <v>0</v>
      </c>
      <c r="L28" s="321"/>
      <c r="M28" s="57"/>
      <c r="N28" s="314"/>
      <c r="O28" s="324"/>
      <c r="R28" s="2776"/>
      <c r="S28" s="2776"/>
      <c r="T28" s="2776"/>
    </row>
    <row r="29" spans="2:20" ht="16">
      <c r="B29" s="233" t="s">
        <v>202</v>
      </c>
      <c r="C29" s="246"/>
      <c r="D29" s="5"/>
      <c r="E29" s="318">
        <f t="shared" si="4"/>
        <v>0</v>
      </c>
      <c r="F29" s="5"/>
      <c r="G29" s="318">
        <f t="shared" si="5"/>
        <v>0</v>
      </c>
      <c r="H29" s="5"/>
      <c r="I29" s="318">
        <f t="shared" si="6"/>
        <v>0</v>
      </c>
      <c r="J29" s="5"/>
      <c r="K29" s="320">
        <f t="shared" si="7"/>
        <v>0</v>
      </c>
      <c r="L29" s="321"/>
      <c r="M29" s="57"/>
      <c r="N29" s="314"/>
      <c r="O29" s="324"/>
      <c r="R29" s="2776"/>
      <c r="S29" s="2776"/>
      <c r="T29" s="2776"/>
    </row>
    <row r="30" spans="2:20" ht="16">
      <c r="B30" s="233" t="s">
        <v>203</v>
      </c>
      <c r="C30" s="246"/>
      <c r="D30" s="5"/>
      <c r="E30" s="318">
        <f t="shared" si="4"/>
        <v>0</v>
      </c>
      <c r="F30" s="5"/>
      <c r="G30" s="318">
        <f t="shared" si="5"/>
        <v>0</v>
      </c>
      <c r="H30" s="5"/>
      <c r="I30" s="318">
        <f t="shared" si="6"/>
        <v>0</v>
      </c>
      <c r="J30" s="5"/>
      <c r="K30" s="320">
        <f t="shared" si="7"/>
        <v>0</v>
      </c>
      <c r="L30" s="321"/>
      <c r="M30" s="57"/>
      <c r="N30" s="314"/>
      <c r="O30" s="324"/>
      <c r="R30" s="2776"/>
      <c r="S30" s="2776"/>
      <c r="T30" s="2776"/>
    </row>
    <row r="31" spans="2:20" ht="16">
      <c r="B31" s="233" t="s">
        <v>204</v>
      </c>
      <c r="C31" s="246"/>
      <c r="D31" s="5"/>
      <c r="E31" s="318">
        <f t="shared" si="4"/>
        <v>0</v>
      </c>
      <c r="F31" s="5"/>
      <c r="G31" s="318">
        <f t="shared" si="5"/>
        <v>0</v>
      </c>
      <c r="H31" s="5"/>
      <c r="I31" s="318">
        <f t="shared" si="6"/>
        <v>0</v>
      </c>
      <c r="J31" s="5"/>
      <c r="K31" s="320">
        <f t="shared" si="7"/>
        <v>0</v>
      </c>
      <c r="L31" s="321"/>
      <c r="M31" s="57"/>
      <c r="N31" s="314"/>
      <c r="O31" s="324"/>
      <c r="R31" s="2776"/>
      <c r="S31" s="2776"/>
      <c r="T31" s="2776"/>
    </row>
    <row r="32" spans="2:20" ht="16">
      <c r="B32" s="233" t="s">
        <v>205</v>
      </c>
      <c r="C32" s="246"/>
      <c r="D32" s="5"/>
      <c r="E32" s="318">
        <f t="shared" si="4"/>
        <v>0</v>
      </c>
      <c r="F32" s="5"/>
      <c r="G32" s="318">
        <f t="shared" si="5"/>
        <v>0</v>
      </c>
      <c r="H32" s="5"/>
      <c r="I32" s="318">
        <f t="shared" si="6"/>
        <v>0</v>
      </c>
      <c r="J32" s="5"/>
      <c r="K32" s="320">
        <f t="shared" si="7"/>
        <v>0</v>
      </c>
      <c r="L32" s="321"/>
      <c r="M32" s="57"/>
      <c r="N32" s="314"/>
      <c r="O32" s="324"/>
      <c r="R32" s="2776"/>
      <c r="S32" s="2776"/>
      <c r="T32" s="2776"/>
    </row>
    <row r="33" spans="2:20" ht="16">
      <c r="B33" s="233" t="s">
        <v>206</v>
      </c>
      <c r="C33" s="246"/>
      <c r="D33" s="5"/>
      <c r="E33" s="318">
        <f t="shared" si="4"/>
        <v>0</v>
      </c>
      <c r="F33" s="5"/>
      <c r="G33" s="318">
        <f t="shared" si="5"/>
        <v>0</v>
      </c>
      <c r="H33" s="5"/>
      <c r="I33" s="318">
        <f t="shared" si="6"/>
        <v>0</v>
      </c>
      <c r="J33" s="5"/>
      <c r="K33" s="320">
        <f t="shared" si="7"/>
        <v>0</v>
      </c>
      <c r="L33" s="321"/>
      <c r="M33" s="57"/>
      <c r="N33" s="314"/>
      <c r="O33" s="324"/>
      <c r="R33" s="2776"/>
      <c r="S33" s="2776"/>
      <c r="T33" s="2776"/>
    </row>
    <row r="34" spans="2:20" ht="16">
      <c r="B34" s="233" t="s">
        <v>207</v>
      </c>
      <c r="C34" s="246"/>
      <c r="D34" s="5"/>
      <c r="E34" s="318">
        <f t="shared" si="4"/>
        <v>0</v>
      </c>
      <c r="F34" s="5"/>
      <c r="G34" s="318">
        <f t="shared" si="5"/>
        <v>0</v>
      </c>
      <c r="H34" s="5"/>
      <c r="I34" s="318">
        <f t="shared" si="6"/>
        <v>0</v>
      </c>
      <c r="J34" s="5"/>
      <c r="K34" s="320">
        <f t="shared" si="7"/>
        <v>0</v>
      </c>
      <c r="L34" s="321"/>
      <c r="M34" s="57"/>
      <c r="N34" s="314"/>
      <c r="O34" s="324"/>
      <c r="R34" s="2901"/>
      <c r="S34" s="2901"/>
      <c r="T34" s="2901"/>
    </row>
    <row r="35" spans="2:20" ht="16">
      <c r="B35" s="233" t="s">
        <v>208</v>
      </c>
      <c r="C35" s="246"/>
      <c r="D35" s="5"/>
      <c r="E35" s="318">
        <f t="shared" si="4"/>
        <v>0</v>
      </c>
      <c r="F35" s="5"/>
      <c r="G35" s="318">
        <f t="shared" si="5"/>
        <v>0</v>
      </c>
      <c r="H35" s="5"/>
      <c r="I35" s="318">
        <f t="shared" si="6"/>
        <v>0</v>
      </c>
      <c r="J35" s="5"/>
      <c r="K35" s="320">
        <f t="shared" si="7"/>
        <v>0</v>
      </c>
      <c r="L35" s="321"/>
      <c r="M35" s="57"/>
      <c r="N35" s="314"/>
      <c r="O35" s="324"/>
      <c r="R35" s="2776"/>
      <c r="S35" s="2776"/>
      <c r="T35" s="2776"/>
    </row>
    <row r="36" spans="2:20" ht="16">
      <c r="B36" s="233" t="s">
        <v>209</v>
      </c>
      <c r="C36" s="246"/>
      <c r="D36" s="5"/>
      <c r="E36" s="318">
        <f t="shared" si="4"/>
        <v>0</v>
      </c>
      <c r="F36" s="5"/>
      <c r="G36" s="318">
        <f t="shared" si="5"/>
        <v>0</v>
      </c>
      <c r="H36" s="5"/>
      <c r="I36" s="318">
        <f t="shared" si="6"/>
        <v>0</v>
      </c>
      <c r="J36" s="5"/>
      <c r="K36" s="320">
        <f t="shared" si="7"/>
        <v>0</v>
      </c>
      <c r="L36" s="321"/>
      <c r="M36" s="57"/>
      <c r="N36" s="314"/>
      <c r="O36" s="324"/>
      <c r="R36" s="2776"/>
      <c r="S36" s="2776"/>
      <c r="T36" s="2776"/>
    </row>
    <row r="37" spans="2:20" ht="16">
      <c r="B37" s="233" t="s">
        <v>210</v>
      </c>
      <c r="C37" s="246"/>
      <c r="D37" s="5"/>
      <c r="E37" s="318">
        <f t="shared" si="4"/>
        <v>0</v>
      </c>
      <c r="F37" s="5"/>
      <c r="G37" s="318">
        <f t="shared" si="5"/>
        <v>0</v>
      </c>
      <c r="H37" s="5"/>
      <c r="I37" s="318">
        <f t="shared" si="6"/>
        <v>0</v>
      </c>
      <c r="J37" s="5"/>
      <c r="K37" s="320">
        <f t="shared" si="7"/>
        <v>0</v>
      </c>
      <c r="L37" s="321"/>
      <c r="M37" s="57"/>
      <c r="N37" s="314"/>
      <c r="O37" s="324"/>
      <c r="R37" s="2776"/>
      <c r="S37" s="2776"/>
      <c r="T37" s="2776"/>
    </row>
    <row r="38" spans="2:20" ht="16">
      <c r="B38" s="233" t="s">
        <v>211</v>
      </c>
      <c r="C38" s="246"/>
      <c r="D38" s="5"/>
      <c r="E38" s="318">
        <f t="shared" si="4"/>
        <v>0</v>
      </c>
      <c r="F38" s="5"/>
      <c r="G38" s="318">
        <f t="shared" si="5"/>
        <v>0</v>
      </c>
      <c r="H38" s="5"/>
      <c r="I38" s="318">
        <f t="shared" si="6"/>
        <v>0</v>
      </c>
      <c r="J38" s="5"/>
      <c r="K38" s="320">
        <f t="shared" si="7"/>
        <v>0</v>
      </c>
      <c r="L38" s="321"/>
      <c r="M38" s="57"/>
      <c r="N38" s="314"/>
      <c r="O38" s="324"/>
      <c r="R38" s="2901"/>
      <c r="S38" s="2901"/>
      <c r="T38" s="2901"/>
    </row>
    <row r="39" spans="2:20" ht="16">
      <c r="B39" s="233" t="s">
        <v>212</v>
      </c>
      <c r="C39" s="246"/>
      <c r="D39" s="5"/>
      <c r="E39" s="318">
        <f t="shared" si="4"/>
        <v>0</v>
      </c>
      <c r="F39" s="5"/>
      <c r="G39" s="318">
        <f t="shared" si="5"/>
        <v>0</v>
      </c>
      <c r="H39" s="5"/>
      <c r="I39" s="318">
        <f t="shared" si="6"/>
        <v>0</v>
      </c>
      <c r="J39" s="5"/>
      <c r="K39" s="320">
        <f t="shared" si="7"/>
        <v>0</v>
      </c>
      <c r="L39" s="321"/>
      <c r="M39" s="57"/>
      <c r="N39" s="314"/>
      <c r="O39" s="324"/>
    </row>
    <row r="40" spans="2:20" ht="16">
      <c r="B40" s="233" t="s">
        <v>213</v>
      </c>
      <c r="C40" s="246"/>
      <c r="D40" s="5"/>
      <c r="E40" s="318">
        <f t="shared" si="4"/>
        <v>0</v>
      </c>
      <c r="F40" s="5"/>
      <c r="G40" s="318">
        <f t="shared" si="5"/>
        <v>0</v>
      </c>
      <c r="H40" s="5"/>
      <c r="I40" s="318">
        <f t="shared" si="6"/>
        <v>0</v>
      </c>
      <c r="J40" s="5"/>
      <c r="K40" s="320">
        <f t="shared" si="7"/>
        <v>0</v>
      </c>
      <c r="L40" s="321"/>
      <c r="M40" s="57"/>
      <c r="N40" s="314"/>
      <c r="O40" s="324"/>
    </row>
    <row r="41" spans="2:20" ht="16">
      <c r="B41" s="233" t="s">
        <v>214</v>
      </c>
      <c r="C41" s="246"/>
      <c r="D41" s="5"/>
      <c r="E41" s="318">
        <f t="shared" si="4"/>
        <v>0</v>
      </c>
      <c r="F41" s="5"/>
      <c r="G41" s="318">
        <f t="shared" si="5"/>
        <v>0</v>
      </c>
      <c r="H41" s="5"/>
      <c r="I41" s="318">
        <f t="shared" si="6"/>
        <v>0</v>
      </c>
      <c r="J41" s="5"/>
      <c r="K41" s="320">
        <f t="shared" si="7"/>
        <v>0</v>
      </c>
      <c r="L41" s="321"/>
      <c r="M41" s="57"/>
      <c r="N41" s="314"/>
      <c r="O41" s="324"/>
    </row>
    <row r="42" spans="2:20" ht="16">
      <c r="B42" s="233" t="s">
        <v>215</v>
      </c>
      <c r="C42" s="246"/>
      <c r="D42" s="5"/>
      <c r="E42" s="318">
        <f t="shared" si="4"/>
        <v>0</v>
      </c>
      <c r="F42" s="5"/>
      <c r="G42" s="318">
        <f t="shared" si="5"/>
        <v>0</v>
      </c>
      <c r="H42" s="5"/>
      <c r="I42" s="318">
        <f t="shared" si="6"/>
        <v>0</v>
      </c>
      <c r="J42" s="5"/>
      <c r="K42" s="320">
        <f t="shared" si="7"/>
        <v>0</v>
      </c>
      <c r="L42" s="321"/>
      <c r="M42" s="57"/>
      <c r="N42" s="314"/>
      <c r="O42" s="324"/>
    </row>
    <row r="43" spans="2:20" ht="15.5" hidden="1" customHeight="1">
      <c r="B43" s="233" t="s">
        <v>216</v>
      </c>
      <c r="C43" s="246"/>
      <c r="D43" s="5"/>
      <c r="E43" s="318">
        <f t="shared" si="4"/>
        <v>0</v>
      </c>
      <c r="F43" s="5"/>
      <c r="G43" s="318">
        <f t="shared" si="5"/>
        <v>0</v>
      </c>
      <c r="H43" s="5"/>
      <c r="I43" s="318">
        <f t="shared" si="6"/>
        <v>0</v>
      </c>
      <c r="J43" s="5"/>
      <c r="K43" s="320">
        <f t="shared" si="7"/>
        <v>0</v>
      </c>
      <c r="L43" s="321"/>
      <c r="M43" s="57"/>
      <c r="N43" s="314"/>
      <c r="O43" s="324"/>
    </row>
    <row r="44" spans="2:20" ht="15.5" hidden="1" customHeight="1">
      <c r="B44" s="233" t="s">
        <v>217</v>
      </c>
      <c r="C44" s="246"/>
      <c r="D44" s="5"/>
      <c r="E44" s="318">
        <f t="shared" si="4"/>
        <v>0</v>
      </c>
      <c r="F44" s="5"/>
      <c r="G44" s="318">
        <f t="shared" si="5"/>
        <v>0</v>
      </c>
      <c r="H44" s="5"/>
      <c r="I44" s="318">
        <f t="shared" si="6"/>
        <v>0</v>
      </c>
      <c r="J44" s="5"/>
      <c r="K44" s="320">
        <f t="shared" si="7"/>
        <v>0</v>
      </c>
      <c r="L44" s="321"/>
      <c r="M44" s="57"/>
      <c r="N44" s="314"/>
      <c r="O44" s="324"/>
    </row>
    <row r="45" spans="2:20" ht="15.5" hidden="1" customHeight="1">
      <c r="B45" s="1188" t="s">
        <v>218</v>
      </c>
      <c r="C45" s="246"/>
      <c r="D45" s="5"/>
      <c r="E45" s="318">
        <f t="shared" si="4"/>
        <v>0</v>
      </c>
      <c r="F45" s="5"/>
      <c r="G45" s="318">
        <f t="shared" si="5"/>
        <v>0</v>
      </c>
      <c r="H45" s="5"/>
      <c r="I45" s="318">
        <f t="shared" si="6"/>
        <v>0</v>
      </c>
      <c r="J45" s="5"/>
      <c r="K45" s="320">
        <f t="shared" si="7"/>
        <v>0</v>
      </c>
      <c r="L45" s="321"/>
      <c r="M45" s="57"/>
      <c r="N45" s="314"/>
      <c r="O45" s="324"/>
    </row>
    <row r="46" spans="2:20" ht="15.5" hidden="1" customHeight="1">
      <c r="B46" s="1188" t="s">
        <v>218</v>
      </c>
      <c r="C46" s="246"/>
      <c r="D46" s="5"/>
      <c r="E46" s="318">
        <f t="shared" si="4"/>
        <v>0</v>
      </c>
      <c r="F46" s="5"/>
      <c r="G46" s="318">
        <f t="shared" si="5"/>
        <v>0</v>
      </c>
      <c r="H46" s="5"/>
      <c r="I46" s="318">
        <f t="shared" si="6"/>
        <v>0</v>
      </c>
      <c r="J46" s="5"/>
      <c r="K46" s="320">
        <f t="shared" si="7"/>
        <v>0</v>
      </c>
      <c r="L46" s="321"/>
      <c r="M46" s="57"/>
      <c r="N46" s="314"/>
      <c r="O46" s="324"/>
    </row>
    <row r="47" spans="2:20" ht="15.5" hidden="1" customHeight="1">
      <c r="B47" s="1188" t="s">
        <v>218</v>
      </c>
      <c r="C47" s="246"/>
      <c r="D47" s="5"/>
      <c r="E47" s="318">
        <f t="shared" si="4"/>
        <v>0</v>
      </c>
      <c r="F47" s="5"/>
      <c r="G47" s="318">
        <f t="shared" si="5"/>
        <v>0</v>
      </c>
      <c r="H47" s="5"/>
      <c r="I47" s="318">
        <f t="shared" si="6"/>
        <v>0</v>
      </c>
      <c r="J47" s="5"/>
      <c r="K47" s="320">
        <f t="shared" si="7"/>
        <v>0</v>
      </c>
      <c r="L47" s="321"/>
      <c r="M47" s="57"/>
      <c r="N47" s="314"/>
      <c r="O47" s="324"/>
    </row>
    <row r="48" spans="2:20" ht="16">
      <c r="B48" s="1188" t="s">
        <v>218</v>
      </c>
      <c r="C48" s="246"/>
      <c r="D48" s="5"/>
      <c r="E48" s="318">
        <f t="shared" si="4"/>
        <v>0</v>
      </c>
      <c r="F48" s="5"/>
      <c r="G48" s="318">
        <f t="shared" si="5"/>
        <v>0</v>
      </c>
      <c r="H48" s="5"/>
      <c r="I48" s="318">
        <f t="shared" si="6"/>
        <v>0</v>
      </c>
      <c r="J48" s="5"/>
      <c r="K48" s="320">
        <f t="shared" si="7"/>
        <v>0</v>
      </c>
      <c r="L48" s="321"/>
      <c r="M48" s="57"/>
      <c r="N48" s="314"/>
      <c r="O48" s="324"/>
    </row>
    <row r="49" spans="2:15" ht="16">
      <c r="B49" s="1188" t="s">
        <v>218</v>
      </c>
      <c r="C49" s="246"/>
      <c r="D49" s="5"/>
      <c r="E49" s="318">
        <f t="shared" si="4"/>
        <v>0</v>
      </c>
      <c r="F49" s="5"/>
      <c r="G49" s="318">
        <f t="shared" si="5"/>
        <v>0</v>
      </c>
      <c r="H49" s="5"/>
      <c r="I49" s="318">
        <f t="shared" si="6"/>
        <v>0</v>
      </c>
      <c r="J49" s="5"/>
      <c r="K49" s="320">
        <f t="shared" si="7"/>
        <v>0</v>
      </c>
      <c r="L49" s="321"/>
      <c r="M49" s="57"/>
      <c r="N49" s="314"/>
      <c r="O49" s="324"/>
    </row>
    <row r="50" spans="2:15" ht="16">
      <c r="B50" s="236" t="s">
        <v>219</v>
      </c>
      <c r="C50" s="1053"/>
      <c r="D50" s="510">
        <f>SUM(D26:D49)</f>
        <v>0</v>
      </c>
      <c r="E50" s="318">
        <f t="shared" si="4"/>
        <v>0</v>
      </c>
      <c r="F50" s="510">
        <f>SUM(F26:F49)</f>
        <v>0</v>
      </c>
      <c r="G50" s="318">
        <f t="shared" si="5"/>
        <v>0</v>
      </c>
      <c r="H50" s="510">
        <f>SUM(H26:H49)</f>
        <v>0</v>
      </c>
      <c r="I50" s="318">
        <f t="shared" si="6"/>
        <v>0</v>
      </c>
      <c r="J50" s="510">
        <f>SUM(J26:J49)</f>
        <v>0</v>
      </c>
      <c r="K50" s="320">
        <f t="shared" si="7"/>
        <v>0</v>
      </c>
      <c r="L50" s="321"/>
      <c r="M50" s="57"/>
      <c r="N50" s="314"/>
      <c r="O50" s="324"/>
    </row>
    <row r="51" spans="2:15" ht="16">
      <c r="B51" s="236"/>
      <c r="C51" s="1053"/>
      <c r="D51" s="511"/>
      <c r="E51" s="319"/>
      <c r="F51" s="511"/>
      <c r="G51" s="319"/>
      <c r="H51" s="511"/>
      <c r="I51" s="319"/>
      <c r="J51" s="511"/>
      <c r="K51" s="1096"/>
      <c r="L51" s="1185"/>
      <c r="M51" s="57"/>
      <c r="N51" s="314"/>
      <c r="O51" s="325"/>
    </row>
    <row r="52" spans="2:15" ht="16">
      <c r="B52" s="236" t="s">
        <v>220</v>
      </c>
      <c r="C52" s="1053"/>
      <c r="D52" s="510">
        <f>D20-D50</f>
        <v>0</v>
      </c>
      <c r="E52" s="318">
        <f t="shared" si="4"/>
        <v>0</v>
      </c>
      <c r="F52" s="510">
        <f>F20-F50</f>
        <v>0</v>
      </c>
      <c r="G52" s="318">
        <f t="shared" si="5"/>
        <v>0</v>
      </c>
      <c r="H52" s="510">
        <f>H20-H50</f>
        <v>0</v>
      </c>
      <c r="I52" s="318">
        <f t="shared" ref="I52" si="8">IF($H$18=0,0,H52/$H$18)</f>
        <v>0</v>
      </c>
      <c r="J52" s="510">
        <f>J20-J50</f>
        <v>0</v>
      </c>
      <c r="K52" s="320">
        <f t="shared" ref="K52" si="9">IF($J$18=0,0,J52/$J$18)</f>
        <v>0</v>
      </c>
      <c r="L52" s="321"/>
      <c r="M52" s="57"/>
      <c r="N52" s="314"/>
      <c r="O52" s="324"/>
    </row>
    <row r="53" spans="2:15" ht="16">
      <c r="B53" s="236"/>
      <c r="C53" s="1053"/>
      <c r="D53" s="512"/>
      <c r="E53" s="319"/>
      <c r="F53" s="512"/>
      <c r="G53" s="319"/>
      <c r="H53" s="512"/>
      <c r="I53" s="319"/>
      <c r="J53" s="512"/>
      <c r="K53" s="1096"/>
      <c r="L53" s="1185"/>
      <c r="M53" s="57"/>
      <c r="N53" s="314"/>
      <c r="O53" s="325"/>
    </row>
    <row r="54" spans="2:15" ht="16">
      <c r="B54" s="1188" t="s">
        <v>221</v>
      </c>
      <c r="C54" s="246"/>
      <c r="D54" s="5"/>
      <c r="E54" s="318">
        <f t="shared" si="4"/>
        <v>0</v>
      </c>
      <c r="F54" s="5"/>
      <c r="G54" s="318">
        <f t="shared" si="5"/>
        <v>0</v>
      </c>
      <c r="H54" s="5"/>
      <c r="I54" s="318">
        <f t="shared" ref="I54:I58" si="10">IF($H$18=0,0,H54/$H$18)</f>
        <v>0</v>
      </c>
      <c r="J54" s="5"/>
      <c r="K54" s="320">
        <f t="shared" ref="K54:K58" si="11">IF($J$18=0,0,J54/$J$18)</f>
        <v>0</v>
      </c>
      <c r="L54" s="321"/>
      <c r="M54" s="57"/>
      <c r="N54" s="314"/>
      <c r="O54" s="324"/>
    </row>
    <row r="55" spans="2:15" ht="16">
      <c r="B55" s="1188" t="s">
        <v>221</v>
      </c>
      <c r="C55" s="246"/>
      <c r="D55" s="5"/>
      <c r="E55" s="318">
        <f t="shared" si="4"/>
        <v>0</v>
      </c>
      <c r="F55" s="5"/>
      <c r="G55" s="318">
        <f t="shared" si="5"/>
        <v>0</v>
      </c>
      <c r="H55" s="5"/>
      <c r="I55" s="318">
        <f t="shared" si="10"/>
        <v>0</v>
      </c>
      <c r="J55" s="5"/>
      <c r="K55" s="320">
        <f t="shared" si="11"/>
        <v>0</v>
      </c>
      <c r="L55" s="321"/>
      <c r="M55" s="57"/>
      <c r="N55" s="314"/>
      <c r="O55" s="324"/>
    </row>
    <row r="56" spans="2:15" ht="16">
      <c r="B56" s="1188" t="s">
        <v>222</v>
      </c>
      <c r="C56" s="246"/>
      <c r="D56" s="5"/>
      <c r="E56" s="318">
        <f t="shared" si="4"/>
        <v>0</v>
      </c>
      <c r="F56" s="5"/>
      <c r="G56" s="318">
        <f t="shared" si="5"/>
        <v>0</v>
      </c>
      <c r="H56" s="5"/>
      <c r="I56" s="318">
        <f t="shared" si="10"/>
        <v>0</v>
      </c>
      <c r="J56" s="5"/>
      <c r="K56" s="320">
        <f t="shared" si="11"/>
        <v>0</v>
      </c>
      <c r="L56" s="321"/>
      <c r="M56" s="57"/>
      <c r="N56" s="314"/>
      <c r="O56" s="324"/>
    </row>
    <row r="57" spans="2:15" ht="16">
      <c r="B57" s="1188" t="s">
        <v>222</v>
      </c>
      <c r="C57" s="246"/>
      <c r="D57" s="5"/>
      <c r="E57" s="318">
        <f t="shared" si="4"/>
        <v>0</v>
      </c>
      <c r="F57" s="5"/>
      <c r="G57" s="318">
        <f t="shared" si="5"/>
        <v>0</v>
      </c>
      <c r="H57" s="5"/>
      <c r="I57" s="318">
        <f t="shared" si="10"/>
        <v>0</v>
      </c>
      <c r="J57" s="5"/>
      <c r="K57" s="320">
        <f t="shared" si="11"/>
        <v>0</v>
      </c>
      <c r="L57" s="321"/>
      <c r="M57" s="57"/>
      <c r="N57" s="314"/>
      <c r="O57" s="324"/>
    </row>
    <row r="58" spans="2:15" ht="16">
      <c r="B58" s="236" t="s">
        <v>223</v>
      </c>
      <c r="C58" s="1053"/>
      <c r="D58" s="510">
        <f>SUM(D54:D57)</f>
        <v>0</v>
      </c>
      <c r="E58" s="318">
        <f t="shared" si="4"/>
        <v>0</v>
      </c>
      <c r="F58" s="510">
        <f>SUM(F54:F57)</f>
        <v>0</v>
      </c>
      <c r="G58" s="318">
        <f t="shared" si="5"/>
        <v>0</v>
      </c>
      <c r="H58" s="510">
        <f>SUM(H54:H57)</f>
        <v>0</v>
      </c>
      <c r="I58" s="318">
        <f t="shared" si="10"/>
        <v>0</v>
      </c>
      <c r="J58" s="510">
        <f>SUM(J54:J57)</f>
        <v>0</v>
      </c>
      <c r="K58" s="320">
        <f t="shared" si="11"/>
        <v>0</v>
      </c>
      <c r="L58" s="321"/>
      <c r="M58" s="57"/>
      <c r="N58" s="314"/>
      <c r="O58" s="324"/>
    </row>
    <row r="59" spans="2:15" ht="16">
      <c r="B59" s="236"/>
      <c r="C59" s="1053"/>
      <c r="D59" s="511"/>
      <c r="E59" s="319"/>
      <c r="F59" s="511"/>
      <c r="G59" s="319"/>
      <c r="H59" s="511"/>
      <c r="I59" s="319"/>
      <c r="J59" s="511"/>
      <c r="K59" s="1096"/>
      <c r="L59" s="1185"/>
      <c r="M59" s="57"/>
      <c r="N59" s="314"/>
      <c r="O59" s="325"/>
    </row>
    <row r="60" spans="2:15" ht="16">
      <c r="B60" s="236" t="s">
        <v>224</v>
      </c>
      <c r="C60" s="1053"/>
      <c r="D60" s="510">
        <f>D20-D50+D58</f>
        <v>0</v>
      </c>
      <c r="E60" s="318">
        <f t="shared" si="4"/>
        <v>0</v>
      </c>
      <c r="F60" s="510">
        <f>F20-F50+F58</f>
        <v>0</v>
      </c>
      <c r="G60" s="318">
        <f t="shared" si="5"/>
        <v>0</v>
      </c>
      <c r="H60" s="510">
        <f>H20-H50+H58</f>
        <v>0</v>
      </c>
      <c r="I60" s="318">
        <f t="shared" ref="I60:I61" si="12">IF($H$18=0,0,H60/$H$18)</f>
        <v>0</v>
      </c>
      <c r="J60" s="510">
        <f>J20-J50+J58</f>
        <v>0</v>
      </c>
      <c r="K60" s="320">
        <f t="shared" ref="K60:K61" si="13">IF($J$18=0,0,J60/$J$18)</f>
        <v>0</v>
      </c>
      <c r="L60" s="321"/>
      <c r="M60" s="57"/>
      <c r="N60" s="314"/>
      <c r="O60" s="324"/>
    </row>
    <row r="61" spans="2:15" ht="16">
      <c r="B61" s="236" t="s">
        <v>225</v>
      </c>
      <c r="C61" s="313"/>
      <c r="D61" s="510">
        <v>0</v>
      </c>
      <c r="E61" s="318">
        <f t="shared" si="4"/>
        <v>0</v>
      </c>
      <c r="F61" s="510">
        <v>0</v>
      </c>
      <c r="G61" s="318">
        <f t="shared" si="5"/>
        <v>0</v>
      </c>
      <c r="H61" s="510">
        <v>0</v>
      </c>
      <c r="I61" s="318">
        <f t="shared" si="12"/>
        <v>0</v>
      </c>
      <c r="J61" s="510">
        <v>0</v>
      </c>
      <c r="K61" s="320">
        <f t="shared" si="13"/>
        <v>0</v>
      </c>
      <c r="L61" s="321"/>
      <c r="M61" s="57"/>
      <c r="N61" s="314"/>
      <c r="O61" s="324"/>
    </row>
    <row r="62" spans="2:15" ht="16">
      <c r="B62" s="649"/>
      <c r="C62" s="1054"/>
      <c r="D62" s="281"/>
      <c r="E62" s="318"/>
      <c r="F62" s="281"/>
      <c r="G62" s="318"/>
      <c r="H62" s="281"/>
      <c r="I62" s="318"/>
      <c r="J62" s="281"/>
      <c r="K62" s="320"/>
      <c r="L62" s="321"/>
      <c r="M62" s="57"/>
      <c r="N62" s="314"/>
      <c r="O62" s="324"/>
    </row>
    <row r="63" spans="2:15" ht="16">
      <c r="B63" s="236" t="s">
        <v>226</v>
      </c>
      <c r="C63" s="1053"/>
      <c r="D63" s="510">
        <f>D60-D61</f>
        <v>0</v>
      </c>
      <c r="E63" s="318">
        <f t="shared" si="4"/>
        <v>0</v>
      </c>
      <c r="F63" s="510">
        <f>F60-F61</f>
        <v>0</v>
      </c>
      <c r="G63" s="318">
        <f t="shared" si="5"/>
        <v>0</v>
      </c>
      <c r="H63" s="510">
        <f>H60-H61</f>
        <v>0</v>
      </c>
      <c r="I63" s="318">
        <f t="shared" ref="I63" si="14">IF($H$18=0,0,H63/$H$18)</f>
        <v>0</v>
      </c>
      <c r="J63" s="510">
        <f>J60-J61</f>
        <v>0</v>
      </c>
      <c r="K63" s="320">
        <f t="shared" ref="K63" si="15">IF($J$18=0,0,J63/$J$18)</f>
        <v>0</v>
      </c>
      <c r="L63" s="321"/>
      <c r="M63" s="57"/>
      <c r="N63" s="314"/>
      <c r="O63" s="324"/>
    </row>
    <row r="64" spans="2:15" ht="17" thickBot="1">
      <c r="B64" s="1097"/>
      <c r="C64" s="1101"/>
      <c r="D64" s="283"/>
      <c r="E64" s="1098"/>
      <c r="F64" s="283"/>
      <c r="G64" s="1098"/>
      <c r="H64" s="283"/>
      <c r="I64" s="1098"/>
      <c r="J64" s="283"/>
      <c r="K64" s="1099"/>
      <c r="L64" s="1186"/>
      <c r="M64" s="58"/>
      <c r="N64" s="1100"/>
      <c r="O64" s="326"/>
    </row>
    <row r="65" spans="2:15" ht="17" thickBot="1">
      <c r="B65" s="2896" t="s">
        <v>807</v>
      </c>
      <c r="C65" s="2897"/>
      <c r="D65" s="2898"/>
      <c r="E65" s="2898"/>
      <c r="F65" s="2898"/>
      <c r="G65" s="2898"/>
      <c r="H65" s="2898"/>
      <c r="I65" s="2898"/>
      <c r="J65" s="2898"/>
      <c r="K65" s="2898"/>
      <c r="L65" s="2898"/>
      <c r="M65" s="2898"/>
      <c r="N65" s="2898"/>
      <c r="O65" s="2899"/>
    </row>
    <row r="66" spans="2:15" ht="15" customHeight="1">
      <c r="B66" s="3023" t="str">
        <f>B2</f>
        <v>{Insert business name which represents PSOR}</v>
      </c>
      <c r="C66" s="3023"/>
      <c r="D66" s="3023"/>
      <c r="E66" s="3023"/>
      <c r="F66" s="3023"/>
      <c r="G66" s="3023"/>
      <c r="H66" s="3023"/>
      <c r="I66" s="3023"/>
      <c r="J66" s="3023"/>
      <c r="K66" s="3023"/>
      <c r="L66" s="3023"/>
      <c r="M66" s="3023"/>
      <c r="N66" s="3023"/>
      <c r="O66" s="3023"/>
    </row>
    <row r="67" spans="2:15" ht="15" customHeight="1">
      <c r="B67" s="2777"/>
      <c r="C67" s="2777"/>
      <c r="D67" s="2777"/>
      <c r="E67" s="2777"/>
      <c r="F67" s="2777"/>
      <c r="G67" s="2777"/>
      <c r="H67" s="2777"/>
      <c r="I67" s="2777"/>
      <c r="J67" s="2777"/>
      <c r="K67" s="2777"/>
      <c r="L67" s="2777"/>
      <c r="M67" s="2777"/>
      <c r="N67" s="2777"/>
      <c r="O67" s="2777"/>
    </row>
    <row r="68" spans="2:15" ht="15" customHeight="1">
      <c r="B68" s="2777"/>
      <c r="C68" s="2777"/>
      <c r="D68" s="2777"/>
      <c r="E68" s="2777"/>
      <c r="F68" s="2777"/>
      <c r="G68" s="2777"/>
      <c r="H68" s="2777"/>
      <c r="I68" s="2777"/>
      <c r="J68" s="2777"/>
      <c r="K68" s="2777"/>
      <c r="L68" s="2777"/>
      <c r="M68" s="2777"/>
      <c r="N68" s="2777"/>
      <c r="O68" s="2777"/>
    </row>
    <row r="69" spans="2:15" ht="15" customHeight="1">
      <c r="B69" s="2777"/>
      <c r="C69" s="2777"/>
      <c r="D69" s="2777"/>
      <c r="E69" s="2777"/>
      <c r="F69" s="2777"/>
      <c r="G69" s="2777"/>
      <c r="H69" s="2777"/>
      <c r="I69" s="2777"/>
      <c r="J69" s="2777"/>
      <c r="K69" s="2777"/>
      <c r="L69" s="2777"/>
      <c r="M69" s="2777"/>
      <c r="N69" s="2777"/>
      <c r="O69" s="2777"/>
    </row>
    <row r="70" spans="2:15" ht="15" customHeight="1">
      <c r="B70" s="2777"/>
      <c r="C70" s="2777"/>
      <c r="D70" s="2777"/>
      <c r="E70" s="2777"/>
      <c r="F70" s="2777"/>
      <c r="G70" s="2777"/>
      <c r="H70" s="2777"/>
      <c r="I70" s="2777"/>
      <c r="J70" s="2777"/>
      <c r="K70" s="2777"/>
      <c r="L70" s="2777"/>
      <c r="M70" s="2777"/>
      <c r="N70" s="2777"/>
      <c r="O70" s="2777"/>
    </row>
    <row r="71" spans="2:15" ht="15" customHeight="1">
      <c r="B71" s="2777"/>
      <c r="C71" s="2777"/>
      <c r="D71" s="2777"/>
      <c r="E71" s="2777"/>
      <c r="F71" s="2777"/>
      <c r="G71" s="2777"/>
      <c r="H71" s="2777"/>
      <c r="I71" s="2777"/>
      <c r="J71" s="2777"/>
      <c r="K71" s="2777"/>
      <c r="L71" s="2777"/>
      <c r="M71" s="2777"/>
      <c r="N71" s="2777"/>
      <c r="O71" s="2777"/>
    </row>
    <row r="72" spans="2:15">
      <c r="B72" s="2777"/>
      <c r="C72" s="2777"/>
      <c r="D72" s="2777"/>
      <c r="E72" s="2777"/>
      <c r="F72" s="2777"/>
      <c r="G72" s="2777"/>
      <c r="H72" s="2777"/>
      <c r="I72" s="2777"/>
      <c r="J72" s="2777"/>
      <c r="K72" s="2777"/>
      <c r="L72" s="2777"/>
      <c r="M72" s="2777"/>
      <c r="N72" s="2777"/>
      <c r="O72" s="2777"/>
    </row>
    <row r="73" spans="2:15">
      <c r="B73" s="2777"/>
      <c r="C73" s="2777"/>
      <c r="D73" s="2777"/>
      <c r="E73" s="2777"/>
      <c r="F73" s="2777"/>
      <c r="G73" s="2777"/>
      <c r="H73" s="2777"/>
      <c r="I73" s="2777"/>
      <c r="J73" s="2777"/>
      <c r="K73" s="2777"/>
      <c r="L73" s="2777"/>
      <c r="M73" s="2777"/>
      <c r="N73" s="2777"/>
      <c r="O73" s="2777"/>
    </row>
    <row r="74" spans="2:15">
      <c r="B74" s="2777"/>
      <c r="C74" s="2777"/>
      <c r="D74" s="2777"/>
      <c r="E74" s="2777"/>
      <c r="F74" s="2777"/>
      <c r="G74" s="2777"/>
      <c r="H74" s="2777"/>
      <c r="I74" s="2777"/>
      <c r="J74" s="2777"/>
      <c r="K74" s="2777"/>
      <c r="L74" s="2777"/>
      <c r="M74" s="2777"/>
      <c r="N74" s="2777"/>
      <c r="O74" s="2777"/>
    </row>
    <row r="75" spans="2:15">
      <c r="B75" s="2777"/>
      <c r="C75" s="2777"/>
      <c r="D75" s="2777"/>
      <c r="E75" s="2777"/>
      <c r="F75" s="2777"/>
      <c r="G75" s="2777"/>
      <c r="H75" s="2777"/>
      <c r="I75" s="2777"/>
      <c r="J75" s="2777"/>
      <c r="K75" s="2777"/>
      <c r="L75" s="2777"/>
      <c r="M75" s="2777"/>
      <c r="N75" s="2777"/>
      <c r="O75" s="2777"/>
    </row>
  </sheetData>
  <sheetProtection algorithmName="SHA-512" hashValue="4XbcDIHrLGH2Nzht+ydMOAZoA0tr+vNROeQB3yblAZKpe+bELxCDXLCZqhqe9fJAzjY2FMawi+1+S9mJm3sOXg==" saltValue="9G66Z76tYqxkaQSoJO+qAQ==" spinCount="100000" sheet="1" scenarios="1" formatCells="0" formatColumns="0" formatRows="0"/>
  <mergeCells count="45">
    <mergeCell ref="B73:O73"/>
    <mergeCell ref="B74:O74"/>
    <mergeCell ref="B75:O75"/>
    <mergeCell ref="B67:O67"/>
    <mergeCell ref="B68:O68"/>
    <mergeCell ref="B69:O69"/>
    <mergeCell ref="B70:O70"/>
    <mergeCell ref="B71:O71"/>
    <mergeCell ref="B72:O72"/>
    <mergeCell ref="B66:O66"/>
    <mergeCell ref="R29:T29"/>
    <mergeCell ref="R30:T30"/>
    <mergeCell ref="R31:T31"/>
    <mergeCell ref="R32:T32"/>
    <mergeCell ref="R33:T33"/>
    <mergeCell ref="R34:T34"/>
    <mergeCell ref="R35:T35"/>
    <mergeCell ref="R36:T36"/>
    <mergeCell ref="R37:T37"/>
    <mergeCell ref="R38:T38"/>
    <mergeCell ref="B65:O65"/>
    <mergeCell ref="R28:T28"/>
    <mergeCell ref="R14:T14"/>
    <mergeCell ref="R15:T15"/>
    <mergeCell ref="R16:T16"/>
    <mergeCell ref="R17:T17"/>
    <mergeCell ref="R18:T18"/>
    <mergeCell ref="R19:T19"/>
    <mergeCell ref="R20:T20"/>
    <mergeCell ref="R24:T24"/>
    <mergeCell ref="R25:T25"/>
    <mergeCell ref="R26:T26"/>
    <mergeCell ref="R27:T27"/>
    <mergeCell ref="R13:T13"/>
    <mergeCell ref="B1:O1"/>
    <mergeCell ref="B2:O2"/>
    <mergeCell ref="R5:T5"/>
    <mergeCell ref="M6:M7"/>
    <mergeCell ref="R6:T6"/>
    <mergeCell ref="R7:T7"/>
    <mergeCell ref="R8:T8"/>
    <mergeCell ref="R9:T9"/>
    <mergeCell ref="R10:T10"/>
    <mergeCell ref="R11:T11"/>
    <mergeCell ref="R12:T12"/>
  </mergeCells>
  <printOptions horizontalCentered="1"/>
  <pageMargins left="0.7" right="0.7" top="0.75" bottom="0.75" header="0.3" footer="0.3"/>
  <pageSetup scale="68" orientation="portrait" r:id="rId1"/>
  <headerFooter differentFirst="1">
    <firstHeader>&amp;L&amp;G&amp;C&amp;8
&amp;18Credit Memo</firstHeader>
  </headerFooter>
  <rowBreaks count="1" manualBreakCount="1">
    <brk id="64" min="1" max="14"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5B2DF2A-EB38-463F-932F-0D2869116DCD}">
          <x14:formula1>
            <xm:f>Lists!$D$16:$D$24</xm:f>
          </x14:formula1>
          <xm:sqref>D6 J6 H6 F6</xm:sqref>
        </x14:dataValidation>
        <x14:dataValidation type="list" allowBlank="1" showInputMessage="1" showErrorMessage="1" xr:uid="{77ED7B2A-8174-43AA-A974-16A98EF2DE3E}">
          <x14:formula1>
            <xm:f>Lists!$E$16:$E$20</xm:f>
          </x14:formula1>
          <xm:sqref>D7 J7 H7 F7</xm:sqref>
        </x14:dataValidation>
      </x14:dataValidation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C8BB7-1629-4A1F-8B9B-B27B91DBD016}">
  <sheetPr codeName="Sheet101">
    <tabColor rgb="FF00B050"/>
    <pageSetUpPr autoPageBreaks="0"/>
  </sheetPr>
  <dimension ref="A1:U122"/>
  <sheetViews>
    <sheetView showGridLines="0" zoomScale="85" zoomScaleNormal="85" workbookViewId="0">
      <selection activeCell="F18" sqref="F18"/>
    </sheetView>
  </sheetViews>
  <sheetFormatPr baseColWidth="10" defaultColWidth="8.83203125" defaultRowHeight="15"/>
  <cols>
    <col min="1" max="1" width="24.33203125" bestFit="1" customWidth="1"/>
    <col min="2" max="2" width="4.6640625" customWidth="1"/>
    <col min="3" max="3" width="10" bestFit="1" customWidth="1"/>
    <col min="4" max="4" width="8" bestFit="1" customWidth="1"/>
    <col min="5" max="5" width="10" bestFit="1" customWidth="1"/>
    <col min="6" max="6" width="8" bestFit="1" customWidth="1"/>
    <col min="7" max="7" width="10" bestFit="1" customWidth="1"/>
    <col min="8" max="8" width="8" bestFit="1" customWidth="1"/>
    <col min="9" max="9" width="10" bestFit="1" customWidth="1"/>
    <col min="10" max="10" width="8" bestFit="1" customWidth="1"/>
    <col min="14" max="14" width="22.6640625" bestFit="1" customWidth="1"/>
    <col min="15" max="15" width="11.1640625" bestFit="1" customWidth="1"/>
    <col min="16" max="16" width="12" bestFit="1" customWidth="1"/>
    <col min="17" max="17" width="12.6640625" bestFit="1" customWidth="1"/>
    <col min="18" max="18" width="15.5" bestFit="1" customWidth="1"/>
  </cols>
  <sheetData>
    <row r="1" spans="1:21" ht="16">
      <c r="A1" s="2922" t="s">
        <v>921</v>
      </c>
      <c r="B1" s="2923"/>
      <c r="C1" s="2923"/>
      <c r="D1" s="2923"/>
      <c r="E1" s="2923"/>
      <c r="F1" s="2923"/>
      <c r="G1" s="2923"/>
      <c r="H1" s="2923"/>
      <c r="I1" s="2923"/>
      <c r="J1" s="2924"/>
      <c r="K1" s="26"/>
      <c r="L1" s="26"/>
      <c r="M1" s="26"/>
      <c r="N1" s="26"/>
      <c r="O1" s="26"/>
      <c r="P1" s="26"/>
      <c r="Q1" s="26"/>
      <c r="R1" s="26"/>
      <c r="S1" s="26"/>
      <c r="T1" s="26"/>
      <c r="U1" s="26"/>
    </row>
    <row r="2" spans="1:21" ht="16">
      <c r="A2" s="2927" t="str">
        <f>'Aff 18 IS'!B2</f>
        <v>{Insert business name which represents PSOR}</v>
      </c>
      <c r="B2" s="2928"/>
      <c r="C2" s="2928"/>
      <c r="D2" s="2928"/>
      <c r="E2" s="2928"/>
      <c r="F2" s="2928"/>
      <c r="G2" s="2928"/>
      <c r="H2" s="2928"/>
      <c r="I2" s="2928"/>
      <c r="J2" s="2989"/>
      <c r="K2" s="26"/>
      <c r="L2" s="26"/>
      <c r="M2" s="26"/>
      <c r="N2" s="26"/>
      <c r="O2" s="26"/>
      <c r="P2" s="26"/>
      <c r="Q2" s="26"/>
      <c r="R2" s="26"/>
      <c r="S2" s="26"/>
      <c r="T2" s="26"/>
      <c r="U2" s="26"/>
    </row>
    <row r="3" spans="1:21" ht="16">
      <c r="A3" s="1155" t="s">
        <v>182</v>
      </c>
      <c r="B3" s="1150"/>
      <c r="C3" s="1190">
        <f>'Aff 18 IS'!D4</f>
        <v>44561</v>
      </c>
      <c r="D3" s="1151"/>
      <c r="E3" s="1190">
        <f>'Aff 18 IS'!F4</f>
        <v>44926</v>
      </c>
      <c r="F3" s="1151"/>
      <c r="G3" s="1190">
        <f>'Aff 18 IS'!H4</f>
        <v>45291</v>
      </c>
      <c r="H3" s="1151"/>
      <c r="I3" s="1190">
        <f>'Aff 18 IS'!J4</f>
        <v>45382</v>
      </c>
      <c r="J3" s="1154"/>
      <c r="K3" s="26"/>
      <c r="L3" s="26"/>
      <c r="M3" s="26"/>
      <c r="N3" s="26"/>
      <c r="O3" s="26"/>
      <c r="P3" s="26"/>
      <c r="Q3" s="26"/>
      <c r="R3" s="26"/>
      <c r="S3" s="26"/>
      <c r="T3" s="26"/>
      <c r="U3" s="26"/>
    </row>
    <row r="4" spans="1:21" ht="16">
      <c r="A4" s="1155" t="s">
        <v>183</v>
      </c>
      <c r="B4" s="1150"/>
      <c r="C4" s="1201">
        <f>'Aff 18 IS'!D5</f>
        <v>12</v>
      </c>
      <c r="D4" s="1151"/>
      <c r="E4" s="1201">
        <f>'Aff 18 IS'!F5</f>
        <v>12</v>
      </c>
      <c r="F4" s="1151"/>
      <c r="G4" s="1201">
        <f>'Aff 18 IS'!H5</f>
        <v>12</v>
      </c>
      <c r="H4" s="1151"/>
      <c r="I4" s="1201">
        <f>'Aff 18 IS'!J5</f>
        <v>3</v>
      </c>
      <c r="J4" s="1160"/>
      <c r="K4" s="26"/>
      <c r="L4" s="26"/>
      <c r="M4" s="26"/>
      <c r="N4" s="26"/>
      <c r="O4" s="26"/>
      <c r="P4" s="26"/>
      <c r="Q4" s="26"/>
      <c r="R4" s="26"/>
      <c r="S4" s="26"/>
      <c r="T4" s="26"/>
      <c r="U4" s="26"/>
    </row>
    <row r="5" spans="1:21" ht="16">
      <c r="A5" s="1155" t="s">
        <v>185</v>
      </c>
      <c r="B5" s="1150"/>
      <c r="C5" s="1201">
        <f>'Aff 18 IS'!D6</f>
        <v>0</v>
      </c>
      <c r="D5" s="1162"/>
      <c r="E5" s="1201">
        <f>'Aff 18 IS'!F6</f>
        <v>0</v>
      </c>
      <c r="F5" s="1162"/>
      <c r="G5" s="1201">
        <f>'Aff 18 IS'!H6</f>
        <v>0</v>
      </c>
      <c r="H5" s="1162"/>
      <c r="I5" s="1201">
        <f>'Aff 18 IS'!J6</f>
        <v>0</v>
      </c>
      <c r="J5" s="1160"/>
      <c r="K5" s="26"/>
      <c r="L5" s="26"/>
      <c r="M5" s="26"/>
      <c r="N5" s="26"/>
      <c r="O5" s="26"/>
      <c r="P5" s="26"/>
      <c r="Q5" s="26"/>
      <c r="R5" s="26"/>
      <c r="S5" s="26"/>
      <c r="T5" s="26"/>
      <c r="U5" s="26"/>
    </row>
    <row r="6" spans="1:21" ht="16">
      <c r="A6" s="1155" t="s">
        <v>188</v>
      </c>
      <c r="B6" s="1150"/>
      <c r="C6" s="1201">
        <f>'Aff 18 IS'!D7</f>
        <v>0</v>
      </c>
      <c r="D6" s="1162"/>
      <c r="E6" s="1201">
        <f>'Aff 18 IS'!F7</f>
        <v>0</v>
      </c>
      <c r="F6" s="1162"/>
      <c r="G6" s="1201">
        <f>'Aff 18 IS'!H7</f>
        <v>0</v>
      </c>
      <c r="H6" s="1162"/>
      <c r="I6" s="1201">
        <f>'Aff 18 IS'!J7</f>
        <v>0</v>
      </c>
      <c r="J6" s="1160"/>
      <c r="K6" s="26"/>
      <c r="L6" s="26"/>
      <c r="M6" s="26"/>
      <c r="N6" s="26"/>
      <c r="O6" s="26"/>
      <c r="P6" s="26"/>
      <c r="Q6" s="26"/>
      <c r="R6" s="26"/>
      <c r="S6" s="26"/>
      <c r="T6" s="26"/>
      <c r="U6" s="26"/>
    </row>
    <row r="7" spans="1:21" ht="16">
      <c r="A7" s="1161" t="s">
        <v>922</v>
      </c>
      <c r="B7" s="1162" t="s">
        <v>795</v>
      </c>
      <c r="C7" s="1163"/>
      <c r="D7" s="1164"/>
      <c r="E7" s="1163" t="s">
        <v>923</v>
      </c>
      <c r="F7" s="1165"/>
      <c r="G7" s="1163"/>
      <c r="H7" s="1165"/>
      <c r="I7" s="1163"/>
      <c r="J7" s="1166"/>
      <c r="K7" s="26"/>
      <c r="L7" s="26"/>
      <c r="M7" s="26"/>
      <c r="N7" s="1356" t="s">
        <v>1094</v>
      </c>
      <c r="O7" s="1349"/>
      <c r="P7" s="1349"/>
      <c r="Q7" s="1350"/>
      <c r="R7" s="1350"/>
      <c r="S7" s="26"/>
      <c r="T7" s="26"/>
      <c r="U7" s="26"/>
    </row>
    <row r="8" spans="1:21" ht="16">
      <c r="A8" s="1167" t="s">
        <v>924</v>
      </c>
      <c r="B8" s="891"/>
      <c r="C8" s="308"/>
      <c r="D8" s="1169">
        <f>IF($C$31=0,0,C8/$C$31)</f>
        <v>0</v>
      </c>
      <c r="E8" s="308"/>
      <c r="F8" s="1169">
        <f>IF($E$31=0,0,E8/$E$31)</f>
        <v>0</v>
      </c>
      <c r="G8" s="308"/>
      <c r="H8" s="1169">
        <f>IF($G$31=0,0,G8/$G$31)</f>
        <v>0</v>
      </c>
      <c r="I8" s="308"/>
      <c r="J8" s="1170">
        <f>IF($I$31=0,0,I8/$I$31)</f>
        <v>0</v>
      </c>
      <c r="K8" s="26"/>
      <c r="L8" s="26"/>
      <c r="M8" s="26"/>
      <c r="N8" s="1349" t="s">
        <v>1095</v>
      </c>
      <c r="O8" s="1349" t="s">
        <v>1096</v>
      </c>
      <c r="P8" s="1349" t="s">
        <v>1097</v>
      </c>
      <c r="Q8" s="1350" t="s">
        <v>1098</v>
      </c>
      <c r="R8" s="1350" t="s">
        <v>1099</v>
      </c>
      <c r="S8" s="26"/>
      <c r="T8" s="26"/>
      <c r="U8" s="26"/>
    </row>
    <row r="9" spans="1:21" ht="16">
      <c r="A9" s="1167" t="s">
        <v>925</v>
      </c>
      <c r="B9" s="311"/>
      <c r="C9" s="309"/>
      <c r="D9" s="1169">
        <f t="shared" ref="D9:D31" si="0">IF($C$31=0,0,C9/$C$31)</f>
        <v>0</v>
      </c>
      <c r="E9" s="309"/>
      <c r="F9" s="1169">
        <f t="shared" ref="F9:F14" si="1">IF($E$31=0,0,E9/$E$31)</f>
        <v>0</v>
      </c>
      <c r="G9" s="309"/>
      <c r="H9" s="1169">
        <f t="shared" ref="H9:H14" si="2">IF($G$31=0,0,G9/$G$31)</f>
        <v>0</v>
      </c>
      <c r="I9" s="309"/>
      <c r="J9" s="1170">
        <f t="shared" ref="J9:J14" si="3">IF($I$31=0,0,I9/$I$31)</f>
        <v>0</v>
      </c>
      <c r="K9" s="26"/>
      <c r="L9" s="26"/>
      <c r="M9" s="26"/>
      <c r="N9" s="1352"/>
      <c r="O9" s="1358"/>
      <c r="P9" s="1358"/>
      <c r="Q9" s="1353"/>
      <c r="R9" s="1354"/>
      <c r="S9" s="26"/>
      <c r="T9" s="26"/>
      <c r="U9" s="26"/>
    </row>
    <row r="10" spans="1:21" ht="16">
      <c r="A10" s="1167" t="s">
        <v>147</v>
      </c>
      <c r="B10" s="311"/>
      <c r="C10" s="309"/>
      <c r="D10" s="1169">
        <f t="shared" si="0"/>
        <v>0</v>
      </c>
      <c r="E10" s="309"/>
      <c r="F10" s="1169">
        <f t="shared" si="1"/>
        <v>0</v>
      </c>
      <c r="G10" s="309"/>
      <c r="H10" s="1169">
        <f t="shared" si="2"/>
        <v>0</v>
      </c>
      <c r="I10" s="309"/>
      <c r="J10" s="1170">
        <f t="shared" si="3"/>
        <v>0</v>
      </c>
      <c r="K10" s="26"/>
      <c r="L10" s="26"/>
      <c r="M10" s="26"/>
      <c r="N10" s="1352"/>
      <c r="O10" s="1358"/>
      <c r="P10" s="1358"/>
      <c r="Q10" s="1353"/>
      <c r="R10" s="1354"/>
      <c r="S10" s="26"/>
      <c r="T10" s="26"/>
      <c r="U10" s="26"/>
    </row>
    <row r="11" spans="1:21" ht="16">
      <c r="A11" s="1167" t="s">
        <v>926</v>
      </c>
      <c r="B11" s="311"/>
      <c r="C11" s="309"/>
      <c r="D11" s="1169">
        <f t="shared" si="0"/>
        <v>0</v>
      </c>
      <c r="E11" s="309"/>
      <c r="F11" s="1169">
        <f t="shared" si="1"/>
        <v>0</v>
      </c>
      <c r="G11" s="309"/>
      <c r="H11" s="1169">
        <f t="shared" si="2"/>
        <v>0</v>
      </c>
      <c r="I11" s="309"/>
      <c r="J11" s="1170">
        <f t="shared" si="3"/>
        <v>0</v>
      </c>
      <c r="K11" s="26"/>
      <c r="L11" s="26"/>
      <c r="M11" s="26"/>
      <c r="N11" s="1352"/>
      <c r="O11" s="1358"/>
      <c r="P11" s="1358"/>
      <c r="Q11" s="1353"/>
      <c r="R11" s="1354"/>
      <c r="S11" s="26"/>
      <c r="T11" s="26"/>
      <c r="U11" s="26"/>
    </row>
    <row r="12" spans="1:21" ht="16">
      <c r="A12" s="1167" t="s">
        <v>927</v>
      </c>
      <c r="B12" s="311"/>
      <c r="C12" s="309"/>
      <c r="D12" s="1169">
        <f t="shared" si="0"/>
        <v>0</v>
      </c>
      <c r="E12" s="309"/>
      <c r="F12" s="1169">
        <f t="shared" si="1"/>
        <v>0</v>
      </c>
      <c r="G12" s="309"/>
      <c r="H12" s="1169">
        <f t="shared" si="2"/>
        <v>0</v>
      </c>
      <c r="I12" s="309"/>
      <c r="J12" s="1170">
        <f t="shared" si="3"/>
        <v>0</v>
      </c>
      <c r="K12" s="26"/>
      <c r="L12" s="26"/>
      <c r="M12" s="26"/>
      <c r="N12" s="1352"/>
      <c r="O12" s="1358"/>
      <c r="P12" s="1358"/>
      <c r="Q12" s="1353"/>
      <c r="R12" s="1354"/>
      <c r="S12" s="26"/>
      <c r="T12" s="26"/>
      <c r="U12" s="26"/>
    </row>
    <row r="13" spans="1:21" ht="16">
      <c r="A13" s="1167" t="s">
        <v>928</v>
      </c>
      <c r="B13" s="311"/>
      <c r="C13" s="310"/>
      <c r="D13" s="1169">
        <f t="shared" si="0"/>
        <v>0</v>
      </c>
      <c r="E13" s="310"/>
      <c r="F13" s="1169">
        <f t="shared" si="1"/>
        <v>0</v>
      </c>
      <c r="G13" s="310"/>
      <c r="H13" s="1169">
        <f t="shared" si="2"/>
        <v>0</v>
      </c>
      <c r="I13" s="310"/>
      <c r="J13" s="1170">
        <f t="shared" si="3"/>
        <v>0</v>
      </c>
      <c r="K13" s="26"/>
      <c r="L13" s="26"/>
      <c r="M13" s="26"/>
      <c r="N13" s="1352"/>
      <c r="O13" s="1358"/>
      <c r="P13" s="1358"/>
      <c r="Q13" s="1353"/>
      <c r="R13" s="1354"/>
      <c r="S13" s="26"/>
      <c r="T13" s="26"/>
      <c r="U13" s="26"/>
    </row>
    <row r="14" spans="1:21" ht="16">
      <c r="A14" s="1161" t="s">
        <v>929</v>
      </c>
      <c r="B14" s="1178"/>
      <c r="C14" s="643">
        <f>SUM(C8:C13)</f>
        <v>0</v>
      </c>
      <c r="D14" s="1169">
        <f t="shared" si="0"/>
        <v>0</v>
      </c>
      <c r="E14" s="643">
        <f>SUM(E8:E13)</f>
        <v>0</v>
      </c>
      <c r="F14" s="1169">
        <f t="shared" si="1"/>
        <v>0</v>
      </c>
      <c r="G14" s="643">
        <f>SUM(G8:G13)</f>
        <v>0</v>
      </c>
      <c r="H14" s="1169">
        <f t="shared" si="2"/>
        <v>0</v>
      </c>
      <c r="I14" s="643">
        <f>SUM(I8:I13)</f>
        <v>0</v>
      </c>
      <c r="J14" s="1170">
        <f t="shared" si="3"/>
        <v>0</v>
      </c>
      <c r="K14" s="26"/>
      <c r="L14" s="26"/>
      <c r="M14" s="26"/>
      <c r="N14" s="1352"/>
      <c r="O14" s="1358"/>
      <c r="P14" s="1358"/>
      <c r="Q14" s="1353"/>
      <c r="R14" s="1354"/>
      <c r="S14" s="26"/>
      <c r="T14" s="26"/>
      <c r="U14" s="26"/>
    </row>
    <row r="15" spans="1:21" ht="16">
      <c r="A15" s="1167"/>
      <c r="B15" s="311"/>
      <c r="C15" s="1172"/>
      <c r="D15" s="1169"/>
      <c r="E15" s="1172"/>
      <c r="F15" s="1169"/>
      <c r="G15" s="1172"/>
      <c r="H15" s="1169"/>
      <c r="I15" s="1172"/>
      <c r="J15" s="1170"/>
      <c r="K15" s="26"/>
      <c r="L15" s="26"/>
      <c r="M15" s="26"/>
      <c r="N15" s="1352"/>
      <c r="O15" s="1358"/>
      <c r="P15" s="1358"/>
      <c r="Q15" s="1353"/>
      <c r="R15" s="1354"/>
      <c r="S15" s="26"/>
      <c r="T15" s="26"/>
      <c r="U15" s="26"/>
    </row>
    <row r="16" spans="1:21" ht="16">
      <c r="A16" s="1167" t="s">
        <v>930</v>
      </c>
      <c r="B16" s="311"/>
      <c r="C16" s="309"/>
      <c r="D16" s="1169">
        <f t="shared" si="0"/>
        <v>0</v>
      </c>
      <c r="E16" s="309"/>
      <c r="F16" s="1169">
        <f t="shared" ref="F16:F25" si="4">IF($E$31=0,0,E16/$E$31)</f>
        <v>0</v>
      </c>
      <c r="G16" s="309"/>
      <c r="H16" s="1169">
        <f t="shared" ref="H16:H25" si="5">IF($G$31=0,0,G16/$G$31)</f>
        <v>0</v>
      </c>
      <c r="I16" s="309"/>
      <c r="J16" s="1170">
        <f t="shared" ref="J16:J25" si="6">IF($I$31=0,0,I16/$I$31)</f>
        <v>0</v>
      </c>
      <c r="K16" s="26"/>
      <c r="L16" s="26"/>
      <c r="M16" s="26"/>
      <c r="N16" s="1352"/>
      <c r="O16" s="1358"/>
      <c r="P16" s="1358"/>
      <c r="Q16" s="1353"/>
      <c r="R16" s="1354"/>
      <c r="S16" s="26"/>
      <c r="T16" s="26"/>
      <c r="U16" s="26"/>
    </row>
    <row r="17" spans="1:21" ht="16">
      <c r="A17" s="1167" t="s">
        <v>931</v>
      </c>
      <c r="B17" s="311"/>
      <c r="C17" s="309"/>
      <c r="D17" s="1169">
        <f t="shared" si="0"/>
        <v>0</v>
      </c>
      <c r="E17" s="309"/>
      <c r="F17" s="1169">
        <f t="shared" si="4"/>
        <v>0</v>
      </c>
      <c r="G17" s="309"/>
      <c r="H17" s="1169">
        <f t="shared" si="5"/>
        <v>0</v>
      </c>
      <c r="I17" s="309"/>
      <c r="J17" s="1170">
        <f t="shared" si="6"/>
        <v>0</v>
      </c>
      <c r="K17" s="26"/>
      <c r="L17" s="26"/>
      <c r="M17" s="26"/>
      <c r="N17" s="1352"/>
      <c r="O17" s="1358"/>
      <c r="P17" s="1358"/>
      <c r="Q17" s="1353"/>
      <c r="R17" s="1354"/>
      <c r="S17" s="26"/>
      <c r="T17" s="26"/>
      <c r="U17" s="26"/>
    </row>
    <row r="18" spans="1:21" ht="16">
      <c r="A18" s="1167" t="s">
        <v>932</v>
      </c>
      <c r="B18" s="311"/>
      <c r="C18" s="309"/>
      <c r="D18" s="1169">
        <f t="shared" si="0"/>
        <v>0</v>
      </c>
      <c r="E18" s="309"/>
      <c r="F18" s="1169">
        <f t="shared" si="4"/>
        <v>0</v>
      </c>
      <c r="G18" s="309"/>
      <c r="H18" s="1169">
        <f t="shared" si="5"/>
        <v>0</v>
      </c>
      <c r="I18" s="309"/>
      <c r="J18" s="1170">
        <f t="shared" si="6"/>
        <v>0</v>
      </c>
      <c r="K18" s="26"/>
      <c r="L18" s="26"/>
      <c r="M18" s="26"/>
      <c r="N18" s="1352"/>
      <c r="O18" s="1358"/>
      <c r="P18" s="1358"/>
      <c r="Q18" s="1353"/>
      <c r="R18" s="1354"/>
      <c r="S18" s="26"/>
      <c r="T18" s="26"/>
      <c r="U18" s="26"/>
    </row>
    <row r="19" spans="1:21" ht="16">
      <c r="A19" s="1167" t="s">
        <v>933</v>
      </c>
      <c r="B19" s="311"/>
      <c r="C19" s="309"/>
      <c r="D19" s="1169">
        <f t="shared" si="0"/>
        <v>0</v>
      </c>
      <c r="E19" s="309"/>
      <c r="F19" s="1169">
        <f t="shared" si="4"/>
        <v>0</v>
      </c>
      <c r="G19" s="309"/>
      <c r="H19" s="1169">
        <f t="shared" si="5"/>
        <v>0</v>
      </c>
      <c r="I19" s="309"/>
      <c r="J19" s="1170">
        <f t="shared" si="6"/>
        <v>0</v>
      </c>
      <c r="K19" s="26"/>
      <c r="L19" s="26"/>
      <c r="M19" s="26"/>
      <c r="N19" s="1352"/>
      <c r="O19" s="1358"/>
      <c r="P19" s="1358"/>
      <c r="Q19" s="1353"/>
      <c r="R19" s="1354"/>
      <c r="S19" s="26"/>
      <c r="T19" s="26"/>
      <c r="U19" s="26"/>
    </row>
    <row r="20" spans="1:21" ht="16">
      <c r="A20" s="1167" t="s">
        <v>934</v>
      </c>
      <c r="B20" s="311"/>
      <c r="C20" s="309"/>
      <c r="D20" s="1169">
        <f t="shared" si="0"/>
        <v>0</v>
      </c>
      <c r="E20" s="309"/>
      <c r="F20" s="1169">
        <f t="shared" si="4"/>
        <v>0</v>
      </c>
      <c r="G20" s="309"/>
      <c r="H20" s="1169">
        <f t="shared" si="5"/>
        <v>0</v>
      </c>
      <c r="I20" s="309"/>
      <c r="J20" s="1170">
        <f t="shared" si="6"/>
        <v>0</v>
      </c>
      <c r="K20" s="26"/>
      <c r="L20" s="26"/>
      <c r="M20" s="26"/>
      <c r="N20" s="1352"/>
      <c r="O20" s="1358"/>
      <c r="P20" s="1358"/>
      <c r="Q20" s="1353"/>
      <c r="R20" s="1354"/>
      <c r="S20" s="26"/>
      <c r="T20" s="26"/>
      <c r="U20" s="26"/>
    </row>
    <row r="21" spans="1:21" ht="16">
      <c r="A21" s="1167" t="s">
        <v>935</v>
      </c>
      <c r="B21" s="311"/>
      <c r="C21" s="309"/>
      <c r="D21" s="1169">
        <f t="shared" si="0"/>
        <v>0</v>
      </c>
      <c r="E21" s="309"/>
      <c r="F21" s="1169">
        <f t="shared" si="4"/>
        <v>0</v>
      </c>
      <c r="G21" s="309"/>
      <c r="H21" s="1169">
        <f t="shared" si="5"/>
        <v>0</v>
      </c>
      <c r="I21" s="309"/>
      <c r="J21" s="1170">
        <f t="shared" si="6"/>
        <v>0</v>
      </c>
      <c r="K21" s="26"/>
      <c r="L21" s="26"/>
      <c r="M21" s="26"/>
      <c r="N21" s="1352"/>
      <c r="O21" s="1358"/>
      <c r="P21" s="1358"/>
      <c r="Q21" s="1353"/>
      <c r="R21" s="1354"/>
      <c r="S21" s="26"/>
      <c r="T21" s="26"/>
      <c r="U21" s="26"/>
    </row>
    <row r="22" spans="1:21" ht="16">
      <c r="A22" s="1167" t="s">
        <v>936</v>
      </c>
      <c r="B22" s="311"/>
      <c r="C22" s="309"/>
      <c r="D22" s="1169">
        <f t="shared" si="0"/>
        <v>0</v>
      </c>
      <c r="E22" s="309"/>
      <c r="F22" s="1169">
        <f t="shared" si="4"/>
        <v>0</v>
      </c>
      <c r="G22" s="309"/>
      <c r="H22" s="1169">
        <f t="shared" si="5"/>
        <v>0</v>
      </c>
      <c r="I22" s="309"/>
      <c r="J22" s="1170">
        <f t="shared" si="6"/>
        <v>0</v>
      </c>
      <c r="K22" s="26"/>
      <c r="L22" s="26"/>
      <c r="M22" s="26"/>
      <c r="N22" s="1352"/>
      <c r="O22" s="1358"/>
      <c r="P22" s="1358"/>
      <c r="Q22" s="1353"/>
      <c r="R22" s="1354"/>
      <c r="S22" s="26"/>
      <c r="T22" s="26"/>
      <c r="U22" s="26"/>
    </row>
    <row r="23" spans="1:21" ht="16">
      <c r="A23" s="1319" t="s">
        <v>218</v>
      </c>
      <c r="B23" s="311"/>
      <c r="C23" s="309"/>
      <c r="D23" s="1169">
        <f t="shared" si="0"/>
        <v>0</v>
      </c>
      <c r="E23" s="309"/>
      <c r="F23" s="1169">
        <f t="shared" si="4"/>
        <v>0</v>
      </c>
      <c r="G23" s="309"/>
      <c r="H23" s="1169">
        <f t="shared" si="5"/>
        <v>0</v>
      </c>
      <c r="I23" s="309"/>
      <c r="J23" s="1170">
        <f t="shared" si="6"/>
        <v>0</v>
      </c>
      <c r="K23" s="26"/>
      <c r="L23" s="26"/>
      <c r="M23" s="26"/>
      <c r="N23" s="1352"/>
      <c r="O23" s="1358"/>
      <c r="P23" s="1358"/>
      <c r="Q23" s="1353"/>
      <c r="R23" s="1354"/>
      <c r="S23" s="26"/>
      <c r="T23" s="26"/>
      <c r="U23" s="26"/>
    </row>
    <row r="24" spans="1:21" ht="16">
      <c r="A24" s="1167" t="s">
        <v>937</v>
      </c>
      <c r="B24" s="311"/>
      <c r="C24" s="310"/>
      <c r="D24" s="1169">
        <f t="shared" si="0"/>
        <v>0</v>
      </c>
      <c r="E24" s="310"/>
      <c r="F24" s="1169">
        <f t="shared" si="4"/>
        <v>0</v>
      </c>
      <c r="G24" s="310"/>
      <c r="H24" s="1169">
        <f t="shared" si="5"/>
        <v>0</v>
      </c>
      <c r="I24" s="310"/>
      <c r="J24" s="1170">
        <f t="shared" si="6"/>
        <v>0</v>
      </c>
      <c r="K24" s="26"/>
      <c r="L24" s="26"/>
      <c r="M24" s="26"/>
      <c r="N24" s="1355"/>
      <c r="O24" s="1358"/>
      <c r="P24" s="1358"/>
      <c r="Q24" s="1353"/>
      <c r="R24" s="1354"/>
      <c r="S24" s="26"/>
      <c r="T24" s="26"/>
      <c r="U24" s="26"/>
    </row>
    <row r="25" spans="1:21" ht="16">
      <c r="A25" s="1161" t="s">
        <v>938</v>
      </c>
      <c r="B25" s="1178"/>
      <c r="C25" s="643">
        <f>SUM(C16:C24)</f>
        <v>0</v>
      </c>
      <c r="D25" s="1169">
        <f t="shared" si="0"/>
        <v>0</v>
      </c>
      <c r="E25" s="643">
        <f>SUM(E16:E24)</f>
        <v>0</v>
      </c>
      <c r="F25" s="1169">
        <f t="shared" si="4"/>
        <v>0</v>
      </c>
      <c r="G25" s="643">
        <f>SUM(G16:G24)</f>
        <v>0</v>
      </c>
      <c r="H25" s="1169">
        <f t="shared" si="5"/>
        <v>0</v>
      </c>
      <c r="I25" s="643">
        <f>SUM(I16:I24)</f>
        <v>0</v>
      </c>
      <c r="J25" s="1170">
        <f t="shared" si="6"/>
        <v>0</v>
      </c>
      <c r="K25" s="26"/>
      <c r="L25" s="26"/>
      <c r="M25" s="26"/>
      <c r="N25" s="1355"/>
      <c r="O25" s="1358"/>
      <c r="P25" s="1358"/>
      <c r="Q25" s="1353"/>
      <c r="R25" s="1354"/>
      <c r="S25" s="26"/>
      <c r="T25" s="26"/>
      <c r="U25" s="26"/>
    </row>
    <row r="26" spans="1:21" ht="16">
      <c r="A26" s="1167"/>
      <c r="B26" s="311"/>
      <c r="C26" s="1172"/>
      <c r="D26" s="1169"/>
      <c r="E26" s="1172"/>
      <c r="F26" s="1169"/>
      <c r="G26" s="1172"/>
      <c r="H26" s="1169"/>
      <c r="I26" s="1172"/>
      <c r="J26" s="1170"/>
      <c r="K26" s="26"/>
      <c r="L26" s="26"/>
      <c r="M26" s="26"/>
      <c r="N26" s="1355"/>
      <c r="O26" s="1358"/>
      <c r="P26" s="1358"/>
      <c r="Q26" s="1353"/>
      <c r="R26" s="1354"/>
      <c r="S26" s="26"/>
      <c r="T26" s="26"/>
      <c r="U26" s="26"/>
    </row>
    <row r="27" spans="1:21" ht="16">
      <c r="A27" s="1167" t="s">
        <v>939</v>
      </c>
      <c r="B27" s="311"/>
      <c r="C27" s="309"/>
      <c r="D27" s="1169">
        <f t="shared" si="0"/>
        <v>0</v>
      </c>
      <c r="E27" s="309"/>
      <c r="F27" s="1169">
        <f t="shared" ref="F27:F31" si="7">IF($E$31=0,0,E27/$E$31)</f>
        <v>0</v>
      </c>
      <c r="G27" s="309"/>
      <c r="H27" s="1169">
        <f t="shared" ref="H27:H31" si="8">IF($G$31=0,0,G27/$G$31)</f>
        <v>0</v>
      </c>
      <c r="I27" s="309"/>
      <c r="J27" s="1170">
        <f t="shared" ref="J27:J31" si="9">IF($I$31=0,0,I27/$I$31)</f>
        <v>0</v>
      </c>
      <c r="K27" s="26"/>
      <c r="L27" s="26"/>
      <c r="M27" s="26"/>
      <c r="N27" s="1355"/>
      <c r="O27" s="1358"/>
      <c r="P27" s="1358"/>
      <c r="Q27" s="1353"/>
      <c r="R27" s="1354"/>
      <c r="S27" s="26"/>
      <c r="T27" s="26"/>
      <c r="U27" s="26"/>
    </row>
    <row r="28" spans="1:21" ht="16">
      <c r="A28" s="1167" t="s">
        <v>940</v>
      </c>
      <c r="B28" s="311"/>
      <c r="C28" s="309"/>
      <c r="D28" s="1169">
        <f t="shared" si="0"/>
        <v>0</v>
      </c>
      <c r="E28" s="309"/>
      <c r="F28" s="1169">
        <f t="shared" si="7"/>
        <v>0</v>
      </c>
      <c r="G28" s="309"/>
      <c r="H28" s="1169">
        <f t="shared" si="8"/>
        <v>0</v>
      </c>
      <c r="I28" s="309"/>
      <c r="J28" s="1170">
        <f t="shared" si="9"/>
        <v>0</v>
      </c>
      <c r="K28" s="26"/>
      <c r="L28" s="26"/>
      <c r="M28" s="26"/>
      <c r="N28" s="1355"/>
      <c r="O28" s="1358"/>
      <c r="P28" s="1358"/>
      <c r="Q28" s="1353"/>
      <c r="R28" s="1354"/>
      <c r="S28" s="26"/>
      <c r="T28" s="26"/>
      <c r="U28" s="26"/>
    </row>
    <row r="29" spans="1:21" ht="16">
      <c r="A29" s="1319" t="s">
        <v>941</v>
      </c>
      <c r="B29" s="311"/>
      <c r="C29" s="310"/>
      <c r="D29" s="1169">
        <f t="shared" si="0"/>
        <v>0</v>
      </c>
      <c r="E29" s="310"/>
      <c r="F29" s="1169">
        <f t="shared" si="7"/>
        <v>0</v>
      </c>
      <c r="G29" s="310"/>
      <c r="H29" s="1169">
        <f t="shared" si="8"/>
        <v>0</v>
      </c>
      <c r="I29" s="310"/>
      <c r="J29" s="1170">
        <f t="shared" si="9"/>
        <v>0</v>
      </c>
      <c r="K29" s="26"/>
      <c r="L29" s="26"/>
      <c r="M29" s="26"/>
      <c r="N29" s="1355"/>
      <c r="O29" s="1358"/>
      <c r="P29" s="1358"/>
      <c r="Q29" s="1353"/>
      <c r="R29" s="1354"/>
      <c r="S29" s="26"/>
      <c r="T29" s="26"/>
      <c r="U29" s="26"/>
    </row>
    <row r="30" spans="1:21" ht="16">
      <c r="A30" s="1161" t="s">
        <v>942</v>
      </c>
      <c r="B30" s="1178"/>
      <c r="C30" s="645">
        <f>SUM(C27:C29)</f>
        <v>0</v>
      </c>
      <c r="D30" s="1169">
        <f t="shared" si="0"/>
        <v>0</v>
      </c>
      <c r="E30" s="645">
        <f>SUM(E27:E29)</f>
        <v>0</v>
      </c>
      <c r="F30" s="1169">
        <f t="shared" si="7"/>
        <v>0</v>
      </c>
      <c r="G30" s="645">
        <f>SUM(G27:G29)</f>
        <v>0</v>
      </c>
      <c r="H30" s="1169">
        <f t="shared" si="8"/>
        <v>0</v>
      </c>
      <c r="I30" s="645">
        <f>SUM(I27:I29)</f>
        <v>0</v>
      </c>
      <c r="J30" s="1170">
        <f t="shared" si="9"/>
        <v>0</v>
      </c>
      <c r="K30" s="26"/>
      <c r="L30" s="26"/>
      <c r="M30" s="26"/>
      <c r="N30" s="1351" t="s">
        <v>104</v>
      </c>
      <c r="O30" s="1357">
        <f>SUBTOTAL(109,AFF18Debt[Curr Bal])</f>
        <v>0</v>
      </c>
      <c r="P30" s="1357">
        <f>SUBTOTAL(109,AFF18Debt[Curr Pmt])</f>
        <v>0</v>
      </c>
      <c r="Q30" s="1350"/>
      <c r="R30" s="1350"/>
      <c r="S30" s="26"/>
      <c r="T30" s="26"/>
      <c r="U30" s="26"/>
    </row>
    <row r="31" spans="1:21" ht="16">
      <c r="A31" s="1161" t="s">
        <v>943</v>
      </c>
      <c r="B31" s="1178"/>
      <c r="C31" s="643">
        <f>C14+C25+C30</f>
        <v>0</v>
      </c>
      <c r="D31" s="1169">
        <f t="shared" si="0"/>
        <v>0</v>
      </c>
      <c r="E31" s="643">
        <f>E14+E25+E30</f>
        <v>0</v>
      </c>
      <c r="F31" s="1169">
        <f t="shared" si="7"/>
        <v>0</v>
      </c>
      <c r="G31" s="643">
        <f>G14+G25+G30</f>
        <v>0</v>
      </c>
      <c r="H31" s="1169">
        <f t="shared" si="8"/>
        <v>0</v>
      </c>
      <c r="I31" s="643">
        <f>I14+I25+I30</f>
        <v>0</v>
      </c>
      <c r="J31" s="1170">
        <f t="shared" si="9"/>
        <v>0</v>
      </c>
    </row>
    <row r="32" spans="1:21" ht="16">
      <c r="A32" s="1167"/>
      <c r="B32" s="311"/>
      <c r="C32" s="1168"/>
      <c r="D32" s="1169"/>
      <c r="E32" s="1168"/>
      <c r="F32" s="1169"/>
      <c r="G32" s="1168"/>
      <c r="H32" s="1169"/>
      <c r="I32" s="1168"/>
      <c r="J32" s="1170"/>
    </row>
    <row r="33" spans="1:10" ht="16">
      <c r="A33" s="1161" t="s">
        <v>944</v>
      </c>
      <c r="B33" s="311"/>
      <c r="C33" s="1172"/>
      <c r="D33" s="1169"/>
      <c r="E33" s="1172"/>
      <c r="F33" s="1169"/>
      <c r="G33" s="1172"/>
      <c r="H33" s="1169"/>
      <c r="I33" s="1172"/>
      <c r="J33" s="1170"/>
    </row>
    <row r="34" spans="1:10" ht="16">
      <c r="A34" s="1167" t="s">
        <v>945</v>
      </c>
      <c r="B34" s="311"/>
      <c r="C34" s="309"/>
      <c r="D34" s="1169">
        <f t="shared" ref="D34:D40" si="10">IF($C$31=0,0,C34/$C$31)</f>
        <v>0</v>
      </c>
      <c r="E34" s="309"/>
      <c r="F34" s="1169">
        <f t="shared" ref="F34:F40" si="11">IF($E$31=0,0,E34/$E$31)</f>
        <v>0</v>
      </c>
      <c r="G34" s="309"/>
      <c r="H34" s="1169">
        <f t="shared" ref="H34:H40" si="12">IF($G$31=0,0,G34/$G$31)</f>
        <v>0</v>
      </c>
      <c r="I34" s="309"/>
      <c r="J34" s="1170">
        <f t="shared" ref="J34:J40" si="13">IF($I$31=0,0,I34/$I$31)</f>
        <v>0</v>
      </c>
    </row>
    <row r="35" spans="1:10" ht="16">
      <c r="A35" s="1167" t="s">
        <v>946</v>
      </c>
      <c r="B35" s="311"/>
      <c r="C35" s="309"/>
      <c r="D35" s="1169">
        <f t="shared" si="10"/>
        <v>0</v>
      </c>
      <c r="E35" s="309"/>
      <c r="F35" s="1169">
        <f t="shared" si="11"/>
        <v>0</v>
      </c>
      <c r="G35" s="309"/>
      <c r="H35" s="1169">
        <f t="shared" si="12"/>
        <v>0</v>
      </c>
      <c r="I35" s="309"/>
      <c r="J35" s="1170">
        <f t="shared" si="13"/>
        <v>0</v>
      </c>
    </row>
    <row r="36" spans="1:10" ht="16">
      <c r="A36" s="1167" t="s">
        <v>947</v>
      </c>
      <c r="B36" s="311"/>
      <c r="C36" s="309"/>
      <c r="D36" s="1169">
        <f t="shared" si="10"/>
        <v>0</v>
      </c>
      <c r="E36" s="309"/>
      <c r="F36" s="1169">
        <f t="shared" si="11"/>
        <v>0</v>
      </c>
      <c r="G36" s="309"/>
      <c r="H36" s="1169">
        <f t="shared" si="12"/>
        <v>0</v>
      </c>
      <c r="I36" s="309"/>
      <c r="J36" s="1170">
        <f t="shared" si="13"/>
        <v>0</v>
      </c>
    </row>
    <row r="37" spans="1:10" ht="16">
      <c r="A37" s="1167" t="s">
        <v>948</v>
      </c>
      <c r="B37" s="311"/>
      <c r="C37" s="309"/>
      <c r="D37" s="1169">
        <f t="shared" si="10"/>
        <v>0</v>
      </c>
      <c r="E37" s="309"/>
      <c r="F37" s="1169">
        <f t="shared" si="11"/>
        <v>0</v>
      </c>
      <c r="G37" s="309"/>
      <c r="H37" s="1169">
        <f t="shared" si="12"/>
        <v>0</v>
      </c>
      <c r="I37" s="309"/>
      <c r="J37" s="1170">
        <f t="shared" si="13"/>
        <v>0</v>
      </c>
    </row>
    <row r="38" spans="1:10" ht="16">
      <c r="A38" s="1167" t="s">
        <v>949</v>
      </c>
      <c r="B38" s="311"/>
      <c r="C38" s="309"/>
      <c r="D38" s="1169">
        <f t="shared" si="10"/>
        <v>0</v>
      </c>
      <c r="E38" s="309"/>
      <c r="F38" s="1169">
        <f t="shared" si="11"/>
        <v>0</v>
      </c>
      <c r="G38" s="309"/>
      <c r="H38" s="1169">
        <f t="shared" si="12"/>
        <v>0</v>
      </c>
      <c r="I38" s="309"/>
      <c r="J38" s="1170">
        <f t="shared" si="13"/>
        <v>0</v>
      </c>
    </row>
    <row r="39" spans="1:10" ht="16">
      <c r="A39" s="1319" t="s">
        <v>950</v>
      </c>
      <c r="B39" s="311"/>
      <c r="C39" s="310"/>
      <c r="D39" s="1169">
        <f t="shared" si="10"/>
        <v>0</v>
      </c>
      <c r="E39" s="310"/>
      <c r="F39" s="1169">
        <f t="shared" si="11"/>
        <v>0</v>
      </c>
      <c r="G39" s="310"/>
      <c r="H39" s="1169">
        <f t="shared" si="12"/>
        <v>0</v>
      </c>
      <c r="I39" s="310"/>
      <c r="J39" s="1170">
        <f t="shared" si="13"/>
        <v>0</v>
      </c>
    </row>
    <row r="40" spans="1:10" ht="16">
      <c r="A40" s="1161" t="s">
        <v>951</v>
      </c>
      <c r="B40" s="1178"/>
      <c r="C40" s="643">
        <f>SUM(C34:C39)</f>
        <v>0</v>
      </c>
      <c r="D40" s="1169">
        <f t="shared" si="10"/>
        <v>0</v>
      </c>
      <c r="E40" s="643">
        <f>SUM(E34:E39)</f>
        <v>0</v>
      </c>
      <c r="F40" s="1169">
        <f t="shared" si="11"/>
        <v>0</v>
      </c>
      <c r="G40" s="643">
        <f>SUM(G34:G39)</f>
        <v>0</v>
      </c>
      <c r="H40" s="1169">
        <f t="shared" si="12"/>
        <v>0</v>
      </c>
      <c r="I40" s="643">
        <f>SUM(I34:I39)</f>
        <v>0</v>
      </c>
      <c r="J40" s="1170">
        <f t="shared" si="13"/>
        <v>0</v>
      </c>
    </row>
    <row r="41" spans="1:10" ht="16">
      <c r="A41" s="1167"/>
      <c r="B41" s="311"/>
      <c r="C41" s="1172"/>
      <c r="D41" s="1169"/>
      <c r="E41" s="1172"/>
      <c r="F41" s="1169"/>
      <c r="G41" s="1172"/>
      <c r="H41" s="1169"/>
      <c r="I41" s="1172"/>
      <c r="J41" s="1170"/>
    </row>
    <row r="42" spans="1:10" ht="16">
      <c r="A42" s="1167" t="s">
        <v>952</v>
      </c>
      <c r="B42" s="311"/>
      <c r="C42" s="309"/>
      <c r="D42" s="1169">
        <f t="shared" ref="D42:D46" si="14">IF($C$31=0,0,C42/$C$31)</f>
        <v>0</v>
      </c>
      <c r="E42" s="309"/>
      <c r="F42" s="1169">
        <f t="shared" ref="F42:F46" si="15">IF($E$31=0,0,E42/$E$31)</f>
        <v>0</v>
      </c>
      <c r="G42" s="309"/>
      <c r="H42" s="1169">
        <f t="shared" ref="H42:H46" si="16">IF($G$31=0,0,G42/$G$31)</f>
        <v>0</v>
      </c>
      <c r="I42" s="309"/>
      <c r="J42" s="1170">
        <f t="shared" ref="J42:J46" si="17">IF($I$31=0,0,I42/$I$31)</f>
        <v>0</v>
      </c>
    </row>
    <row r="43" spans="1:10" ht="16">
      <c r="A43" s="1167" t="s">
        <v>953</v>
      </c>
      <c r="B43" s="311"/>
      <c r="C43" s="309"/>
      <c r="D43" s="1169">
        <f t="shared" si="14"/>
        <v>0</v>
      </c>
      <c r="E43" s="309"/>
      <c r="F43" s="1169">
        <f t="shared" si="15"/>
        <v>0</v>
      </c>
      <c r="G43" s="309"/>
      <c r="H43" s="1169">
        <f t="shared" si="16"/>
        <v>0</v>
      </c>
      <c r="I43" s="309"/>
      <c r="J43" s="1170">
        <f t="shared" si="17"/>
        <v>0</v>
      </c>
    </row>
    <row r="44" spans="1:10" ht="16">
      <c r="A44" s="1167" t="s">
        <v>954</v>
      </c>
      <c r="B44" s="311"/>
      <c r="C44" s="309"/>
      <c r="D44" s="1169">
        <f t="shared" si="14"/>
        <v>0</v>
      </c>
      <c r="E44" s="309"/>
      <c r="F44" s="1169">
        <f t="shared" si="15"/>
        <v>0</v>
      </c>
      <c r="G44" s="309"/>
      <c r="H44" s="1169">
        <f t="shared" si="16"/>
        <v>0</v>
      </c>
      <c r="I44" s="309"/>
      <c r="J44" s="1170">
        <f t="shared" si="17"/>
        <v>0</v>
      </c>
    </row>
    <row r="45" spans="1:10" ht="16">
      <c r="A45" s="1319" t="s">
        <v>955</v>
      </c>
      <c r="B45" s="311"/>
      <c r="C45" s="310"/>
      <c r="D45" s="1169">
        <f t="shared" si="14"/>
        <v>0</v>
      </c>
      <c r="E45" s="310"/>
      <c r="F45" s="1169">
        <f t="shared" si="15"/>
        <v>0</v>
      </c>
      <c r="G45" s="310"/>
      <c r="H45" s="1169">
        <f t="shared" si="16"/>
        <v>0</v>
      </c>
      <c r="I45" s="310"/>
      <c r="J45" s="1170">
        <f t="shared" si="17"/>
        <v>0</v>
      </c>
    </row>
    <row r="46" spans="1:10" ht="16">
      <c r="A46" s="1161" t="s">
        <v>956</v>
      </c>
      <c r="B46" s="1178"/>
      <c r="C46" s="643">
        <f>SUM(C42:C45)</f>
        <v>0</v>
      </c>
      <c r="D46" s="1169">
        <f t="shared" si="14"/>
        <v>0</v>
      </c>
      <c r="E46" s="643">
        <f>SUM(E42:E45)</f>
        <v>0</v>
      </c>
      <c r="F46" s="1169">
        <f t="shared" si="15"/>
        <v>0</v>
      </c>
      <c r="G46" s="643">
        <f>SUM(G42:G45)</f>
        <v>0</v>
      </c>
      <c r="H46" s="1169">
        <f t="shared" si="16"/>
        <v>0</v>
      </c>
      <c r="I46" s="643">
        <f>SUM(I42:I45)</f>
        <v>0</v>
      </c>
      <c r="J46" s="1170">
        <f t="shared" si="17"/>
        <v>0</v>
      </c>
    </row>
    <row r="47" spans="1:10" ht="16">
      <c r="A47" s="1167"/>
      <c r="B47" s="311"/>
      <c r="C47" s="1172"/>
      <c r="D47" s="1169"/>
      <c r="E47" s="1172"/>
      <c r="F47" s="1169"/>
      <c r="G47" s="1172"/>
      <c r="H47" s="1169"/>
      <c r="I47" s="1172"/>
      <c r="J47" s="1170"/>
    </row>
    <row r="48" spans="1:10" ht="16">
      <c r="A48" s="1167" t="s">
        <v>957</v>
      </c>
      <c r="B48" s="311"/>
      <c r="C48" s="309"/>
      <c r="D48" s="1169">
        <f t="shared" ref="D48:D51" si="18">IF($C$31=0,0,C48/$C$31)</f>
        <v>0</v>
      </c>
      <c r="E48" s="309"/>
      <c r="F48" s="1169">
        <f t="shared" ref="F48:F51" si="19">IF($E$31=0,0,E48/$E$31)</f>
        <v>0</v>
      </c>
      <c r="G48" s="309"/>
      <c r="H48" s="1169">
        <f t="shared" ref="H48:H51" si="20">IF($G$31=0,0,G48/$G$31)</f>
        <v>0</v>
      </c>
      <c r="I48" s="309"/>
      <c r="J48" s="1170">
        <f t="shared" ref="J48:J51" si="21">IF($I$31=0,0,I48/$I$31)</f>
        <v>0</v>
      </c>
    </row>
    <row r="49" spans="1:10" ht="16">
      <c r="A49" s="1319" t="s">
        <v>958</v>
      </c>
      <c r="B49" s="311"/>
      <c r="C49" s="310"/>
      <c r="D49" s="1169">
        <f t="shared" si="18"/>
        <v>0</v>
      </c>
      <c r="E49" s="310"/>
      <c r="F49" s="1169">
        <f t="shared" si="19"/>
        <v>0</v>
      </c>
      <c r="G49" s="310"/>
      <c r="H49" s="1169">
        <f t="shared" si="20"/>
        <v>0</v>
      </c>
      <c r="I49" s="310"/>
      <c r="J49" s="1170">
        <f t="shared" si="21"/>
        <v>0</v>
      </c>
    </row>
    <row r="50" spans="1:10" ht="16">
      <c r="A50" s="1161" t="s">
        <v>959</v>
      </c>
      <c r="B50" s="1178"/>
      <c r="C50" s="645">
        <f>SUM(C48:C49)</f>
        <v>0</v>
      </c>
      <c r="D50" s="1169">
        <f t="shared" si="18"/>
        <v>0</v>
      </c>
      <c r="E50" s="645">
        <f>SUM(E48:E49)</f>
        <v>0</v>
      </c>
      <c r="F50" s="1169">
        <f t="shared" si="19"/>
        <v>0</v>
      </c>
      <c r="G50" s="645">
        <f>SUM(G48:G49)</f>
        <v>0</v>
      </c>
      <c r="H50" s="1169">
        <f t="shared" si="20"/>
        <v>0</v>
      </c>
      <c r="I50" s="645">
        <f>SUM(I48:I49)</f>
        <v>0</v>
      </c>
      <c r="J50" s="1170">
        <f t="shared" si="21"/>
        <v>0</v>
      </c>
    </row>
    <row r="51" spans="1:10" ht="16">
      <c r="A51" s="1161" t="s">
        <v>960</v>
      </c>
      <c r="B51" s="1178"/>
      <c r="C51" s="643">
        <f>C40+C46+C50</f>
        <v>0</v>
      </c>
      <c r="D51" s="1169">
        <f t="shared" si="18"/>
        <v>0</v>
      </c>
      <c r="E51" s="643">
        <f>E40+E46+E50</f>
        <v>0</v>
      </c>
      <c r="F51" s="1169">
        <f t="shared" si="19"/>
        <v>0</v>
      </c>
      <c r="G51" s="643">
        <f>G40+G46+G50</f>
        <v>0</v>
      </c>
      <c r="H51" s="1169">
        <f t="shared" si="20"/>
        <v>0</v>
      </c>
      <c r="I51" s="643">
        <f>I40+I46+I50</f>
        <v>0</v>
      </c>
      <c r="J51" s="1170">
        <f t="shared" si="21"/>
        <v>0</v>
      </c>
    </row>
    <row r="52" spans="1:10" ht="16">
      <c r="A52" s="1167"/>
      <c r="B52" s="311"/>
      <c r="C52" s="1172"/>
      <c r="D52" s="1169"/>
      <c r="E52" s="1172"/>
      <c r="F52" s="1169"/>
      <c r="G52" s="1172"/>
      <c r="H52" s="1169"/>
      <c r="I52" s="1172"/>
      <c r="J52" s="1170"/>
    </row>
    <row r="53" spans="1:10" ht="16">
      <c r="A53" s="1167" t="s">
        <v>961</v>
      </c>
      <c r="B53" s="311"/>
      <c r="C53" s="309"/>
      <c r="D53" s="1169">
        <f t="shared" ref="D53:D59" si="22">IF($C$31=0,0,C53/$C$31)</f>
        <v>0</v>
      </c>
      <c r="E53" s="309"/>
      <c r="F53" s="1169">
        <f t="shared" ref="F53:F59" si="23">IF($E$31=0,0,E53/$E$31)</f>
        <v>0</v>
      </c>
      <c r="G53" s="309"/>
      <c r="H53" s="1169">
        <f t="shared" ref="H53:H59" si="24">IF($G$31=0,0,G53/$G$31)</f>
        <v>0</v>
      </c>
      <c r="I53" s="309"/>
      <c r="J53" s="1170">
        <f t="shared" ref="J53:J59" si="25">IF($I$31=0,0,I53/$I$31)</f>
        <v>0</v>
      </c>
    </row>
    <row r="54" spans="1:10" ht="16">
      <c r="A54" s="1167" t="s">
        <v>962</v>
      </c>
      <c r="B54" s="311"/>
      <c r="C54" s="309"/>
      <c r="D54" s="1169">
        <f t="shared" si="22"/>
        <v>0</v>
      </c>
      <c r="E54" s="309"/>
      <c r="F54" s="1169">
        <f t="shared" si="23"/>
        <v>0</v>
      </c>
      <c r="G54" s="309"/>
      <c r="H54" s="1169">
        <f t="shared" si="24"/>
        <v>0</v>
      </c>
      <c r="I54" s="309"/>
      <c r="J54" s="1170">
        <f t="shared" si="25"/>
        <v>0</v>
      </c>
    </row>
    <row r="55" spans="1:10" ht="16">
      <c r="A55" s="1167" t="s">
        <v>963</v>
      </c>
      <c r="B55" s="311"/>
      <c r="C55" s="309"/>
      <c r="D55" s="1169">
        <f t="shared" si="22"/>
        <v>0</v>
      </c>
      <c r="E55" s="309"/>
      <c r="F55" s="1169">
        <f t="shared" si="23"/>
        <v>0</v>
      </c>
      <c r="G55" s="309"/>
      <c r="H55" s="1169">
        <f t="shared" si="24"/>
        <v>0</v>
      </c>
      <c r="I55" s="309"/>
      <c r="J55" s="1170">
        <f t="shared" si="25"/>
        <v>0</v>
      </c>
    </row>
    <row r="56" spans="1:10" ht="16">
      <c r="A56" s="1319" t="s">
        <v>218</v>
      </c>
      <c r="B56" s="311"/>
      <c r="C56" s="310"/>
      <c r="D56" s="1169">
        <f t="shared" si="22"/>
        <v>0</v>
      </c>
      <c r="E56" s="310"/>
      <c r="F56" s="1169">
        <f t="shared" si="23"/>
        <v>0</v>
      </c>
      <c r="G56" s="310"/>
      <c r="H56" s="1169">
        <f t="shared" si="24"/>
        <v>0</v>
      </c>
      <c r="I56" s="310"/>
      <c r="J56" s="1170">
        <f t="shared" si="25"/>
        <v>0</v>
      </c>
    </row>
    <row r="57" spans="1:10" ht="16">
      <c r="A57" s="1161" t="s">
        <v>964</v>
      </c>
      <c r="B57" s="1178"/>
      <c r="C57" s="645">
        <f>SUM(C53:C56)</f>
        <v>0</v>
      </c>
      <c r="D57" s="1169">
        <f t="shared" si="22"/>
        <v>0</v>
      </c>
      <c r="E57" s="645">
        <f>SUM(E53:E56)</f>
        <v>0</v>
      </c>
      <c r="F57" s="1169">
        <f t="shared" si="23"/>
        <v>0</v>
      </c>
      <c r="G57" s="645">
        <f>SUM(G53:G56)</f>
        <v>0</v>
      </c>
      <c r="H57" s="1169">
        <f t="shared" si="24"/>
        <v>0</v>
      </c>
      <c r="I57" s="645">
        <f>SUM(I53:I56)</f>
        <v>0</v>
      </c>
      <c r="J57" s="1170">
        <f t="shared" si="25"/>
        <v>0</v>
      </c>
    </row>
    <row r="58" spans="1:10" ht="16">
      <c r="A58" s="1161" t="s">
        <v>965</v>
      </c>
      <c r="B58" s="1178"/>
      <c r="C58" s="644">
        <f>C31-C51-C27-C28</f>
        <v>0</v>
      </c>
      <c r="D58" s="1169"/>
      <c r="E58" s="644">
        <f>E31-E51-E27-E28</f>
        <v>0</v>
      </c>
      <c r="F58" s="1174"/>
      <c r="G58" s="644">
        <f>G31-G51-G27-G28</f>
        <v>0</v>
      </c>
      <c r="H58" s="1174"/>
      <c r="I58" s="644">
        <f>I31-I51-I27-I28</f>
        <v>0</v>
      </c>
      <c r="J58" s="1170">
        <f t="shared" si="25"/>
        <v>0</v>
      </c>
    </row>
    <row r="59" spans="1:10" ht="17" thickBot="1">
      <c r="A59" s="1161" t="s">
        <v>966</v>
      </c>
      <c r="B59" s="1178"/>
      <c r="C59" s="1175">
        <f>C51+C57</f>
        <v>0</v>
      </c>
      <c r="D59" s="1169">
        <f t="shared" si="22"/>
        <v>0</v>
      </c>
      <c r="E59" s="1175">
        <f>E51+E57</f>
        <v>0</v>
      </c>
      <c r="F59" s="1169">
        <f t="shared" si="23"/>
        <v>0</v>
      </c>
      <c r="G59" s="1175">
        <f>G51+G57</f>
        <v>0</v>
      </c>
      <c r="H59" s="1169">
        <f t="shared" si="24"/>
        <v>0</v>
      </c>
      <c r="I59" s="1175">
        <f>I51+I57</f>
        <v>0</v>
      </c>
      <c r="J59" s="1170">
        <f t="shared" si="25"/>
        <v>0</v>
      </c>
    </row>
    <row r="60" spans="1:10" ht="18" thickTop="1" thickBot="1">
      <c r="A60" s="1161" t="s">
        <v>967</v>
      </c>
      <c r="B60" s="1178"/>
      <c r="C60" s="644">
        <f>C31-C59</f>
        <v>0</v>
      </c>
      <c r="D60" s="1176"/>
      <c r="E60" s="644">
        <f>E31-E59</f>
        <v>0</v>
      </c>
      <c r="F60" s="1176"/>
      <c r="G60" s="644">
        <f>G31-G59</f>
        <v>0</v>
      </c>
      <c r="H60" s="1176"/>
      <c r="I60" s="644">
        <f>I31-I59</f>
        <v>0</v>
      </c>
      <c r="J60" s="1177"/>
    </row>
    <row r="61" spans="1:10" ht="16" thickBot="1">
      <c r="A61" s="2979" t="str">
        <f>A2</f>
        <v>{Insert business name which represents PSOR}</v>
      </c>
      <c r="B61" s="2980"/>
      <c r="C61" s="2980"/>
      <c r="D61" s="2980"/>
      <c r="E61" s="2980"/>
      <c r="F61" s="2980"/>
      <c r="G61" s="2980"/>
      <c r="H61" s="2980"/>
      <c r="I61" s="2980"/>
      <c r="J61" s="2981"/>
    </row>
    <row r="62" spans="1:10" ht="17" thickBot="1">
      <c r="A62" s="2990" t="s">
        <v>968</v>
      </c>
      <c r="B62" s="2991"/>
      <c r="C62" s="2991"/>
      <c r="D62" s="2991"/>
      <c r="E62" s="2991"/>
      <c r="F62" s="2991"/>
      <c r="G62" s="2991"/>
      <c r="H62" s="2991"/>
      <c r="I62" s="2991"/>
      <c r="J62" s="2992"/>
    </row>
    <row r="63" spans="1:10" ht="16">
      <c r="A63" s="1167" t="s">
        <v>969</v>
      </c>
      <c r="B63" s="311"/>
      <c r="C63" s="310"/>
      <c r="D63" s="1193"/>
      <c r="E63" s="1172">
        <f>C76</f>
        <v>0</v>
      </c>
      <c r="F63" s="1194"/>
      <c r="G63" s="1172">
        <f>E76</f>
        <v>0</v>
      </c>
      <c r="H63" s="1195"/>
      <c r="I63" s="1172">
        <f>G76</f>
        <v>0</v>
      </c>
      <c r="J63" s="1154"/>
    </row>
    <row r="64" spans="1:10" ht="16">
      <c r="A64" s="1167" t="s">
        <v>970</v>
      </c>
      <c r="B64" s="311"/>
      <c r="C64" s="1196">
        <f>'Aff 18 IS'!D60</f>
        <v>0</v>
      </c>
      <c r="D64" s="1193"/>
      <c r="E64" s="1196">
        <f>'Aff 18 IS'!F60</f>
        <v>0</v>
      </c>
      <c r="F64" s="1194"/>
      <c r="G64" s="1196">
        <f>'Aff 18 IS'!H60</f>
        <v>0</v>
      </c>
      <c r="H64" s="1195"/>
      <c r="I64" s="1196">
        <f>'Aff 18 IS'!J60</f>
        <v>0</v>
      </c>
      <c r="J64" s="1154"/>
    </row>
    <row r="65" spans="1:10" ht="16">
      <c r="A65" s="1167" t="s">
        <v>971</v>
      </c>
      <c r="B65" s="311"/>
      <c r="C65" s="309"/>
      <c r="D65" s="1193"/>
      <c r="E65" s="309"/>
      <c r="F65" s="1194"/>
      <c r="G65" s="309"/>
      <c r="H65" s="1195"/>
      <c r="I65" s="309"/>
      <c r="J65" s="1154"/>
    </row>
    <row r="66" spans="1:10" ht="16">
      <c r="A66" s="1167" t="s">
        <v>972</v>
      </c>
      <c r="B66" s="311"/>
      <c r="C66" s="309"/>
      <c r="D66" s="1193"/>
      <c r="E66" s="309"/>
      <c r="F66" s="1194"/>
      <c r="G66" s="309"/>
      <c r="H66" s="1195"/>
      <c r="I66" s="309"/>
      <c r="J66" s="1154"/>
    </row>
    <row r="67" spans="1:10" ht="16">
      <c r="A67" s="1167" t="s">
        <v>973</v>
      </c>
      <c r="B67" s="311"/>
      <c r="C67" s="309"/>
      <c r="D67" s="1193"/>
      <c r="E67" s="309"/>
      <c r="F67" s="1194"/>
      <c r="G67" s="309"/>
      <c r="H67" s="1195"/>
      <c r="I67" s="309"/>
      <c r="J67" s="1154"/>
    </row>
    <row r="68" spans="1:10" ht="16">
      <c r="A68" s="1167" t="s">
        <v>974</v>
      </c>
      <c r="B68" s="311"/>
      <c r="C68" s="309"/>
      <c r="D68" s="1193"/>
      <c r="E68" s="309"/>
      <c r="F68" s="1194"/>
      <c r="G68" s="309"/>
      <c r="H68" s="1195"/>
      <c r="I68" s="309"/>
      <c r="J68" s="1154"/>
    </row>
    <row r="69" spans="1:10" ht="15" customHeight="1">
      <c r="A69" s="1167" t="s">
        <v>975</v>
      </c>
      <c r="B69" s="311"/>
      <c r="C69" s="309"/>
      <c r="D69" s="1193"/>
      <c r="E69" s="309"/>
      <c r="F69" s="1194"/>
      <c r="G69" s="309"/>
      <c r="H69" s="1195"/>
      <c r="I69" s="309"/>
      <c r="J69" s="1154"/>
    </row>
    <row r="70" spans="1:10" ht="15" customHeight="1">
      <c r="A70" s="1167" t="s">
        <v>976</v>
      </c>
      <c r="B70" s="311"/>
      <c r="C70" s="309"/>
      <c r="D70" s="1193"/>
      <c r="E70" s="309"/>
      <c r="F70" s="1194"/>
      <c r="G70" s="309"/>
      <c r="H70" s="1195"/>
      <c r="I70" s="309"/>
      <c r="J70" s="1154"/>
    </row>
    <row r="71" spans="1:10" ht="15" customHeight="1">
      <c r="A71" s="1167" t="s">
        <v>977</v>
      </c>
      <c r="B71" s="311"/>
      <c r="C71" s="309"/>
      <c r="D71" s="1193"/>
      <c r="E71" s="309"/>
      <c r="F71" s="1194"/>
      <c r="G71" s="309"/>
      <c r="H71" s="1195"/>
      <c r="I71" s="309"/>
      <c r="J71" s="1154"/>
    </row>
    <row r="72" spans="1:10" ht="15" customHeight="1">
      <c r="A72" s="1167" t="s">
        <v>292</v>
      </c>
      <c r="B72" s="311"/>
      <c r="C72" s="309"/>
      <c r="D72" s="1193"/>
      <c r="E72" s="309"/>
      <c r="F72" s="1194"/>
      <c r="G72" s="309"/>
      <c r="H72" s="1195"/>
      <c r="I72" s="309"/>
      <c r="J72" s="1154"/>
    </row>
    <row r="73" spans="1:10" ht="15" customHeight="1">
      <c r="A73" s="1167" t="s">
        <v>962</v>
      </c>
      <c r="B73" s="311"/>
      <c r="C73" s="309"/>
      <c r="D73" s="1193"/>
      <c r="E73" s="309"/>
      <c r="F73" s="1194"/>
      <c r="G73" s="309"/>
      <c r="H73" s="1195"/>
      <c r="I73" s="309"/>
      <c r="J73" s="1154"/>
    </row>
    <row r="74" spans="1:10" ht="15" customHeight="1">
      <c r="A74" s="1167" t="s">
        <v>978</v>
      </c>
      <c r="B74" s="311"/>
      <c r="C74" s="309"/>
      <c r="D74" s="1193"/>
      <c r="E74" s="309"/>
      <c r="F74" s="1194"/>
      <c r="G74" s="309"/>
      <c r="H74" s="1195"/>
      <c r="I74" s="309"/>
      <c r="J74" s="1154"/>
    </row>
    <row r="75" spans="1:10" ht="15" customHeight="1">
      <c r="A75" s="1167" t="s">
        <v>979</v>
      </c>
      <c r="B75" s="311"/>
      <c r="C75" s="309"/>
      <c r="D75" s="1193"/>
      <c r="E75" s="309"/>
      <c r="F75" s="1194"/>
      <c r="G75" s="309"/>
      <c r="H75" s="1195"/>
      <c r="I75" s="309"/>
      <c r="J75" s="1154"/>
    </row>
    <row r="76" spans="1:10" ht="15" customHeight="1">
      <c r="A76" s="1167" t="s">
        <v>980</v>
      </c>
      <c r="B76" s="311"/>
      <c r="C76" s="1196">
        <f>SUM(C63:C75)</f>
        <v>0</v>
      </c>
      <c r="D76" s="1197"/>
      <c r="E76" s="1196">
        <f>SUM(E63:E75)</f>
        <v>0</v>
      </c>
      <c r="F76" s="1197"/>
      <c r="G76" s="1196">
        <f>SUM(G63:G75)</f>
        <v>0</v>
      </c>
      <c r="H76" s="1163"/>
      <c r="I76" s="1196">
        <f>SUM(I63:I75)</f>
        <v>0</v>
      </c>
      <c r="J76" s="1154"/>
    </row>
    <row r="77" spans="1:10" ht="17" thickBot="1">
      <c r="A77" s="1167" t="s">
        <v>981</v>
      </c>
      <c r="B77" s="1205"/>
      <c r="C77" s="1202">
        <f>C76-C57</f>
        <v>0</v>
      </c>
      <c r="D77" s="122"/>
      <c r="E77" s="1202">
        <f>E76-E57</f>
        <v>0</v>
      </c>
      <c r="F77" s="122"/>
      <c r="G77" s="1202">
        <f>G76-G57</f>
        <v>0</v>
      </c>
      <c r="H77" s="122"/>
      <c r="I77" s="1202">
        <f>I76-I57</f>
        <v>0</v>
      </c>
      <c r="J77" s="1154"/>
    </row>
    <row r="78" spans="1:10" ht="16">
      <c r="A78" s="2289" t="s">
        <v>982</v>
      </c>
      <c r="B78" s="2290"/>
      <c r="C78" s="2290"/>
      <c r="D78" s="2290"/>
      <c r="E78" s="2290"/>
      <c r="F78" s="2290"/>
      <c r="G78" s="2290"/>
      <c r="H78" s="2290"/>
      <c r="I78" s="2290"/>
      <c r="J78" s="2291"/>
    </row>
    <row r="79" spans="1:10">
      <c r="A79" s="2985"/>
      <c r="B79" s="2777"/>
      <c r="C79" s="2777"/>
      <c r="D79" s="2777"/>
      <c r="E79" s="2777"/>
      <c r="F79" s="2777"/>
      <c r="G79" s="2777"/>
      <c r="H79" s="2777"/>
      <c r="I79" s="2777"/>
      <c r="J79" s="2986"/>
    </row>
    <row r="80" spans="1:10">
      <c r="A80" s="2985"/>
      <c r="B80" s="2777"/>
      <c r="C80" s="2777"/>
      <c r="D80" s="2777"/>
      <c r="E80" s="2777"/>
      <c r="F80" s="2777"/>
      <c r="G80" s="2777"/>
      <c r="H80" s="2777"/>
      <c r="I80" s="2777"/>
      <c r="J80" s="2986"/>
    </row>
    <row r="81" spans="1:10">
      <c r="A81" s="2985"/>
      <c r="B81" s="2777"/>
      <c r="C81" s="2777"/>
      <c r="D81" s="2777"/>
      <c r="E81" s="2777"/>
      <c r="F81" s="2777"/>
      <c r="G81" s="2777"/>
      <c r="H81" s="2777"/>
      <c r="I81" s="2777"/>
      <c r="J81" s="2986"/>
    </row>
    <row r="82" spans="1:10">
      <c r="A82" s="2985"/>
      <c r="B82" s="2777"/>
      <c r="C82" s="2777"/>
      <c r="D82" s="2777"/>
      <c r="E82" s="2777"/>
      <c r="F82" s="2777"/>
      <c r="G82" s="2777"/>
      <c r="H82" s="2777"/>
      <c r="I82" s="2777"/>
      <c r="J82" s="2986"/>
    </row>
    <row r="83" spans="1:10">
      <c r="A83" s="2985"/>
      <c r="B83" s="2777"/>
      <c r="C83" s="2777"/>
      <c r="D83" s="2777"/>
      <c r="E83" s="2777"/>
      <c r="F83" s="2777"/>
      <c r="G83" s="2777"/>
      <c r="H83" s="2777"/>
      <c r="I83" s="2777"/>
      <c r="J83" s="2986"/>
    </row>
    <row r="84" spans="1:10">
      <c r="A84" s="2985"/>
      <c r="B84" s="2777"/>
      <c r="C84" s="2777"/>
      <c r="D84" s="2777"/>
      <c r="E84" s="2777"/>
      <c r="F84" s="2777"/>
      <c r="G84" s="2777"/>
      <c r="H84" s="2777"/>
      <c r="I84" s="2777"/>
      <c r="J84" s="2986"/>
    </row>
    <row r="85" spans="1:10">
      <c r="A85" s="2985"/>
      <c r="B85" s="2777"/>
      <c r="C85" s="2777"/>
      <c r="D85" s="2777"/>
      <c r="E85" s="2777"/>
      <c r="F85" s="2777"/>
      <c r="G85" s="2777"/>
      <c r="H85" s="2777"/>
      <c r="I85" s="2777"/>
      <c r="J85" s="2986"/>
    </row>
    <row r="86" spans="1:10">
      <c r="A86" s="2985"/>
      <c r="B86" s="2777"/>
      <c r="C86" s="2777"/>
      <c r="D86" s="2777"/>
      <c r="E86" s="2777"/>
      <c r="F86" s="2777"/>
      <c r="G86" s="2777"/>
      <c r="H86" s="2777"/>
      <c r="I86" s="2777"/>
      <c r="J86" s="2986"/>
    </row>
    <row r="87" spans="1:10">
      <c r="A87" s="2985"/>
      <c r="B87" s="2777"/>
      <c r="C87" s="2777"/>
      <c r="D87" s="2777"/>
      <c r="E87" s="2777"/>
      <c r="F87" s="2777"/>
      <c r="G87" s="2777"/>
      <c r="H87" s="2777"/>
      <c r="I87" s="2777"/>
      <c r="J87" s="2986"/>
    </row>
    <row r="88" spans="1:10">
      <c r="A88" s="2985"/>
      <c r="B88" s="2777"/>
      <c r="C88" s="2777"/>
      <c r="D88" s="2777"/>
      <c r="E88" s="2777"/>
      <c r="F88" s="2777"/>
      <c r="G88" s="2777"/>
      <c r="H88" s="2777"/>
      <c r="I88" s="2777"/>
      <c r="J88" s="2986"/>
    </row>
    <row r="89" spans="1:10">
      <c r="A89" s="2985"/>
      <c r="B89" s="2777"/>
      <c r="C89" s="2777"/>
      <c r="D89" s="2777"/>
      <c r="E89" s="2777"/>
      <c r="F89" s="2777"/>
      <c r="G89" s="2777"/>
      <c r="H89" s="2777"/>
      <c r="I89" s="2777"/>
      <c r="J89" s="2986"/>
    </row>
    <row r="90" spans="1:10">
      <c r="A90" s="2985"/>
      <c r="B90" s="2777"/>
      <c r="C90" s="2777"/>
      <c r="D90" s="2777"/>
      <c r="E90" s="2777"/>
      <c r="F90" s="2777"/>
      <c r="G90" s="2777"/>
      <c r="H90" s="2777"/>
      <c r="I90" s="2777"/>
      <c r="J90" s="2986"/>
    </row>
    <row r="91" spans="1:10">
      <c r="A91" s="2985"/>
      <c r="B91" s="2777"/>
      <c r="C91" s="2777"/>
      <c r="D91" s="2777"/>
      <c r="E91" s="2777"/>
      <c r="F91" s="2777"/>
      <c r="G91" s="2777"/>
      <c r="H91" s="2777"/>
      <c r="I91" s="2777"/>
      <c r="J91" s="2986"/>
    </row>
    <row r="92" spans="1:10">
      <c r="A92" s="2985"/>
      <c r="B92" s="2777"/>
      <c r="C92" s="2777"/>
      <c r="D92" s="2777"/>
      <c r="E92" s="2777"/>
      <c r="F92" s="2777"/>
      <c r="G92" s="2777"/>
      <c r="H92" s="2777"/>
      <c r="I92" s="2777"/>
      <c r="J92" s="2986"/>
    </row>
    <row r="93" spans="1:10">
      <c r="A93" s="2985"/>
      <c r="B93" s="2777"/>
      <c r="C93" s="2777"/>
      <c r="D93" s="2777"/>
      <c r="E93" s="2777"/>
      <c r="F93" s="2777"/>
      <c r="G93" s="2777"/>
      <c r="H93" s="2777"/>
      <c r="I93" s="2777"/>
      <c r="J93" s="2986"/>
    </row>
    <row r="94" spans="1:10">
      <c r="A94" s="2985"/>
      <c r="B94" s="2777"/>
      <c r="C94" s="2777"/>
      <c r="D94" s="2777"/>
      <c r="E94" s="2777"/>
      <c r="F94" s="2777"/>
      <c r="G94" s="2777"/>
      <c r="H94" s="2777"/>
      <c r="I94" s="2777"/>
      <c r="J94" s="2986"/>
    </row>
    <row r="95" spans="1:10">
      <c r="A95" s="2985"/>
      <c r="B95" s="2777"/>
      <c r="C95" s="2777"/>
      <c r="D95" s="2777"/>
      <c r="E95" s="2777"/>
      <c r="F95" s="2777"/>
      <c r="G95" s="2777"/>
      <c r="H95" s="2777"/>
      <c r="I95" s="2777"/>
      <c r="J95" s="2986"/>
    </row>
    <row r="96" spans="1:10">
      <c r="A96" s="2985"/>
      <c r="B96" s="2777"/>
      <c r="C96" s="2777"/>
      <c r="D96" s="2777"/>
      <c r="E96" s="2777"/>
      <c r="F96" s="2777"/>
      <c r="G96" s="2777"/>
      <c r="H96" s="2777"/>
      <c r="I96" s="2777"/>
      <c r="J96" s="2986"/>
    </row>
    <row r="97" spans="1:10">
      <c r="A97" s="2985"/>
      <c r="B97" s="2777"/>
      <c r="C97" s="2777"/>
      <c r="D97" s="2777"/>
      <c r="E97" s="2777"/>
      <c r="F97" s="2777"/>
      <c r="G97" s="2777"/>
      <c r="H97" s="2777"/>
      <c r="I97" s="2777"/>
      <c r="J97" s="2986"/>
    </row>
    <row r="98" spans="1:10">
      <c r="A98" s="2985"/>
      <c r="B98" s="2777"/>
      <c r="C98" s="2777"/>
      <c r="D98" s="2777"/>
      <c r="E98" s="2777"/>
      <c r="F98" s="2777"/>
      <c r="G98" s="2777"/>
      <c r="H98" s="2777"/>
      <c r="I98" s="2777"/>
      <c r="J98" s="2986"/>
    </row>
    <row r="99" spans="1:10">
      <c r="A99" s="2985"/>
      <c r="B99" s="2777"/>
      <c r="C99" s="2777"/>
      <c r="D99" s="2777"/>
      <c r="E99" s="2777"/>
      <c r="F99" s="2777"/>
      <c r="G99" s="2777"/>
      <c r="H99" s="2777"/>
      <c r="I99" s="2777"/>
      <c r="J99" s="2986"/>
    </row>
    <row r="100" spans="1:10">
      <c r="A100" s="2985"/>
      <c r="B100" s="2777"/>
      <c r="C100" s="2777"/>
      <c r="D100" s="2777"/>
      <c r="E100" s="2777"/>
      <c r="F100" s="2777"/>
      <c r="G100" s="2777"/>
      <c r="H100" s="2777"/>
      <c r="I100" s="2777"/>
      <c r="J100" s="2986"/>
    </row>
    <row r="101" spans="1:10">
      <c r="A101" s="2985"/>
      <c r="B101" s="2777"/>
      <c r="C101" s="2777"/>
      <c r="D101" s="2777"/>
      <c r="E101" s="2777"/>
      <c r="F101" s="2777"/>
      <c r="G101" s="2777"/>
      <c r="H101" s="2777"/>
      <c r="I101" s="2777"/>
      <c r="J101" s="2986"/>
    </row>
    <row r="102" spans="1:10">
      <c r="A102" s="2985"/>
      <c r="B102" s="2777"/>
      <c r="C102" s="2777"/>
      <c r="D102" s="2777"/>
      <c r="E102" s="2777"/>
      <c r="F102" s="2777"/>
      <c r="G102" s="2777"/>
      <c r="H102" s="2777"/>
      <c r="I102" s="2777"/>
      <c r="J102" s="2986"/>
    </row>
    <row r="103" spans="1:10">
      <c r="A103" s="2985"/>
      <c r="B103" s="2777"/>
      <c r="C103" s="2777"/>
      <c r="D103" s="2777"/>
      <c r="E103" s="2777"/>
      <c r="F103" s="2777"/>
      <c r="G103" s="2777"/>
      <c r="H103" s="2777"/>
      <c r="I103" s="2777"/>
      <c r="J103" s="2986"/>
    </row>
    <row r="104" spans="1:10">
      <c r="A104" s="2985"/>
      <c r="B104" s="2777"/>
      <c r="C104" s="2777"/>
      <c r="D104" s="2777"/>
      <c r="E104" s="2777"/>
      <c r="F104" s="2777"/>
      <c r="G104" s="2777"/>
      <c r="H104" s="2777"/>
      <c r="I104" s="2777"/>
      <c r="J104" s="2986"/>
    </row>
    <row r="105" spans="1:10">
      <c r="A105" s="2985"/>
      <c r="B105" s="2777"/>
      <c r="C105" s="2777"/>
      <c r="D105" s="2777"/>
      <c r="E105" s="2777"/>
      <c r="F105" s="2777"/>
      <c r="G105" s="2777"/>
      <c r="H105" s="2777"/>
      <c r="I105" s="2777"/>
      <c r="J105" s="2986"/>
    </row>
    <row r="106" spans="1:10">
      <c r="A106" s="2985"/>
      <c r="B106" s="2777"/>
      <c r="C106" s="2777"/>
      <c r="D106" s="2777"/>
      <c r="E106" s="2777"/>
      <c r="F106" s="2777"/>
      <c r="G106" s="2777"/>
      <c r="H106" s="2777"/>
      <c r="I106" s="2777"/>
      <c r="J106" s="2986"/>
    </row>
    <row r="107" spans="1:10">
      <c r="A107" s="2985"/>
      <c r="B107" s="2777"/>
      <c r="C107" s="2777"/>
      <c r="D107" s="2777"/>
      <c r="E107" s="2777"/>
      <c r="F107" s="2777"/>
      <c r="G107" s="2777"/>
      <c r="H107" s="2777"/>
      <c r="I107" s="2777"/>
      <c r="J107" s="2986"/>
    </row>
    <row r="108" spans="1:10">
      <c r="A108" s="2985"/>
      <c r="B108" s="2777"/>
      <c r="C108" s="2777"/>
      <c r="D108" s="2777"/>
      <c r="E108" s="2777"/>
      <c r="F108" s="2777"/>
      <c r="G108" s="2777"/>
      <c r="H108" s="2777"/>
      <c r="I108" s="2777"/>
      <c r="J108" s="2986"/>
    </row>
    <row r="109" spans="1:10">
      <c r="A109" s="2985"/>
      <c r="B109" s="2777"/>
      <c r="C109" s="2777"/>
      <c r="D109" s="2777"/>
      <c r="E109" s="2777"/>
      <c r="F109" s="2777"/>
      <c r="G109" s="2777"/>
      <c r="H109" s="2777"/>
      <c r="I109" s="2777"/>
      <c r="J109" s="2986"/>
    </row>
    <row r="110" spans="1:10">
      <c r="A110" s="2985"/>
      <c r="B110" s="2777"/>
      <c r="C110" s="2777"/>
      <c r="D110" s="2777"/>
      <c r="E110" s="2777"/>
      <c r="F110" s="2777"/>
      <c r="G110" s="2777"/>
      <c r="H110" s="2777"/>
      <c r="I110" s="2777"/>
      <c r="J110" s="2986"/>
    </row>
    <row r="111" spans="1:10">
      <c r="A111" s="2985"/>
      <c r="B111" s="2777"/>
      <c r="C111" s="2777"/>
      <c r="D111" s="2777"/>
      <c r="E111" s="2777"/>
      <c r="F111" s="2777"/>
      <c r="G111" s="2777"/>
      <c r="H111" s="2777"/>
      <c r="I111" s="2777"/>
      <c r="J111" s="2986"/>
    </row>
    <row r="112" spans="1:10">
      <c r="A112" s="2985"/>
      <c r="B112" s="2777"/>
      <c r="C112" s="2777"/>
      <c r="D112" s="2777"/>
      <c r="E112" s="2777"/>
      <c r="F112" s="2777"/>
      <c r="G112" s="2777"/>
      <c r="H112" s="2777"/>
      <c r="I112" s="2777"/>
      <c r="J112" s="2986"/>
    </row>
    <row r="113" spans="1:10">
      <c r="A113" s="2985"/>
      <c r="B113" s="2777"/>
      <c r="C113" s="2777"/>
      <c r="D113" s="2777"/>
      <c r="E113" s="2777"/>
      <c r="F113" s="2777"/>
      <c r="G113" s="2777"/>
      <c r="H113" s="2777"/>
      <c r="I113" s="2777"/>
      <c r="J113" s="2986"/>
    </row>
    <row r="114" spans="1:10">
      <c r="A114" s="2985"/>
      <c r="B114" s="2777"/>
      <c r="C114" s="2777"/>
      <c r="D114" s="2777"/>
      <c r="E114" s="2777"/>
      <c r="F114" s="2777"/>
      <c r="G114" s="2777"/>
      <c r="H114" s="2777"/>
      <c r="I114" s="2777"/>
      <c r="J114" s="2986"/>
    </row>
    <row r="115" spans="1:10">
      <c r="A115" s="2985"/>
      <c r="B115" s="2777"/>
      <c r="C115" s="2777"/>
      <c r="D115" s="2777"/>
      <c r="E115" s="2777"/>
      <c r="F115" s="2777"/>
      <c r="G115" s="2777"/>
      <c r="H115" s="2777"/>
      <c r="I115" s="2777"/>
      <c r="J115" s="2986"/>
    </row>
    <row r="116" spans="1:10">
      <c r="A116" s="2985"/>
      <c r="B116" s="2777"/>
      <c r="C116" s="2777"/>
      <c r="D116" s="2777"/>
      <c r="E116" s="2777"/>
      <c r="F116" s="2777"/>
      <c r="G116" s="2777"/>
      <c r="H116" s="2777"/>
      <c r="I116" s="2777"/>
      <c r="J116" s="2986"/>
    </row>
    <row r="117" spans="1:10">
      <c r="A117" s="2985"/>
      <c r="B117" s="2777"/>
      <c r="C117" s="2777"/>
      <c r="D117" s="2777"/>
      <c r="E117" s="2777"/>
      <c r="F117" s="2777"/>
      <c r="G117" s="2777"/>
      <c r="H117" s="2777"/>
      <c r="I117" s="2777"/>
      <c r="J117" s="2986"/>
    </row>
    <row r="118" spans="1:10">
      <c r="A118" s="2985"/>
      <c r="B118" s="2777"/>
      <c r="C118" s="2777"/>
      <c r="D118" s="2777"/>
      <c r="E118" s="2777"/>
      <c r="F118" s="2777"/>
      <c r="G118" s="2777"/>
      <c r="H118" s="2777"/>
      <c r="I118" s="2777"/>
      <c r="J118" s="2986"/>
    </row>
    <row r="119" spans="1:10">
      <c r="A119" s="2985"/>
      <c r="B119" s="2777"/>
      <c r="C119" s="2777"/>
      <c r="D119" s="2777"/>
      <c r="E119" s="2777"/>
      <c r="F119" s="2777"/>
      <c r="G119" s="2777"/>
      <c r="H119" s="2777"/>
      <c r="I119" s="2777"/>
      <c r="J119" s="2986"/>
    </row>
    <row r="120" spans="1:10">
      <c r="A120" s="2985"/>
      <c r="B120" s="2777"/>
      <c r="C120" s="2777"/>
      <c r="D120" s="2777"/>
      <c r="E120" s="2777"/>
      <c r="F120" s="2777"/>
      <c r="G120" s="2777"/>
      <c r="H120" s="2777"/>
      <c r="I120" s="2777"/>
      <c r="J120" s="2986"/>
    </row>
    <row r="121" spans="1:10">
      <c r="A121" s="2985"/>
      <c r="B121" s="2777"/>
      <c r="C121" s="2777"/>
      <c r="D121" s="2777"/>
      <c r="E121" s="2777"/>
      <c r="F121" s="2777"/>
      <c r="G121" s="2777"/>
      <c r="H121" s="2777"/>
      <c r="I121" s="2777"/>
      <c r="J121" s="2986"/>
    </row>
    <row r="122" spans="1:10" ht="16" thickBot="1">
      <c r="A122" s="2982"/>
      <c r="B122" s="2983"/>
      <c r="C122" s="2983"/>
      <c r="D122" s="2983"/>
      <c r="E122" s="2983"/>
      <c r="F122" s="2983"/>
      <c r="G122" s="2983"/>
      <c r="H122" s="2983"/>
      <c r="I122" s="2983"/>
      <c r="J122" s="2984"/>
    </row>
  </sheetData>
  <sheetProtection algorithmName="SHA-512" hashValue="wdB7Hs600e4WdiPy5P7nBh1en8KQa2dJs1a9GMy3Lng49PfOi+1dhVkU5p4oSnXZbgCN4Wps1thvbI2SQTbE7Q==" saltValue="F4k5DCn3ly5pqGIKc+s4yA==" spinCount="100000" sheet="1" scenarios="1" formatCells="0" formatColumns="0" formatRows="0"/>
  <mergeCells count="49">
    <mergeCell ref="A122:J122"/>
    <mergeCell ref="A116:J116"/>
    <mergeCell ref="A117:J117"/>
    <mergeCell ref="A118:J118"/>
    <mergeCell ref="A119:J119"/>
    <mergeCell ref="A120:J120"/>
    <mergeCell ref="A121:J121"/>
    <mergeCell ref="A115:J115"/>
    <mergeCell ref="A104:J104"/>
    <mergeCell ref="A105:J105"/>
    <mergeCell ref="A106:J106"/>
    <mergeCell ref="A107:J107"/>
    <mergeCell ref="A108:J108"/>
    <mergeCell ref="A109:J109"/>
    <mergeCell ref="A110:J110"/>
    <mergeCell ref="A111:J111"/>
    <mergeCell ref="A112:J112"/>
    <mergeCell ref="A113:J113"/>
    <mergeCell ref="A114:J114"/>
    <mergeCell ref="A103:J103"/>
    <mergeCell ref="A92:J92"/>
    <mergeCell ref="A93:J93"/>
    <mergeCell ref="A94:J94"/>
    <mergeCell ref="A95:J95"/>
    <mergeCell ref="A96:J96"/>
    <mergeCell ref="A97:J97"/>
    <mergeCell ref="A98:J98"/>
    <mergeCell ref="A99:J99"/>
    <mergeCell ref="A100:J100"/>
    <mergeCell ref="A101:J101"/>
    <mergeCell ref="A102:J102"/>
    <mergeCell ref="A91:J91"/>
    <mergeCell ref="A80:J80"/>
    <mergeCell ref="A81:J81"/>
    <mergeCell ref="A82:J82"/>
    <mergeCell ref="A83:J83"/>
    <mergeCell ref="A84:J84"/>
    <mergeCell ref="A85:J85"/>
    <mergeCell ref="A86:J86"/>
    <mergeCell ref="A87:J87"/>
    <mergeCell ref="A88:J88"/>
    <mergeCell ref="A89:J89"/>
    <mergeCell ref="A90:J90"/>
    <mergeCell ref="A79:J79"/>
    <mergeCell ref="A1:J1"/>
    <mergeCell ref="A2:J2"/>
    <mergeCell ref="A61:J61"/>
    <mergeCell ref="A62:J62"/>
    <mergeCell ref="A78:J78"/>
  </mergeCells>
  <printOptions horizontalCentered="1"/>
  <pageMargins left="0.7" right="0.7" top="0.75" bottom="0.75" header="0.3" footer="0.3"/>
  <pageSetup scale="74" orientation="portrait" r:id="rId1"/>
  <headerFooter differentFirst="1">
    <firstHeader>&amp;L&amp;G&amp;C&amp;8
&amp;18Credit Memo</firstHeader>
  </headerFooter>
  <rowBreaks count="1" manualBreakCount="1">
    <brk id="60" max="9" man="1"/>
  </rowBreak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8F1F88F-DCEC-4B6E-B1C4-5D79D996DDBA}">
          <x14:formula1>
            <xm:f>Lists!$C$2:$C$4</xm:f>
          </x14:formula1>
          <xm:sqref>R9:R29</xm:sqref>
        </x14:dataValidation>
      </x14:dataValidation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4C031-31BE-4B3A-AA90-ABBCEFCF9E0C}">
  <sheetPr codeName="Sheet102">
    <tabColor rgb="FF00B050"/>
  </sheetPr>
  <dimension ref="A1:AC64"/>
  <sheetViews>
    <sheetView showGridLines="0" zoomScale="85" zoomScaleNormal="85" workbookViewId="0">
      <selection activeCell="F18" sqref="F18"/>
    </sheetView>
  </sheetViews>
  <sheetFormatPr baseColWidth="10" defaultColWidth="8.83203125" defaultRowHeight="15"/>
  <cols>
    <col min="1" max="1" width="32.6640625" customWidth="1"/>
    <col min="2" max="2" width="2.6640625" customWidth="1"/>
    <col min="3" max="3" width="14" bestFit="1" customWidth="1"/>
    <col min="4" max="4" width="0.83203125" customWidth="1"/>
    <col min="5" max="5" width="14" bestFit="1" customWidth="1"/>
    <col min="6" max="6" width="0.83203125" customWidth="1"/>
    <col min="7" max="7" width="14" bestFit="1" customWidth="1"/>
    <col min="8" max="8" width="0.83203125" customWidth="1"/>
    <col min="9" max="9" width="14" bestFit="1" customWidth="1"/>
    <col min="10" max="10" width="0.83203125" customWidth="1"/>
    <col min="11" max="11" width="11" bestFit="1" customWidth="1"/>
    <col min="12" max="12" width="0.83203125" customWidth="1"/>
    <col min="13" max="13" width="11" customWidth="1"/>
    <col min="14" max="14" width="0.83203125" customWidth="1"/>
    <col min="15" max="15" width="11" customWidth="1"/>
    <col min="16" max="16" width="0.83203125" customWidth="1"/>
    <col min="17" max="17" width="11" bestFit="1" customWidth="1"/>
    <col min="18" max="18" width="1.6640625" customWidth="1"/>
    <col min="19" max="20" width="2.6640625" customWidth="1"/>
    <col min="22" max="22" width="2.6640625" customWidth="1"/>
    <col min="24" max="24" width="2.6640625" customWidth="1"/>
    <col min="26" max="26" width="2.6640625" customWidth="1"/>
    <col min="28" max="28" width="2.6640625" customWidth="1"/>
    <col min="29" max="29" width="0" hidden="1" customWidth="1"/>
  </cols>
  <sheetData>
    <row r="1" spans="1:29" ht="16">
      <c r="A1" s="2908" t="s">
        <v>809</v>
      </c>
      <c r="B1" s="2909"/>
      <c r="C1" s="2909"/>
      <c r="D1" s="2909"/>
      <c r="E1" s="2909"/>
      <c r="F1" s="2909"/>
      <c r="G1" s="2909"/>
      <c r="H1" s="2909"/>
      <c r="I1" s="2909"/>
      <c r="J1" s="2909"/>
      <c r="K1" s="2909"/>
      <c r="L1" s="2909"/>
      <c r="M1" s="2909"/>
      <c r="N1" s="2909"/>
      <c r="O1" s="2909"/>
      <c r="P1" s="2909"/>
      <c r="Q1" s="2909"/>
      <c r="R1" s="1087"/>
      <c r="U1" s="1179"/>
      <c r="V1" s="1179"/>
      <c r="W1" s="1179"/>
    </row>
    <row r="2" spans="1:29" ht="17" thickBot="1">
      <c r="A2" s="3025" t="str">
        <f>'Aff 18 IS'!B2</f>
        <v>{Insert business name which represents PSOR}</v>
      </c>
      <c r="B2" s="3026"/>
      <c r="C2" s="3026"/>
      <c r="D2" s="3026"/>
      <c r="E2" s="3026"/>
      <c r="F2" s="3026"/>
      <c r="G2" s="3026"/>
      <c r="H2" s="3026"/>
      <c r="I2" s="3026"/>
      <c r="J2" s="3026"/>
      <c r="K2" s="3026"/>
      <c r="L2" s="3026"/>
      <c r="M2" s="3026"/>
      <c r="N2" s="3026"/>
      <c r="O2" s="3026"/>
      <c r="P2" s="3026"/>
      <c r="Q2" s="3026"/>
      <c r="R2" s="3027"/>
      <c r="U2" s="2901" t="str" cm="1">
        <f t="array" aca="1" ref="U2" ca="1">MID(CELL("filename",A1),FIND("]",CELL("filename",A1))+1,256)</f>
        <v>Aff 18 CF</v>
      </c>
      <c r="V2" s="2901"/>
      <c r="W2" s="2901"/>
    </row>
    <row r="3" spans="1:29" ht="15.5" customHeight="1">
      <c r="A3" s="261" t="s">
        <v>182</v>
      </c>
      <c r="B3" s="262"/>
      <c r="C3" s="1086">
        <f>'Aff 18 IS'!D4</f>
        <v>44561</v>
      </c>
      <c r="D3" s="296"/>
      <c r="E3" s="1086">
        <f>'Aff 18 IS'!F4</f>
        <v>44926</v>
      </c>
      <c r="F3" s="296"/>
      <c r="G3" s="1086">
        <f>'Aff 18 IS'!H4</f>
        <v>45291</v>
      </c>
      <c r="H3" s="296"/>
      <c r="I3" s="1086">
        <f>'Aff 18 IS'!J4</f>
        <v>45382</v>
      </c>
      <c r="J3" s="296"/>
      <c r="K3" s="1376" t="s">
        <v>1100</v>
      </c>
      <c r="L3" s="237"/>
      <c r="M3" s="1376" t="s">
        <v>1101</v>
      </c>
      <c r="N3" s="297"/>
      <c r="O3" s="1376" t="s">
        <v>1102</v>
      </c>
      <c r="P3" s="237"/>
      <c r="Q3" s="1376" t="s">
        <v>1103</v>
      </c>
      <c r="R3" s="263"/>
      <c r="U3" s="2915"/>
      <c r="V3" s="2915"/>
      <c r="W3" s="2915"/>
    </row>
    <row r="4" spans="1:29" ht="15.5" hidden="1" customHeight="1">
      <c r="A4" s="261"/>
      <c r="B4" s="264"/>
      <c r="C4" s="1377"/>
      <c r="D4" s="296"/>
      <c r="E4" s="1377"/>
      <c r="F4" s="296"/>
      <c r="G4" s="1377"/>
      <c r="H4" s="296"/>
      <c r="I4" s="1377"/>
      <c r="J4" s="296"/>
      <c r="K4" s="1220"/>
      <c r="L4" s="237"/>
      <c r="M4" s="1220"/>
      <c r="N4" s="297"/>
      <c r="O4" s="1220"/>
      <c r="P4" s="237"/>
      <c r="Q4" s="1220"/>
      <c r="R4" s="263"/>
      <c r="T4" s="1375"/>
      <c r="U4" s="1374"/>
      <c r="V4" s="1374"/>
      <c r="W4" s="1374"/>
      <c r="X4" s="1375"/>
      <c r="Y4" s="1375"/>
      <c r="Z4" s="1375"/>
      <c r="AA4" s="1375"/>
    </row>
    <row r="5" spans="1:29" ht="17" thickBot="1">
      <c r="A5" s="261" t="s">
        <v>183</v>
      </c>
      <c r="B5" s="265"/>
      <c r="C5" s="266">
        <f>'Aff 18 IS'!D5</f>
        <v>12</v>
      </c>
      <c r="D5" s="298"/>
      <c r="E5" s="266">
        <f>'Aff 18 IS'!F5</f>
        <v>12</v>
      </c>
      <c r="F5" s="298"/>
      <c r="G5" s="266">
        <f>'Aff 18 IS'!H5</f>
        <v>12</v>
      </c>
      <c r="H5" s="298"/>
      <c r="I5" s="266">
        <f>'Aff 18 IS'!J5</f>
        <v>3</v>
      </c>
      <c r="J5" s="298"/>
      <c r="K5" s="1388">
        <v>12</v>
      </c>
      <c r="L5" s="237"/>
      <c r="M5" s="1388">
        <v>12</v>
      </c>
      <c r="N5" s="297"/>
      <c r="O5" s="1388">
        <v>12</v>
      </c>
      <c r="P5" s="237"/>
      <c r="Q5" s="1388">
        <v>12</v>
      </c>
      <c r="R5" s="268"/>
      <c r="T5" s="1375"/>
      <c r="U5" s="1374"/>
      <c r="V5" s="1374"/>
      <c r="W5" s="1374"/>
      <c r="X5" s="1375"/>
      <c r="Y5" s="1375"/>
      <c r="Z5" s="1375"/>
      <c r="AA5" s="1375"/>
    </row>
    <row r="6" spans="1:29" ht="16">
      <c r="A6" s="269"/>
      <c r="B6" s="270"/>
      <c r="C6" s="299"/>
      <c r="D6" s="299"/>
      <c r="E6" s="300"/>
      <c r="F6" s="300"/>
      <c r="G6" s="300"/>
      <c r="H6" s="300"/>
      <c r="I6" s="300"/>
      <c r="J6" s="300"/>
      <c r="K6" s="237"/>
      <c r="L6" s="237"/>
      <c r="M6" s="237"/>
      <c r="N6" s="237"/>
      <c r="O6" s="237"/>
      <c r="P6" s="237"/>
      <c r="Q6" s="237"/>
      <c r="R6" s="263"/>
      <c r="T6" s="1375"/>
      <c r="U6" s="1385" t="str">
        <f>K3</f>
        <v>Borr Yr 1</v>
      </c>
      <c r="V6" s="1380"/>
      <c r="W6" s="1386" t="str">
        <f>M3</f>
        <v>Borr Yr 2</v>
      </c>
      <c r="X6" s="1380"/>
      <c r="Y6" s="1386" t="str">
        <f>O3</f>
        <v>Borr Yr 3</v>
      </c>
      <c r="Z6" s="1380"/>
      <c r="AA6" s="1386" t="str">
        <f>Q3</f>
        <v>Bank Adj</v>
      </c>
      <c r="AB6" s="120"/>
      <c r="AC6" s="1378">
        <f>C3</f>
        <v>44561</v>
      </c>
    </row>
    <row r="7" spans="1:29" ht="16">
      <c r="A7" s="1218" t="s">
        <v>810</v>
      </c>
      <c r="B7" s="1055"/>
      <c r="C7" s="1524">
        <f>'Aff 18 IS'!D63</f>
        <v>0</v>
      </c>
      <c r="D7" s="1523"/>
      <c r="E7" s="1524">
        <f>'Aff 18 IS'!F63</f>
        <v>0</v>
      </c>
      <c r="F7" s="1523"/>
      <c r="G7" s="1524">
        <f>'Aff 18 IS'!H63</f>
        <v>0</v>
      </c>
      <c r="H7" s="1523"/>
      <c r="I7" s="1524">
        <f>'Aff 18 IS'!J63</f>
        <v>0</v>
      </c>
      <c r="J7" s="1523"/>
      <c r="K7" s="1552">
        <f>IF(K$4=1,$C7,IF(K$4=2,$E7,IF(K$4=3,$G7,IF(K$4=4,$I7,0))))</f>
        <v>0</v>
      </c>
      <c r="L7" s="1523"/>
      <c r="M7" s="1552">
        <f>IF(M$4=1,$C7,IF(M$4=2,$E7,IF(M$4=3,$G7,IF(M$4=4,$I7,0))))</f>
        <v>0</v>
      </c>
      <c r="N7" s="1523"/>
      <c r="O7" s="1552">
        <f>IF(O$4=1,$C7,IF(O$4=2,$E7,IF(O$4=3,$G7,IF(O$4=4,$I7,0))))</f>
        <v>0</v>
      </c>
      <c r="P7" s="1523"/>
      <c r="Q7" s="1552">
        <f>IF(Q$4=1,$C7,IF(Q$4=2,$E7,IF(Q$4=3,$G7,IF(Q$4=4,$I7,0))))</f>
        <v>0</v>
      </c>
      <c r="R7" s="288"/>
      <c r="T7" s="1375"/>
      <c r="U7" s="1381"/>
      <c r="V7" s="1382"/>
      <c r="W7" s="1382"/>
      <c r="X7" s="1382"/>
      <c r="Y7" s="1382"/>
      <c r="Z7" s="1382"/>
      <c r="AA7" s="1382"/>
      <c r="AB7" s="195"/>
      <c r="AC7" s="1379">
        <f>E3</f>
        <v>44926</v>
      </c>
    </row>
    <row r="8" spans="1:29" ht="17" thickBot="1">
      <c r="A8" s="353" t="s">
        <v>811</v>
      </c>
      <c r="B8" s="354"/>
      <c r="C8" s="1527">
        <f>'Aff 18 IS'!D64</f>
        <v>0</v>
      </c>
      <c r="D8" s="1526"/>
      <c r="E8" s="1527">
        <f>'Aff 18 IS'!F64</f>
        <v>0</v>
      </c>
      <c r="F8" s="1526"/>
      <c r="G8" s="1527">
        <f>'Aff 18 IS'!H64</f>
        <v>0</v>
      </c>
      <c r="H8" s="1526"/>
      <c r="I8" s="1527">
        <f>'Aff 18 IS'!J64</f>
        <v>0</v>
      </c>
      <c r="J8" s="1526"/>
      <c r="K8" s="1554">
        <f t="shared" ref="K8:Q16" si="0">IF(K$4=1,$C8,IF(K$4=2,$E8,IF(K$4=3,$G8,IF(K$4=4,$I8,0))))</f>
        <v>0</v>
      </c>
      <c r="L8" s="1526"/>
      <c r="M8" s="1554">
        <f t="shared" si="0"/>
        <v>0</v>
      </c>
      <c r="N8" s="1526"/>
      <c r="O8" s="1554">
        <f t="shared" si="0"/>
        <v>0</v>
      </c>
      <c r="P8" s="1526"/>
      <c r="Q8" s="1554">
        <f t="shared" si="0"/>
        <v>0</v>
      </c>
      <c r="R8" s="301"/>
      <c r="T8" s="1375"/>
      <c r="U8" s="1383"/>
      <c r="V8" s="1384"/>
      <c r="W8" s="1384"/>
      <c r="X8" s="1384"/>
      <c r="Y8" s="1384"/>
      <c r="Z8" s="1384"/>
      <c r="AA8" s="1384"/>
      <c r="AB8" s="491"/>
      <c r="AC8" s="1379">
        <f>G3</f>
        <v>45291</v>
      </c>
    </row>
    <row r="9" spans="1:29" ht="16">
      <c r="A9" s="353" t="s">
        <v>812</v>
      </c>
      <c r="B9" s="354"/>
      <c r="C9" s="1527">
        <f>'Aff 18 IS'!D65</f>
        <v>0</v>
      </c>
      <c r="D9" s="1526"/>
      <c r="E9" s="1527">
        <f>'Aff 18 IS'!F65</f>
        <v>0</v>
      </c>
      <c r="F9" s="1526"/>
      <c r="G9" s="1527">
        <f>'Aff 18 IS'!H65</f>
        <v>0</v>
      </c>
      <c r="H9" s="1526"/>
      <c r="I9" s="1527">
        <f>'Aff 18 IS'!J65</f>
        <v>0</v>
      </c>
      <c r="J9" s="1526"/>
      <c r="K9" s="1554">
        <f t="shared" si="0"/>
        <v>0</v>
      </c>
      <c r="L9" s="1526"/>
      <c r="M9" s="1554">
        <f t="shared" si="0"/>
        <v>0</v>
      </c>
      <c r="N9" s="1526"/>
      <c r="O9" s="1554">
        <f t="shared" si="0"/>
        <v>0</v>
      </c>
      <c r="P9" s="1526"/>
      <c r="Q9" s="1554">
        <f t="shared" si="0"/>
        <v>0</v>
      </c>
      <c r="R9" s="301"/>
      <c r="T9" s="1375"/>
      <c r="U9" s="1375"/>
      <c r="V9" s="1375"/>
      <c r="W9" s="1375"/>
      <c r="X9" s="1375"/>
      <c r="Y9" s="1375"/>
      <c r="Z9" s="1375"/>
      <c r="AA9" s="1375"/>
      <c r="AC9" s="1379">
        <f>I3</f>
        <v>45382</v>
      </c>
    </row>
    <row r="10" spans="1:29" ht="16">
      <c r="A10" s="353" t="s">
        <v>813</v>
      </c>
      <c r="B10" s="354"/>
      <c r="C10" s="1527"/>
      <c r="D10" s="1526"/>
      <c r="E10" s="1527"/>
      <c r="F10" s="1526"/>
      <c r="G10" s="1527"/>
      <c r="H10" s="1526"/>
      <c r="I10" s="1527"/>
      <c r="J10" s="1526"/>
      <c r="K10" s="1554">
        <f t="shared" si="0"/>
        <v>0</v>
      </c>
      <c r="L10" s="1526"/>
      <c r="M10" s="1554">
        <f t="shared" si="0"/>
        <v>0</v>
      </c>
      <c r="N10" s="1526"/>
      <c r="O10" s="1554">
        <f t="shared" si="0"/>
        <v>0</v>
      </c>
      <c r="P10" s="1526"/>
      <c r="Q10" s="1554">
        <f t="shared" si="0"/>
        <v>0</v>
      </c>
      <c r="R10" s="301"/>
      <c r="T10" s="1375"/>
      <c r="U10" s="1375"/>
      <c r="V10" s="1375"/>
      <c r="W10" s="1375"/>
      <c r="X10" s="1375"/>
      <c r="Y10" s="1375"/>
      <c r="Z10" s="1375"/>
      <c r="AA10" s="1375"/>
      <c r="AC10" s="1387"/>
    </row>
    <row r="11" spans="1:29" ht="17.5" customHeight="1">
      <c r="A11" s="353" t="s">
        <v>814</v>
      </c>
      <c r="B11" s="354"/>
      <c r="C11" s="1527">
        <f>'Aff 18 IS'!D67</f>
        <v>0</v>
      </c>
      <c r="D11" s="1529"/>
      <c r="E11" s="1527">
        <f>'Aff 18 IS'!F67</f>
        <v>0</v>
      </c>
      <c r="F11" s="1529"/>
      <c r="G11" s="1527">
        <f>'Aff 18 IS'!H67</f>
        <v>0</v>
      </c>
      <c r="H11" s="1529"/>
      <c r="I11" s="1527">
        <f>'Aff 18 IS'!J67</f>
        <v>0</v>
      </c>
      <c r="J11" s="1529"/>
      <c r="K11" s="1554">
        <f t="shared" si="0"/>
        <v>0</v>
      </c>
      <c r="L11" s="1526"/>
      <c r="M11" s="1554">
        <f t="shared" si="0"/>
        <v>0</v>
      </c>
      <c r="N11" s="1526"/>
      <c r="O11" s="1554">
        <f t="shared" si="0"/>
        <v>0</v>
      </c>
      <c r="P11" s="1526"/>
      <c r="Q11" s="1554">
        <f t="shared" si="0"/>
        <v>0</v>
      </c>
      <c r="R11" s="301"/>
      <c r="U11" s="2776"/>
      <c r="V11" s="2776"/>
      <c r="W11" s="2776"/>
    </row>
    <row r="12" spans="1:29" ht="16">
      <c r="A12" s="353" t="s">
        <v>815</v>
      </c>
      <c r="B12" s="354"/>
      <c r="C12" s="1525"/>
      <c r="D12" s="1529"/>
      <c r="E12" s="1525"/>
      <c r="F12" s="1529"/>
      <c r="G12" s="1525"/>
      <c r="H12" s="1529"/>
      <c r="I12" s="1525"/>
      <c r="J12" s="1529"/>
      <c r="K12" s="1554">
        <f t="shared" si="0"/>
        <v>0</v>
      </c>
      <c r="L12" s="1526"/>
      <c r="M12" s="1554">
        <f t="shared" si="0"/>
        <v>0</v>
      </c>
      <c r="N12" s="1526"/>
      <c r="O12" s="1554">
        <f t="shared" si="0"/>
        <v>0</v>
      </c>
      <c r="P12" s="1526"/>
      <c r="Q12" s="1554">
        <f t="shared" si="0"/>
        <v>0</v>
      </c>
      <c r="R12" s="301"/>
      <c r="U12" s="2776"/>
      <c r="V12" s="2776"/>
      <c r="W12" s="2776"/>
    </row>
    <row r="13" spans="1:29" ht="16">
      <c r="A13" s="353" t="s">
        <v>816</v>
      </c>
      <c r="B13" s="354"/>
      <c r="C13" s="1528"/>
      <c r="D13" s="1529"/>
      <c r="E13" s="1525"/>
      <c r="F13" s="1529"/>
      <c r="G13" s="1525"/>
      <c r="H13" s="1529"/>
      <c r="I13" s="1525"/>
      <c r="J13" s="1529"/>
      <c r="K13" s="1554">
        <f t="shared" si="0"/>
        <v>0</v>
      </c>
      <c r="L13" s="1526"/>
      <c r="M13" s="1554">
        <f t="shared" si="0"/>
        <v>0</v>
      </c>
      <c r="N13" s="1526"/>
      <c r="O13" s="1554">
        <f t="shared" si="0"/>
        <v>0</v>
      </c>
      <c r="P13" s="1526"/>
      <c r="Q13" s="1554">
        <f t="shared" si="0"/>
        <v>0</v>
      </c>
      <c r="R13" s="301"/>
      <c r="U13" s="6"/>
      <c r="V13" s="6"/>
      <c r="W13" s="6"/>
    </row>
    <row r="14" spans="1:29" ht="16">
      <c r="A14" s="353" t="s">
        <v>817</v>
      </c>
      <c r="B14" s="354"/>
      <c r="C14" s="1528"/>
      <c r="D14" s="1543"/>
      <c r="E14" s="1527"/>
      <c r="F14" s="1543"/>
      <c r="G14" s="1527"/>
      <c r="H14" s="1543"/>
      <c r="I14" s="1527"/>
      <c r="J14" s="1543"/>
      <c r="K14" s="1554">
        <f t="shared" si="0"/>
        <v>0</v>
      </c>
      <c r="L14" s="1542"/>
      <c r="M14" s="1554">
        <f t="shared" si="0"/>
        <v>0</v>
      </c>
      <c r="N14" s="1542"/>
      <c r="O14" s="1554">
        <f t="shared" si="0"/>
        <v>0</v>
      </c>
      <c r="P14" s="1542"/>
      <c r="Q14" s="1554">
        <f t="shared" si="0"/>
        <v>0</v>
      </c>
      <c r="R14" s="301"/>
      <c r="U14" s="6"/>
      <c r="V14" s="6"/>
      <c r="W14" s="6"/>
    </row>
    <row r="15" spans="1:29" ht="16">
      <c r="A15" s="353" t="s">
        <v>817</v>
      </c>
      <c r="B15" s="354"/>
      <c r="C15" s="1528"/>
      <c r="D15" s="1543"/>
      <c r="E15" s="1527"/>
      <c r="F15" s="1543"/>
      <c r="G15" s="1527"/>
      <c r="H15" s="1543"/>
      <c r="I15" s="1527"/>
      <c r="J15" s="1543"/>
      <c r="K15" s="1554">
        <f t="shared" si="0"/>
        <v>0</v>
      </c>
      <c r="L15" s="1542"/>
      <c r="M15" s="1554">
        <f t="shared" si="0"/>
        <v>0</v>
      </c>
      <c r="N15" s="1542"/>
      <c r="O15" s="1554">
        <f t="shared" si="0"/>
        <v>0</v>
      </c>
      <c r="P15" s="1542"/>
      <c r="Q15" s="1554">
        <f t="shared" si="0"/>
        <v>0</v>
      </c>
      <c r="R15" s="301"/>
      <c r="U15" s="6"/>
      <c r="V15" s="6"/>
      <c r="W15" s="6"/>
    </row>
    <row r="16" spans="1:29" ht="17" thickBot="1">
      <c r="A16" s="353" t="s">
        <v>817</v>
      </c>
      <c r="B16" s="354"/>
      <c r="C16" s="1531"/>
      <c r="D16" s="1529"/>
      <c r="E16" s="1525"/>
      <c r="F16" s="1529"/>
      <c r="G16" s="1525"/>
      <c r="H16" s="1529"/>
      <c r="I16" s="1525"/>
      <c r="J16" s="1529"/>
      <c r="K16" s="1557">
        <f t="shared" si="0"/>
        <v>0</v>
      </c>
      <c r="L16" s="1526"/>
      <c r="M16" s="1557">
        <f t="shared" si="0"/>
        <v>0</v>
      </c>
      <c r="N16" s="1526"/>
      <c r="O16" s="1557">
        <f t="shared" si="0"/>
        <v>0</v>
      </c>
      <c r="P16" s="1526"/>
      <c r="Q16" s="1557">
        <f t="shared" si="0"/>
        <v>0</v>
      </c>
      <c r="R16" s="301"/>
      <c r="U16" s="6"/>
      <c r="V16" s="6"/>
      <c r="W16" s="6"/>
    </row>
    <row r="17" spans="1:23" ht="17" thickBot="1">
      <c r="A17" s="2903" t="s">
        <v>818</v>
      </c>
      <c r="B17" s="2904"/>
      <c r="C17" s="1533">
        <f>SUM(C7:C16)</f>
        <v>0</v>
      </c>
      <c r="D17" s="1534"/>
      <c r="E17" s="1535">
        <f>SUM(E7:E16)</f>
        <v>0</v>
      </c>
      <c r="F17" s="1534"/>
      <c r="G17" s="1535">
        <f>SUM(G7:G16)</f>
        <v>0</v>
      </c>
      <c r="H17" s="1534"/>
      <c r="I17" s="1535">
        <f>SUM(I7:I16)</f>
        <v>0</v>
      </c>
      <c r="J17" s="1534"/>
      <c r="K17" s="1535">
        <f>SUM(K7:K16)</f>
        <v>0</v>
      </c>
      <c r="L17" s="1534"/>
      <c r="M17" s="1536">
        <f>SUM(M7:M16)</f>
        <v>0</v>
      </c>
      <c r="N17" s="1535"/>
      <c r="O17" s="1535">
        <f>SUM(O7:O16)</f>
        <v>0</v>
      </c>
      <c r="P17" s="1537"/>
      <c r="Q17" s="1535">
        <f>SUM(Q7:Q16)</f>
        <v>0</v>
      </c>
      <c r="R17" s="288"/>
      <c r="U17" s="6"/>
      <c r="V17" s="6"/>
      <c r="W17" s="6"/>
    </row>
    <row r="18" spans="1:23" ht="16">
      <c r="A18" s="353" t="s">
        <v>819</v>
      </c>
      <c r="B18" s="1056"/>
      <c r="C18" s="1525">
        <f>C11</f>
        <v>0</v>
      </c>
      <c r="D18" s="1529"/>
      <c r="E18" s="1525">
        <f>E11</f>
        <v>0</v>
      </c>
      <c r="F18" s="1529"/>
      <c r="G18" s="1525">
        <f>G11</f>
        <v>0</v>
      </c>
      <c r="H18" s="1529"/>
      <c r="I18" s="1525">
        <f>I11</f>
        <v>0</v>
      </c>
      <c r="J18" s="1529"/>
      <c r="K18" s="1555">
        <f t="shared" ref="K18:Q25" si="1">IF(K$4=1,$C18,IF(K$4=2,$E18,IF(K$4=3,$G18,IF(K$4=4,$I18,0))))</f>
        <v>0</v>
      </c>
      <c r="L18" s="1526"/>
      <c r="M18" s="1555">
        <f t="shared" si="1"/>
        <v>0</v>
      </c>
      <c r="N18" s="1526"/>
      <c r="O18" s="1555">
        <f t="shared" si="1"/>
        <v>0</v>
      </c>
      <c r="P18" s="1526"/>
      <c r="Q18" s="1555">
        <f t="shared" si="1"/>
        <v>0</v>
      </c>
      <c r="R18" s="301"/>
      <c r="U18" s="6"/>
      <c r="V18" s="6"/>
      <c r="W18" s="6"/>
    </row>
    <row r="19" spans="1:23" ht="16">
      <c r="A19" s="353" t="s">
        <v>820</v>
      </c>
      <c r="B19" s="354"/>
      <c r="C19" s="1525"/>
      <c r="D19" s="1529"/>
      <c r="E19" s="1525"/>
      <c r="F19" s="1529"/>
      <c r="G19" s="1525"/>
      <c r="H19" s="1529"/>
      <c r="I19" s="1525"/>
      <c r="J19" s="1529"/>
      <c r="K19" s="1555">
        <f t="shared" si="1"/>
        <v>0</v>
      </c>
      <c r="L19" s="1526"/>
      <c r="M19" s="1555">
        <f t="shared" si="1"/>
        <v>0</v>
      </c>
      <c r="N19" s="1526"/>
      <c r="O19" s="1555">
        <f t="shared" si="1"/>
        <v>0</v>
      </c>
      <c r="P19" s="1526"/>
      <c r="Q19" s="1555">
        <f t="shared" si="1"/>
        <v>0</v>
      </c>
      <c r="R19" s="301"/>
      <c r="U19" s="6"/>
      <c r="V19" s="6"/>
      <c r="W19" s="6"/>
    </row>
    <row r="20" spans="1:23" ht="16">
      <c r="A20" s="353" t="s">
        <v>821</v>
      </c>
      <c r="B20" s="354"/>
      <c r="C20" s="1525"/>
      <c r="D20" s="1529"/>
      <c r="E20" s="1525"/>
      <c r="F20" s="1529"/>
      <c r="G20" s="1525"/>
      <c r="H20" s="1529"/>
      <c r="I20" s="1525"/>
      <c r="J20" s="1529"/>
      <c r="K20" s="1555">
        <f t="shared" si="1"/>
        <v>0</v>
      </c>
      <c r="L20" s="1526"/>
      <c r="M20" s="1555">
        <f t="shared" si="1"/>
        <v>0</v>
      </c>
      <c r="N20" s="1526"/>
      <c r="O20" s="1555">
        <f t="shared" si="1"/>
        <v>0</v>
      </c>
      <c r="P20" s="1526"/>
      <c r="Q20" s="1555">
        <f t="shared" si="1"/>
        <v>0</v>
      </c>
      <c r="R20" s="301"/>
      <c r="U20" s="6"/>
      <c r="V20" s="6"/>
      <c r="W20" s="6"/>
    </row>
    <row r="21" spans="1:23" ht="16">
      <c r="A21" s="353" t="s">
        <v>919</v>
      </c>
      <c r="B21" s="354"/>
      <c r="C21" s="1525"/>
      <c r="D21" s="1529"/>
      <c r="E21" s="1525"/>
      <c r="F21" s="1529"/>
      <c r="G21" s="1525"/>
      <c r="H21" s="1529"/>
      <c r="I21" s="1525"/>
      <c r="J21" s="1529"/>
      <c r="K21" s="1555">
        <f t="shared" si="1"/>
        <v>0</v>
      </c>
      <c r="L21" s="1526"/>
      <c r="M21" s="1555">
        <f t="shared" si="1"/>
        <v>0</v>
      </c>
      <c r="N21" s="1526"/>
      <c r="O21" s="1555">
        <f t="shared" si="1"/>
        <v>0</v>
      </c>
      <c r="P21" s="1526"/>
      <c r="Q21" s="1555">
        <f t="shared" si="1"/>
        <v>0</v>
      </c>
      <c r="R21" s="301"/>
      <c r="U21" s="6"/>
      <c r="V21" s="6"/>
      <c r="W21" s="6"/>
    </row>
    <row r="22" spans="1:23" ht="16">
      <c r="A22" s="353" t="s">
        <v>823</v>
      </c>
      <c r="B22" s="354"/>
      <c r="C22" s="1525"/>
      <c r="D22" s="1529"/>
      <c r="E22" s="1525"/>
      <c r="F22" s="1529"/>
      <c r="G22" s="1525"/>
      <c r="H22" s="1529"/>
      <c r="I22" s="1525"/>
      <c r="J22" s="1529"/>
      <c r="K22" s="1555">
        <f t="shared" si="1"/>
        <v>0</v>
      </c>
      <c r="L22" s="1526"/>
      <c r="M22" s="1555">
        <f t="shared" si="1"/>
        <v>0</v>
      </c>
      <c r="N22" s="1526"/>
      <c r="O22" s="1555">
        <f t="shared" si="1"/>
        <v>0</v>
      </c>
      <c r="P22" s="1526"/>
      <c r="Q22" s="1555">
        <f t="shared" si="1"/>
        <v>0</v>
      </c>
      <c r="R22" s="301"/>
      <c r="U22" s="6"/>
      <c r="V22" s="6"/>
      <c r="W22" s="6"/>
    </row>
    <row r="23" spans="1:23" ht="16">
      <c r="A23" s="353" t="s">
        <v>824</v>
      </c>
      <c r="B23" s="354"/>
      <c r="C23" s="1525"/>
      <c r="D23" s="1529"/>
      <c r="E23" s="1525"/>
      <c r="F23" s="1529"/>
      <c r="G23" s="1525"/>
      <c r="H23" s="1529"/>
      <c r="I23" s="1525"/>
      <c r="J23" s="1529"/>
      <c r="K23" s="1555">
        <f t="shared" si="1"/>
        <v>0</v>
      </c>
      <c r="L23" s="1526"/>
      <c r="M23" s="1555">
        <f t="shared" si="1"/>
        <v>0</v>
      </c>
      <c r="N23" s="1526"/>
      <c r="O23" s="1555">
        <f t="shared" si="1"/>
        <v>0</v>
      </c>
      <c r="P23" s="1526"/>
      <c r="Q23" s="1555">
        <f t="shared" si="1"/>
        <v>0</v>
      </c>
      <c r="R23" s="301"/>
      <c r="U23" s="6"/>
      <c r="V23" s="6"/>
      <c r="W23" s="6"/>
    </row>
    <row r="24" spans="1:23" ht="16">
      <c r="A24" s="353" t="s">
        <v>825</v>
      </c>
      <c r="B24" s="354"/>
      <c r="C24" s="1525"/>
      <c r="D24" s="1529"/>
      <c r="E24" s="1525"/>
      <c r="F24" s="1529"/>
      <c r="G24" s="1525"/>
      <c r="H24" s="1529"/>
      <c r="I24" s="1525"/>
      <c r="J24" s="1529"/>
      <c r="K24" s="1555">
        <f t="shared" si="1"/>
        <v>0</v>
      </c>
      <c r="L24" s="1526"/>
      <c r="M24" s="1555">
        <f t="shared" si="1"/>
        <v>0</v>
      </c>
      <c r="N24" s="1526"/>
      <c r="O24" s="1555">
        <f t="shared" si="1"/>
        <v>0</v>
      </c>
      <c r="P24" s="1526"/>
      <c r="Q24" s="1555">
        <f t="shared" si="1"/>
        <v>0</v>
      </c>
      <c r="R24" s="301"/>
      <c r="U24" s="6"/>
      <c r="V24" s="6"/>
      <c r="W24" s="6"/>
    </row>
    <row r="25" spans="1:23" ht="17" thickBot="1">
      <c r="A25" s="353" t="s">
        <v>825</v>
      </c>
      <c r="B25" s="355"/>
      <c r="C25" s="1525"/>
      <c r="D25" s="1529"/>
      <c r="E25" s="1525"/>
      <c r="F25" s="1529"/>
      <c r="G25" s="1525"/>
      <c r="H25" s="1529"/>
      <c r="I25" s="1525"/>
      <c r="J25" s="1529"/>
      <c r="K25" s="1555">
        <f t="shared" si="1"/>
        <v>0</v>
      </c>
      <c r="L25" s="1526"/>
      <c r="M25" s="1555">
        <f t="shared" si="1"/>
        <v>0</v>
      </c>
      <c r="N25" s="1526"/>
      <c r="O25" s="1555">
        <f t="shared" si="1"/>
        <v>0</v>
      </c>
      <c r="P25" s="1526"/>
      <c r="Q25" s="1555">
        <f t="shared" si="1"/>
        <v>0</v>
      </c>
      <c r="R25" s="301"/>
      <c r="U25" s="6"/>
      <c r="V25" s="6"/>
      <c r="W25" s="6"/>
    </row>
    <row r="26" spans="1:23" ht="17" thickBot="1">
      <c r="A26" s="2903" t="s">
        <v>259</v>
      </c>
      <c r="B26" s="2904"/>
      <c r="C26" s="1533">
        <f>+C17-SUM(C18:C25)</f>
        <v>0</v>
      </c>
      <c r="D26" s="1534"/>
      <c r="E26" s="1535">
        <f>+E17-SUM(E18:E25)</f>
        <v>0</v>
      </c>
      <c r="F26" s="1534"/>
      <c r="G26" s="1535">
        <f>+G17-SUM(G18:G25)</f>
        <v>0</v>
      </c>
      <c r="H26" s="1534"/>
      <c r="I26" s="1535">
        <f>+I17-SUM(I18:I25)</f>
        <v>0</v>
      </c>
      <c r="J26" s="1534"/>
      <c r="K26" s="1535">
        <f>+K17-SUM(K18:K25)</f>
        <v>0</v>
      </c>
      <c r="L26" s="1534"/>
      <c r="M26" s="1535">
        <f>+M17-SUM(M18:M25)</f>
        <v>0</v>
      </c>
      <c r="N26" s="1536"/>
      <c r="O26" s="1535">
        <f>+O17-SUM(O18:O25)</f>
        <v>0</v>
      </c>
      <c r="P26" s="1536"/>
      <c r="Q26" s="1535">
        <f>+Q17-SUM(Q18:Q25)</f>
        <v>0</v>
      </c>
      <c r="R26" s="288"/>
      <c r="U26" s="6"/>
      <c r="V26" s="6"/>
      <c r="W26" s="6"/>
    </row>
    <row r="27" spans="1:23" ht="16">
      <c r="A27" s="375" t="s">
        <v>231</v>
      </c>
      <c r="B27" s="1057"/>
      <c r="C27" s="1524">
        <f>AFF18Debt[[#Totals],[Curr Pmt]]*'Aff 18 CF'!C5</f>
        <v>0</v>
      </c>
      <c r="D27" s="1543"/>
      <c r="E27" s="1524">
        <f>AFF18Debt[[#Totals],[Curr Pmt]]*'Aff 18 CF'!E5</f>
        <v>0</v>
      </c>
      <c r="F27" s="1543"/>
      <c r="G27" s="1524">
        <f>AFF18Debt[[#Totals],[Curr Pmt]]*'Aff 18 CF'!G5</f>
        <v>0</v>
      </c>
      <c r="H27" s="1543"/>
      <c r="I27" s="1524">
        <f>AFF18Debt[[#Totals],[Curr Pmt]]*'Aff 18 CF'!I5</f>
        <v>0</v>
      </c>
      <c r="J27" s="1543"/>
      <c r="K27" s="1552">
        <f t="shared" ref="K27:Q33" si="2">IF(K$4=1,$C27,IF(K$4=2,$E27,IF(K$4=3,$G27,IF(K$4=4,$I27,0))))</f>
        <v>0</v>
      </c>
      <c r="L27" s="1542"/>
      <c r="M27" s="1552">
        <f t="shared" si="2"/>
        <v>0</v>
      </c>
      <c r="N27" s="1542"/>
      <c r="O27" s="1552">
        <f t="shared" si="2"/>
        <v>0</v>
      </c>
      <c r="P27" s="1542"/>
      <c r="Q27" s="1552">
        <f t="shared" si="2"/>
        <v>0</v>
      </c>
      <c r="R27" s="303"/>
    </row>
    <row r="28" spans="1:23" ht="17.5" customHeight="1">
      <c r="A28" s="375" t="s">
        <v>232</v>
      </c>
      <c r="B28" s="1057"/>
      <c r="C28" s="1554"/>
      <c r="D28" s="1542"/>
      <c r="E28" s="1554"/>
      <c r="F28" s="1542"/>
      <c r="G28" s="1554"/>
      <c r="H28" s="1542"/>
      <c r="I28" s="1554"/>
      <c r="J28" s="1542"/>
      <c r="K28" s="1554">
        <f t="shared" si="2"/>
        <v>0</v>
      </c>
      <c r="L28" s="1542"/>
      <c r="M28" s="1554">
        <f t="shared" si="2"/>
        <v>0</v>
      </c>
      <c r="N28" s="1542"/>
      <c r="O28" s="1554">
        <f t="shared" si="2"/>
        <v>0</v>
      </c>
      <c r="P28" s="1542"/>
      <c r="Q28" s="1554">
        <f t="shared" si="2"/>
        <v>0</v>
      </c>
      <c r="R28" s="304"/>
    </row>
    <row r="29" spans="1:23" ht="16">
      <c r="A29" s="375" t="s">
        <v>233</v>
      </c>
      <c r="B29" s="1057"/>
      <c r="C29" s="1554"/>
      <c r="D29" s="1542"/>
      <c r="E29" s="1554"/>
      <c r="F29" s="1542"/>
      <c r="G29" s="1554"/>
      <c r="H29" s="1542"/>
      <c r="I29" s="1554"/>
      <c r="J29" s="1542"/>
      <c r="K29" s="1554">
        <f t="shared" si="2"/>
        <v>0</v>
      </c>
      <c r="L29" s="1542"/>
      <c r="M29" s="1554">
        <f t="shared" si="2"/>
        <v>0</v>
      </c>
      <c r="N29" s="1542"/>
      <c r="O29" s="1554">
        <f t="shared" si="2"/>
        <v>0</v>
      </c>
      <c r="P29" s="1542"/>
      <c r="Q29" s="1554">
        <f t="shared" si="2"/>
        <v>0</v>
      </c>
      <c r="R29" s="301"/>
    </row>
    <row r="30" spans="1:23" ht="16">
      <c r="A30" s="375" t="s">
        <v>234</v>
      </c>
      <c r="B30" s="1057"/>
      <c r="C30" s="1527"/>
      <c r="D30" s="1542"/>
      <c r="E30" s="1527"/>
      <c r="F30" s="1542"/>
      <c r="G30" s="1527"/>
      <c r="H30" s="1542"/>
      <c r="I30" s="1527"/>
      <c r="J30" s="1542"/>
      <c r="K30" s="1554">
        <f t="shared" si="2"/>
        <v>0</v>
      </c>
      <c r="L30" s="1542"/>
      <c r="M30" s="1554">
        <f t="shared" si="2"/>
        <v>0</v>
      </c>
      <c r="N30" s="1542"/>
      <c r="O30" s="1554">
        <f t="shared" si="2"/>
        <v>0</v>
      </c>
      <c r="P30" s="1542"/>
      <c r="Q30" s="1554">
        <f t="shared" si="2"/>
        <v>0</v>
      </c>
      <c r="R30" s="301"/>
    </row>
    <row r="31" spans="1:23" ht="16">
      <c r="A31" s="353" t="s">
        <v>235</v>
      </c>
      <c r="B31" s="356"/>
      <c r="C31" s="1527"/>
      <c r="D31" s="1543"/>
      <c r="E31" s="1527"/>
      <c r="F31" s="1543"/>
      <c r="G31" s="1527"/>
      <c r="H31" s="1543"/>
      <c r="I31" s="1527"/>
      <c r="J31" s="1543"/>
      <c r="K31" s="1554">
        <f t="shared" si="2"/>
        <v>0</v>
      </c>
      <c r="L31" s="1542"/>
      <c r="M31" s="1554">
        <f t="shared" si="2"/>
        <v>0</v>
      </c>
      <c r="N31" s="1542"/>
      <c r="O31" s="1554">
        <f t="shared" si="2"/>
        <v>0</v>
      </c>
      <c r="P31" s="1542"/>
      <c r="Q31" s="1554">
        <f t="shared" si="2"/>
        <v>0</v>
      </c>
      <c r="R31" s="301"/>
    </row>
    <row r="32" spans="1:23" ht="16">
      <c r="A32" s="353" t="s">
        <v>236</v>
      </c>
      <c r="B32" s="356"/>
      <c r="C32" s="1527"/>
      <c r="D32" s="1543"/>
      <c r="E32" s="1527"/>
      <c r="F32" s="1543"/>
      <c r="G32" s="1527"/>
      <c r="H32" s="1543"/>
      <c r="I32" s="1527"/>
      <c r="J32" s="1543"/>
      <c r="K32" s="1554">
        <f t="shared" si="2"/>
        <v>0</v>
      </c>
      <c r="L32" s="1542"/>
      <c r="M32" s="1554">
        <f t="shared" si="2"/>
        <v>0</v>
      </c>
      <c r="N32" s="1542"/>
      <c r="O32" s="1554">
        <f t="shared" si="2"/>
        <v>0</v>
      </c>
      <c r="P32" s="1542"/>
      <c r="Q32" s="1554">
        <f t="shared" si="2"/>
        <v>0</v>
      </c>
      <c r="R32" s="301"/>
    </row>
    <row r="33" spans="1:23" ht="17" thickBot="1">
      <c r="A33" s="353" t="s">
        <v>228</v>
      </c>
      <c r="B33" s="356"/>
      <c r="C33" s="1544"/>
      <c r="D33" s="1563"/>
      <c r="E33" s="1544"/>
      <c r="F33" s="1563"/>
      <c r="G33" s="1544"/>
      <c r="H33" s="1563"/>
      <c r="I33" s="1544"/>
      <c r="J33" s="1563"/>
      <c r="K33" s="1564">
        <f t="shared" si="2"/>
        <v>0</v>
      </c>
      <c r="L33" s="1565"/>
      <c r="M33" s="1564">
        <f t="shared" si="2"/>
        <v>0</v>
      </c>
      <c r="N33" s="1565"/>
      <c r="O33" s="1564">
        <f t="shared" si="2"/>
        <v>0</v>
      </c>
      <c r="P33" s="1565"/>
      <c r="Q33" s="1564">
        <f t="shared" si="2"/>
        <v>0</v>
      </c>
      <c r="R33" s="288"/>
      <c r="U33" s="874"/>
      <c r="V33" s="874"/>
      <c r="W33" s="874"/>
    </row>
    <row r="34" spans="1:23" ht="17" thickBot="1">
      <c r="A34" s="2903" t="s">
        <v>826</v>
      </c>
      <c r="B34" s="2904"/>
      <c r="C34" s="1546">
        <f>SUM(C27:C33)</f>
        <v>0</v>
      </c>
      <c r="D34" s="1547"/>
      <c r="E34" s="1536">
        <f>SUM(E27:E33)</f>
        <v>0</v>
      </c>
      <c r="F34" s="1547"/>
      <c r="G34" s="1536">
        <f>SUM(G27:G33)</f>
        <v>0</v>
      </c>
      <c r="H34" s="1547"/>
      <c r="I34" s="1536">
        <f>SUM(I27:I33)</f>
        <v>0</v>
      </c>
      <c r="J34" s="1547"/>
      <c r="K34" s="1536">
        <f>SUM(K27:K33)</f>
        <v>0</v>
      </c>
      <c r="L34" s="1547"/>
      <c r="M34" s="1536">
        <f>SUM(M27:M33)</f>
        <v>0</v>
      </c>
      <c r="N34" s="1547"/>
      <c r="O34" s="1546">
        <f>SUM(O27:O33)</f>
        <v>0</v>
      </c>
      <c r="P34" s="1547"/>
      <c r="Q34" s="1536">
        <f>SUM(Q27:Q33)</f>
        <v>0</v>
      </c>
      <c r="R34" s="288"/>
    </row>
    <row r="35" spans="1:23" ht="15" customHeight="1">
      <c r="A35" s="280" t="s">
        <v>827</v>
      </c>
      <c r="B35" s="1058"/>
      <c r="C35" s="1548">
        <f>+C26-C34</f>
        <v>0</v>
      </c>
      <c r="D35" s="1538"/>
      <c r="E35" s="1548">
        <f>+E26-E34</f>
        <v>0</v>
      </c>
      <c r="F35" s="1538"/>
      <c r="G35" s="1548">
        <f>+G26-G34</f>
        <v>0</v>
      </c>
      <c r="H35" s="1538"/>
      <c r="I35" s="1548">
        <f>+I26-I34</f>
        <v>0</v>
      </c>
      <c r="J35" s="1538"/>
      <c r="K35" s="1548">
        <f>+K26-K34</f>
        <v>0</v>
      </c>
      <c r="L35" s="1538"/>
      <c r="M35" s="1548">
        <f>+M26-M34</f>
        <v>0</v>
      </c>
      <c r="N35" s="1549"/>
      <c r="O35" s="1548">
        <f>+O26-O34</f>
        <v>0</v>
      </c>
      <c r="P35" s="1538"/>
      <c r="Q35" s="1548">
        <f>+Q26-Q34</f>
        <v>0</v>
      </c>
      <c r="R35" s="291"/>
    </row>
    <row r="36" spans="1:23" ht="15" customHeight="1">
      <c r="A36" s="236" t="s">
        <v>238</v>
      </c>
      <c r="B36" s="1053"/>
      <c r="C36" s="289">
        <f>IF(C$34=0,0,+C$26/C34)</f>
        <v>0</v>
      </c>
      <c r="D36" s="290"/>
      <c r="E36" s="289">
        <f>IF(E34=0,0,+E$26/E34)</f>
        <v>0</v>
      </c>
      <c r="F36" s="290"/>
      <c r="G36" s="289">
        <f>IF(G34=0,0,+G$26/G34)</f>
        <v>0</v>
      </c>
      <c r="H36" s="290"/>
      <c r="I36" s="289">
        <f>IF(I34=0,0,+I$26/I34)</f>
        <v>0</v>
      </c>
      <c r="J36" s="290"/>
      <c r="K36" s="289">
        <f>IF(K34=0,0,+K$26/K34)</f>
        <v>0</v>
      </c>
      <c r="L36" s="290"/>
      <c r="M36" s="289">
        <f>IF(M34=0,0,+M$26/M34)</f>
        <v>0</v>
      </c>
      <c r="N36" s="290"/>
      <c r="O36" s="289">
        <f>IF(O34=0,0,+O$26/O34)</f>
        <v>0</v>
      </c>
      <c r="P36" s="290"/>
      <c r="Q36" s="289">
        <f>IF(Q34=0,0,+Q$26/Q34)</f>
        <v>0</v>
      </c>
      <c r="R36" s="291"/>
    </row>
    <row r="37" spans="1:23" ht="15" customHeight="1" thickBot="1">
      <c r="A37" s="236"/>
      <c r="B37" s="1053"/>
      <c r="C37" s="306"/>
      <c r="D37" s="287"/>
      <c r="E37" s="306"/>
      <c r="F37" s="287"/>
      <c r="G37" s="306"/>
      <c r="H37" s="287"/>
      <c r="I37" s="306"/>
      <c r="J37" s="287"/>
      <c r="K37" s="306"/>
      <c r="L37" s="287"/>
      <c r="M37" s="306"/>
      <c r="N37" s="287"/>
      <c r="O37" s="306"/>
      <c r="P37" s="287"/>
      <c r="Q37" s="306"/>
      <c r="R37" s="374"/>
    </row>
    <row r="38" spans="1:23" ht="15" hidden="1" customHeight="1">
      <c r="A38" s="233" t="s">
        <v>828</v>
      </c>
      <c r="B38" s="246"/>
      <c r="C38" s="1550">
        <f>+C$26-C39-C40-C$27-C$30-C$31-C$32-C$33</f>
        <v>0</v>
      </c>
      <c r="D38" s="1526"/>
      <c r="E38" s="1550">
        <f>+E$26-E39-E40-E$27-E$30-E$31-E$32-E$33</f>
        <v>0</v>
      </c>
      <c r="F38" s="1526"/>
      <c r="G38" s="1550">
        <f>+G$26-G39-G40-G$27-G$30-G$31-G$32-G$33</f>
        <v>0</v>
      </c>
      <c r="H38" s="1526"/>
      <c r="I38" s="1550">
        <f>+I$26-I39-I40-I$27-I$30-I$31-I$32-I$33</f>
        <v>0</v>
      </c>
      <c r="J38" s="1526"/>
      <c r="K38" s="1550">
        <f>+K$26-K39-K40-K$27-K$30-K$31-K$32-K$33</f>
        <v>0</v>
      </c>
      <c r="L38" s="1526"/>
      <c r="M38" s="1550">
        <f>+M$26-M39-M40-M$27-M$30-M$31-M$32-M$33</f>
        <v>0</v>
      </c>
      <c r="N38" s="1526"/>
      <c r="O38" s="1550">
        <f>+O$26-O39-O40-O$27-O$30-O$31-O$32-O$33</f>
        <v>0</v>
      </c>
      <c r="P38" s="1526"/>
      <c r="Q38" s="1550">
        <f>+Q$26-Q39-Q40-Q$27-Q$30-Q$31-Q$32-Q$33</f>
        <v>0</v>
      </c>
      <c r="R38" s="374"/>
    </row>
    <row r="39" spans="1:23" ht="15" hidden="1" customHeight="1">
      <c r="A39" s="233" t="s">
        <v>829</v>
      </c>
      <c r="B39" s="246"/>
      <c r="C39" s="1526"/>
      <c r="D39" s="1526"/>
      <c r="E39" s="1526"/>
      <c r="F39" s="1526"/>
      <c r="G39" s="1526"/>
      <c r="H39" s="1526"/>
      <c r="I39" s="1526"/>
      <c r="J39" s="1526"/>
      <c r="K39" s="1526"/>
      <c r="L39" s="1551"/>
      <c r="M39" s="1526"/>
      <c r="N39" s="1551"/>
      <c r="O39" s="1526"/>
      <c r="P39" s="1551"/>
      <c r="Q39" s="1526"/>
      <c r="R39" s="288"/>
    </row>
    <row r="40" spans="1:23" ht="15" hidden="1" customHeight="1">
      <c r="A40" s="233" t="s">
        <v>830</v>
      </c>
      <c r="B40" s="246"/>
      <c r="C40" s="1526"/>
      <c r="D40" s="1526"/>
      <c r="E40" s="1526"/>
      <c r="F40" s="1526"/>
      <c r="G40" s="1526"/>
      <c r="H40" s="1526"/>
      <c r="I40" s="1526"/>
      <c r="J40" s="1526"/>
      <c r="K40" s="1526"/>
      <c r="L40" s="1551"/>
      <c r="M40" s="1526"/>
      <c r="N40" s="1551"/>
      <c r="O40" s="1526"/>
      <c r="P40" s="1551"/>
      <c r="Q40" s="1526"/>
      <c r="R40" s="1082"/>
    </row>
    <row r="41" spans="1:23" ht="15" hidden="1" customHeight="1">
      <c r="A41" s="233" t="s">
        <v>239</v>
      </c>
      <c r="B41" s="246"/>
      <c r="C41" s="289">
        <f>IF(C$34=0,0,+C$26/(C$27+C$30+C$31+C$32+C$33+C39+C40))</f>
        <v>0</v>
      </c>
      <c r="D41" s="292"/>
      <c r="E41" s="289">
        <f>IF(E$34=0,0,+E$26/(E$27+E$30+E$31+E$32+E$33+E39+E40))</f>
        <v>0</v>
      </c>
      <c r="F41" s="292"/>
      <c r="G41" s="289">
        <f>IF(G$34=0,0,+G$26/(G$27+G$30+G$31+G$32+G$33+G39+G40))</f>
        <v>0</v>
      </c>
      <c r="H41" s="292"/>
      <c r="I41" s="289">
        <f>IF(I$34=0,0,+I$26/(I$27+I$30+I$31+I$32+I$33+I39+I40))</f>
        <v>0</v>
      </c>
      <c r="J41" s="292"/>
      <c r="K41" s="289">
        <f>IF(K$34=0,0,+K$26/(K$27+K$30+K$31+K$32+K$33+K39+K40))</f>
        <v>0</v>
      </c>
      <c r="L41" s="292"/>
      <c r="M41" s="289">
        <f>IF(M$34=0,0,+M$26/(M$27+M$30+M$31+M$32+M$33+M39+M40))</f>
        <v>0</v>
      </c>
      <c r="N41" s="292"/>
      <c r="O41" s="289">
        <f>IF(O$34=0,0,+O$26/(O$27+O$30+O$31+O$32+O$33+O39+O40))</f>
        <v>0</v>
      </c>
      <c r="P41" s="292"/>
      <c r="Q41" s="289">
        <f>IF(Q$34=0,0,+Q$26/(Q$27+Q$30+Q$31+Q$32+Q$33+Q39+Q40))</f>
        <v>0</v>
      </c>
      <c r="R41" s="293"/>
    </row>
    <row r="42" spans="1:23" ht="15" hidden="1" customHeight="1">
      <c r="A42" s="233"/>
      <c r="B42" s="246"/>
      <c r="C42" s="307"/>
      <c r="D42" s="294"/>
      <c r="E42" s="307"/>
      <c r="F42" s="294"/>
      <c r="G42" s="307"/>
      <c r="H42" s="294"/>
      <c r="I42" s="307"/>
      <c r="J42" s="294"/>
      <c r="K42" s="307"/>
      <c r="L42" s="294"/>
      <c r="M42" s="307"/>
      <c r="N42" s="294"/>
      <c r="O42" s="307"/>
      <c r="P42" s="294"/>
      <c r="Q42" s="307"/>
      <c r="R42" s="293"/>
    </row>
    <row r="43" spans="1:23" ht="15" hidden="1" customHeight="1">
      <c r="A43" s="233" t="s">
        <v>831</v>
      </c>
      <c r="B43" s="246"/>
      <c r="C43" s="1550">
        <f>+C$26-C44-C45-C$27-C$30-C$31-C$32-C$33</f>
        <v>0</v>
      </c>
      <c r="D43" s="1526"/>
      <c r="E43" s="1550">
        <f>+E$26-E44-E45-E$27-E$30-E$31-E$32-E$33</f>
        <v>0</v>
      </c>
      <c r="F43" s="1526"/>
      <c r="G43" s="1550">
        <f>+G$26-G44-G45-G$27-G$30-G$31-G$32-G$33</f>
        <v>0</v>
      </c>
      <c r="H43" s="1526"/>
      <c r="I43" s="1550">
        <f>+I$26-I44-I45-I$27-I$30-I$31-I$32-I$33</f>
        <v>0</v>
      </c>
      <c r="J43" s="1526"/>
      <c r="K43" s="1550">
        <f>+K$26-K44-K45-K$27-K$30-K$31-K$32-K$33</f>
        <v>0</v>
      </c>
      <c r="L43" s="1526"/>
      <c r="M43" s="1550">
        <f>+M$26-M44-M45-M$27-M$30-M$31-M$32-M$33</f>
        <v>0</v>
      </c>
      <c r="N43" s="1526"/>
      <c r="O43" s="1550">
        <f>+O$26-O44-O45-O$27-O$30-O$31-O$32-O$33</f>
        <v>0</v>
      </c>
      <c r="P43" s="1526"/>
      <c r="Q43" s="1550">
        <f>+Q$26-Q44-Q45-Q$27-Q$30-Q$31-Q$32-Q$33</f>
        <v>0</v>
      </c>
      <c r="R43" s="288"/>
    </row>
    <row r="44" spans="1:23" ht="15" hidden="1" customHeight="1">
      <c r="A44" s="233" t="s">
        <v>832</v>
      </c>
      <c r="B44" s="246"/>
      <c r="C44" s="1526"/>
      <c r="D44" s="1526"/>
      <c r="E44" s="1526"/>
      <c r="F44" s="1526"/>
      <c r="G44" s="1526"/>
      <c r="H44" s="1526"/>
      <c r="I44" s="1526"/>
      <c r="J44" s="1526"/>
      <c r="K44" s="1526"/>
      <c r="L44" s="1526"/>
      <c r="M44" s="1526"/>
      <c r="N44" s="1526"/>
      <c r="O44" s="1526"/>
      <c r="P44" s="1526"/>
      <c r="Q44" s="1526"/>
      <c r="R44" s="288"/>
    </row>
    <row r="45" spans="1:23" ht="15" hidden="1" customHeight="1">
      <c r="A45" s="233" t="s">
        <v>833</v>
      </c>
      <c r="B45" s="246"/>
      <c r="C45" s="1526"/>
      <c r="D45" s="1526"/>
      <c r="E45" s="1526"/>
      <c r="F45" s="1526"/>
      <c r="G45" s="1526"/>
      <c r="H45" s="1526"/>
      <c r="I45" s="1526"/>
      <c r="J45" s="1526"/>
      <c r="K45" s="1526"/>
      <c r="L45" s="1526"/>
      <c r="M45" s="1526"/>
      <c r="N45" s="1526"/>
      <c r="O45" s="1526"/>
      <c r="P45" s="1526"/>
      <c r="Q45" s="1526"/>
      <c r="R45" s="288"/>
    </row>
    <row r="46" spans="1:23" ht="15" hidden="1" customHeight="1">
      <c r="A46" s="233" t="s">
        <v>240</v>
      </c>
      <c r="B46" s="246"/>
      <c r="C46" s="289">
        <f>IF(C$34=0,0,+C$26/(C$27+C$30+C$31+C$32+C$33+C44+C45))</f>
        <v>0</v>
      </c>
      <c r="D46" s="292"/>
      <c r="E46" s="289">
        <f>IF(E$34=0,0,+E$26/(E$27+E$30+E$31+E$32+E$33+E44+E45))</f>
        <v>0</v>
      </c>
      <c r="F46" s="292"/>
      <c r="G46" s="289">
        <f>IF(G$34=0,0,+G$26/(G$27+G$30+G$31+G$32+G$33+G44+G45))</f>
        <v>0</v>
      </c>
      <c r="H46" s="292"/>
      <c r="I46" s="289">
        <f>IF(I$34=0,0,+I$26/(I$27+I$30+I$31+I$32+I$33+I44+I45))</f>
        <v>0</v>
      </c>
      <c r="J46" s="292"/>
      <c r="K46" s="289">
        <f>IF(K$34=0,0,+K$26/(K$27+K$30+K$31+K$32+K$33+K44+K45))</f>
        <v>0</v>
      </c>
      <c r="L46" s="292"/>
      <c r="M46" s="289">
        <f>IF(M$34=0,0,+M$26/(M$27+M$30+M$31+M$32+M$33+M44+M45))</f>
        <v>0</v>
      </c>
      <c r="N46" s="292"/>
      <c r="O46" s="289">
        <f>IF(O$34=0,0,+O$26/(O$27+O$30+O$31+O$32+O$33+O44+O45))</f>
        <v>0</v>
      </c>
      <c r="P46" s="292"/>
      <c r="Q46" s="289">
        <f>IF(Q$34=0,0,+Q$26/(Q$27+Q$30+Q$31+Q$32+Q$33+Q44+Q45))</f>
        <v>0</v>
      </c>
      <c r="R46" s="293"/>
    </row>
    <row r="47" spans="1:23" ht="15" hidden="1" customHeight="1">
      <c r="A47" s="233"/>
      <c r="B47" s="246"/>
      <c r="C47" s="307"/>
      <c r="D47" s="294"/>
      <c r="E47" s="307"/>
      <c r="F47" s="294"/>
      <c r="G47" s="307"/>
      <c r="H47" s="294"/>
      <c r="I47" s="307"/>
      <c r="J47" s="294"/>
      <c r="K47" s="307"/>
      <c r="L47" s="294"/>
      <c r="M47" s="307"/>
      <c r="N47" s="294"/>
      <c r="O47" s="307"/>
      <c r="P47" s="294"/>
      <c r="Q47" s="307"/>
      <c r="R47" s="293"/>
    </row>
    <row r="48" spans="1:23" ht="15" hidden="1" customHeight="1">
      <c r="A48" s="233" t="s">
        <v>834</v>
      </c>
      <c r="B48" s="246"/>
      <c r="C48" s="1550">
        <f>+C$26-C49-C50-C$27-C$30-C$31-C$32-C$33</f>
        <v>0</v>
      </c>
      <c r="D48" s="1526"/>
      <c r="E48" s="1550">
        <f>+E$26-E49-E50-E$27-E$30-E$31-E$32-E$33</f>
        <v>0</v>
      </c>
      <c r="F48" s="1526"/>
      <c r="G48" s="1550">
        <f>+G$26-G49-G50-G$27-G$30-G$31-G$32-G$33</f>
        <v>0</v>
      </c>
      <c r="H48" s="1526"/>
      <c r="I48" s="1550">
        <f>+I$26-I49-I50-I$27-I$30-I$31-I$32-I$33</f>
        <v>0</v>
      </c>
      <c r="J48" s="1526"/>
      <c r="K48" s="1550">
        <f>+K$26-K49-K50-K$27-K$30-K$31-K$32-K$33</f>
        <v>0</v>
      </c>
      <c r="L48" s="1526"/>
      <c r="M48" s="1550">
        <f>+M$26-M49-M50-M$27-M$30-M$31-M$32-M$33</f>
        <v>0</v>
      </c>
      <c r="N48" s="1526"/>
      <c r="O48" s="1550">
        <f>+O$26-O49-O50-O$27-O$30-O$31-O$32-O$33</f>
        <v>0</v>
      </c>
      <c r="P48" s="1526"/>
      <c r="Q48" s="1550">
        <f>+Q$26-Q49-Q50-Q$27-Q$30-Q$31-Q$32-Q$33</f>
        <v>0</v>
      </c>
      <c r="R48" s="293"/>
    </row>
    <row r="49" spans="1:21" ht="15" hidden="1" customHeight="1">
      <c r="A49" s="233" t="s">
        <v>835</v>
      </c>
      <c r="B49" s="246"/>
      <c r="C49" s="1526"/>
      <c r="D49" s="1526"/>
      <c r="E49" s="1526"/>
      <c r="F49" s="1526"/>
      <c r="G49" s="1526"/>
      <c r="H49" s="1526"/>
      <c r="I49" s="1526"/>
      <c r="J49" s="1526"/>
      <c r="K49" s="1526"/>
      <c r="L49" s="1526"/>
      <c r="M49" s="1526"/>
      <c r="N49" s="1526"/>
      <c r="O49" s="1526"/>
      <c r="P49" s="1526"/>
      <c r="Q49" s="1526"/>
      <c r="R49" s="293"/>
    </row>
    <row r="50" spans="1:21" ht="15" hidden="1" customHeight="1">
      <c r="A50" s="233" t="s">
        <v>836</v>
      </c>
      <c r="B50" s="246"/>
      <c r="C50" s="1526"/>
      <c r="D50" s="1526"/>
      <c r="E50" s="1526"/>
      <c r="F50" s="1526"/>
      <c r="G50" s="1526"/>
      <c r="H50" s="1526"/>
      <c r="I50" s="1526"/>
      <c r="J50" s="1526"/>
      <c r="K50" s="1526"/>
      <c r="L50" s="1526"/>
      <c r="M50" s="1526"/>
      <c r="N50" s="1526"/>
      <c r="O50" s="1526"/>
      <c r="P50" s="1526"/>
      <c r="Q50" s="1526"/>
      <c r="R50" s="293"/>
    </row>
    <row r="51" spans="1:21" ht="15" hidden="1" customHeight="1">
      <c r="A51" s="233" t="s">
        <v>241</v>
      </c>
      <c r="B51" s="1101"/>
      <c r="C51" s="289">
        <f>IF(C$34=0,0,+C$26/(C$27+C$30+C$31+C$32+C$33+C49+C50))</f>
        <v>0</v>
      </c>
      <c r="D51" s="292"/>
      <c r="E51" s="289">
        <f>IF(E$34=0,0,+E$26/(E$27+E$30+E$31+E$32+E$33+E49+E50))</f>
        <v>0</v>
      </c>
      <c r="F51" s="292"/>
      <c r="G51" s="289">
        <f>IF(G$34=0,0,+G$26/(G$27+G$30+G$31+G$32+G$33+G49+G50))</f>
        <v>0</v>
      </c>
      <c r="H51" s="292"/>
      <c r="I51" s="289">
        <f>IF(I$34=0,0,+I$26/(I$27+I$30+I$31+I$32+I$33+I49+I50))</f>
        <v>0</v>
      </c>
      <c r="J51" s="292"/>
      <c r="K51" s="289">
        <f>IF(K$34=0,0,+K$26/(K$27+K$30+K$31+K$32+K$33+K49+K50))</f>
        <v>0</v>
      </c>
      <c r="L51" s="292"/>
      <c r="M51" s="289">
        <f>IF(M$34=0,0,+M$26/(M$27+M$30+M$31+M$32+M$33+M49+M50))</f>
        <v>0</v>
      </c>
      <c r="N51" s="292"/>
      <c r="O51" s="289">
        <f>IF(O$34=0,0,+O$26/(O$27+O$30+O$31+O$32+O$33+O49+O50))</f>
        <v>0</v>
      </c>
      <c r="P51" s="292"/>
      <c r="Q51" s="289">
        <f>IF(Q$34=0,0,+Q$26/(Q$27+Q$30+Q$31+Q$32+Q$33+Q49+Q50))</f>
        <v>0</v>
      </c>
      <c r="R51" s="293"/>
    </row>
    <row r="52" spans="1:21" ht="15" hidden="1" customHeight="1">
      <c r="A52" s="233"/>
      <c r="B52" s="246"/>
      <c r="C52" s="307"/>
      <c r="D52" s="294"/>
      <c r="E52" s="307"/>
      <c r="F52" s="294"/>
      <c r="G52" s="307"/>
      <c r="H52" s="294"/>
      <c r="I52" s="307"/>
      <c r="J52" s="294"/>
      <c r="K52" s="307"/>
      <c r="L52" s="294"/>
      <c r="M52" s="307"/>
      <c r="N52" s="294"/>
      <c r="O52" s="307"/>
      <c r="P52" s="294"/>
      <c r="Q52" s="1210"/>
      <c r="R52" s="293"/>
    </row>
    <row r="53" spans="1:21" ht="15" hidden="1" customHeight="1">
      <c r="A53" s="233" t="s">
        <v>837</v>
      </c>
      <c r="B53" s="246"/>
      <c r="C53" s="1550">
        <f>+C$26-C54-C55-C$27-C$30-C$31-C$32-C$33</f>
        <v>0</v>
      </c>
      <c r="D53" s="1526"/>
      <c r="E53" s="1550">
        <f>+E$26-E54-E55-E$27-E$30-E$31-E$32-E$33</f>
        <v>0</v>
      </c>
      <c r="F53" s="1526"/>
      <c r="G53" s="1550">
        <f>+G$26-G54-G55-G$27-G$30-G$31-G$32-G$33</f>
        <v>0</v>
      </c>
      <c r="H53" s="1526"/>
      <c r="I53" s="1550">
        <f>+I$26-I54-I55-I$27-I$30-I$31-I$32-I$33</f>
        <v>0</v>
      </c>
      <c r="J53" s="1526"/>
      <c r="K53" s="1550">
        <f>+K$26-K54-K55-K$27-K$30-K$31-K$32-K$33</f>
        <v>0</v>
      </c>
      <c r="L53" s="1526"/>
      <c r="M53" s="1550">
        <f>+M$26-M54-M55-M$27-M$30-M$31-M$32-M$33</f>
        <v>0</v>
      </c>
      <c r="N53" s="1526"/>
      <c r="O53" s="1550">
        <f>+O$26-O54-O55-O$27-O$30-O$31-O$32-O$33</f>
        <v>0</v>
      </c>
      <c r="P53" s="1526"/>
      <c r="Q53" s="1550">
        <f>+Q$26-Q54-Q55-Q$27-Q$30-Q$31-Q$32-Q$33</f>
        <v>0</v>
      </c>
      <c r="R53" s="293"/>
    </row>
    <row r="54" spans="1:21" ht="15" hidden="1" customHeight="1">
      <c r="A54" s="233" t="s">
        <v>838</v>
      </c>
      <c r="B54" s="246"/>
      <c r="C54" s="1526"/>
      <c r="D54" s="1526"/>
      <c r="E54" s="1526"/>
      <c r="F54" s="1526"/>
      <c r="G54" s="1526"/>
      <c r="H54" s="1526"/>
      <c r="I54" s="1526"/>
      <c r="J54" s="1526"/>
      <c r="K54" s="1526"/>
      <c r="L54" s="1526"/>
      <c r="M54" s="1526"/>
      <c r="N54" s="1526"/>
      <c r="O54" s="1526"/>
      <c r="P54" s="1526"/>
      <c r="Q54" s="1526"/>
      <c r="R54" s="1213"/>
    </row>
    <row r="55" spans="1:21" ht="15" hidden="1" customHeight="1">
      <c r="A55" s="233" t="s">
        <v>839</v>
      </c>
      <c r="B55" s="246"/>
      <c r="C55" s="1526"/>
      <c r="D55" s="1526"/>
      <c r="E55" s="1526"/>
      <c r="F55" s="1526"/>
      <c r="G55" s="1526"/>
      <c r="H55" s="1526"/>
      <c r="I55" s="1526"/>
      <c r="J55" s="1526"/>
      <c r="K55" s="1526"/>
      <c r="L55" s="1526"/>
      <c r="M55" s="1526"/>
      <c r="N55" s="1526"/>
      <c r="O55" s="1526"/>
      <c r="P55" s="1526"/>
      <c r="Q55" s="1526"/>
      <c r="R55" s="1213"/>
    </row>
    <row r="56" spans="1:21" ht="17" hidden="1" thickBot="1">
      <c r="A56" s="233" t="s">
        <v>840</v>
      </c>
      <c r="B56" s="1101"/>
      <c r="C56" s="289">
        <f>IF(C$34=0,0,+C$26/(C$27+C$30+C$31+C$32+C$33+C54+C55))</f>
        <v>0</v>
      </c>
      <c r="D56" s="292"/>
      <c r="E56" s="289">
        <f>IF(E$34=0,0,+E$26/(E$27+E$30+E$31+E$32+E$33+E54+E55))</f>
        <v>0</v>
      </c>
      <c r="F56" s="292"/>
      <c r="G56" s="289">
        <f>IF(G$34=0,0,+G$26/(G$27+G$30+G$31+G$32+G$33+G54+G55))</f>
        <v>0</v>
      </c>
      <c r="H56" s="292"/>
      <c r="I56" s="289">
        <f>IF(I$34=0,0,+I$26/(I$27+I$30+I$31+I$32+I$33+I54+I55))</f>
        <v>0</v>
      </c>
      <c r="J56" s="292"/>
      <c r="K56" s="289">
        <f>IF(K$34=0,0,+K$26/(K$27+K$30+K$31+K$32+K$33+K54+K55))</f>
        <v>0</v>
      </c>
      <c r="L56" s="292"/>
      <c r="M56" s="289">
        <f>IF(M$34=0,0,+M$26/(M$27+M$30+M$31+M$32+M$33+M54+M55))</f>
        <v>0</v>
      </c>
      <c r="N56" s="292"/>
      <c r="O56" s="289">
        <f>IF(O$34=0,0,+O$26/(O$27+O$30+O$31+O$32+O$33+O54+O55))</f>
        <v>0</v>
      </c>
      <c r="P56" s="292"/>
      <c r="Q56" s="289">
        <f>IF(Q$34=0,0,+Q$26/(Q$27+Q$30+Q$31+Q$32+Q$33+Q54+Q55))</f>
        <v>0</v>
      </c>
      <c r="R56" s="1213"/>
    </row>
    <row r="57" spans="1:21" ht="17" thickBot="1">
      <c r="A57" s="2905" t="s">
        <v>841</v>
      </c>
      <c r="B57" s="2906"/>
      <c r="C57" s="2906"/>
      <c r="D57" s="2906"/>
      <c r="E57" s="2906"/>
      <c r="F57" s="2906"/>
      <c r="G57" s="2906"/>
      <c r="H57" s="2906"/>
      <c r="I57" s="2906"/>
      <c r="J57" s="2906"/>
      <c r="K57" s="2906"/>
      <c r="L57" s="2906"/>
      <c r="M57" s="2906"/>
      <c r="N57" s="2906"/>
      <c r="O57" s="2906"/>
      <c r="P57" s="2906"/>
      <c r="Q57" s="2906"/>
      <c r="R57" s="2907"/>
    </row>
    <row r="58" spans="1:21" ht="15" customHeight="1">
      <c r="A58" s="2902" t="str">
        <f>A2</f>
        <v>{Insert business name which represents PSOR}</v>
      </c>
      <c r="B58" s="2902"/>
      <c r="C58" s="2902"/>
      <c r="D58" s="2902"/>
      <c r="E58" s="2902"/>
      <c r="F58" s="2902"/>
      <c r="G58" s="2902"/>
      <c r="H58" s="2902"/>
      <c r="I58" s="2902"/>
      <c r="J58" s="2902"/>
      <c r="K58" s="2902"/>
      <c r="L58" s="2902"/>
      <c r="M58" s="2902"/>
      <c r="N58" s="2902"/>
      <c r="O58" s="2902"/>
      <c r="P58" s="2902"/>
      <c r="Q58" s="2902"/>
      <c r="R58" s="2902"/>
    </row>
    <row r="64" spans="1:21">
      <c r="U64" s="25"/>
    </row>
  </sheetData>
  <sheetProtection algorithmName="SHA-512" hashValue="BQe7Ak5xmDXiyucvkw+ni5raKrFxpaeYtP/7ZxiePL2N7cUuQXphyNgH0ExNRkzcXnCCpn1bKqcpcOp+g+uMkQ==" saltValue="zMmVEU/Krisb/AefS0TXBQ==" spinCount="100000" sheet="1" scenarios="1" formatCells="0" formatColumns="0" formatRows="0"/>
  <mergeCells count="11">
    <mergeCell ref="A17:B17"/>
    <mergeCell ref="A26:B26"/>
    <mergeCell ref="A34:B34"/>
    <mergeCell ref="A57:R57"/>
    <mergeCell ref="A58:R58"/>
    <mergeCell ref="U12:W12"/>
    <mergeCell ref="A1:Q1"/>
    <mergeCell ref="A2:R2"/>
    <mergeCell ref="U2:W2"/>
    <mergeCell ref="U3:W3"/>
    <mergeCell ref="U11:W11"/>
  </mergeCells>
  <printOptions horizontalCentered="1"/>
  <pageMargins left="0.7" right="0.7" top="0.75" bottom="0.75" header="0.3" footer="0.3"/>
  <pageSetup scale="61" orientation="portrait" r:id="rId1"/>
  <headerFooter differentFirst="1">
    <firstHeader>&amp;L&amp;G&amp;C&amp;8
&amp;18Credit Memo</firstHeader>
  </headerFooter>
  <rowBreaks count="1" manualBreakCount="1">
    <brk id="79"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697345" r:id="rId4" name="Drop Down 1">
              <controlPr defaultSize="0" autoLine="0" autoPict="0">
                <anchor moveWithCells="1">
                  <from>
                    <xdr:col>20</xdr:col>
                    <xdr:colOff>0</xdr:colOff>
                    <xdr:row>6</xdr:row>
                    <xdr:rowOff>0</xdr:rowOff>
                  </from>
                  <to>
                    <xdr:col>21</xdr:col>
                    <xdr:colOff>114300</xdr:colOff>
                    <xdr:row>7</xdr:row>
                    <xdr:rowOff>0</xdr:rowOff>
                  </to>
                </anchor>
              </controlPr>
            </control>
          </mc:Choice>
        </mc:AlternateContent>
        <mc:AlternateContent xmlns:mc="http://schemas.openxmlformats.org/markup-compatibility/2006">
          <mc:Choice Requires="x14">
            <control shapeId="697346" r:id="rId5" name="Drop Down 2">
              <controlPr defaultSize="0" autoLine="0" autoPict="0">
                <anchor moveWithCells="1">
                  <from>
                    <xdr:col>22</xdr:col>
                    <xdr:colOff>0</xdr:colOff>
                    <xdr:row>6</xdr:row>
                    <xdr:rowOff>0</xdr:rowOff>
                  </from>
                  <to>
                    <xdr:col>23</xdr:col>
                    <xdr:colOff>114300</xdr:colOff>
                    <xdr:row>7</xdr:row>
                    <xdr:rowOff>0</xdr:rowOff>
                  </to>
                </anchor>
              </controlPr>
            </control>
          </mc:Choice>
        </mc:AlternateContent>
        <mc:AlternateContent xmlns:mc="http://schemas.openxmlformats.org/markup-compatibility/2006">
          <mc:Choice Requires="x14">
            <control shapeId="697347" r:id="rId6" name="Drop Down 3">
              <controlPr defaultSize="0" autoLine="0" autoPict="0">
                <anchor moveWithCells="1">
                  <from>
                    <xdr:col>24</xdr:col>
                    <xdr:colOff>0</xdr:colOff>
                    <xdr:row>6</xdr:row>
                    <xdr:rowOff>0</xdr:rowOff>
                  </from>
                  <to>
                    <xdr:col>25</xdr:col>
                    <xdr:colOff>114300</xdr:colOff>
                    <xdr:row>7</xdr:row>
                    <xdr:rowOff>0</xdr:rowOff>
                  </to>
                </anchor>
              </controlPr>
            </control>
          </mc:Choice>
        </mc:AlternateContent>
        <mc:AlternateContent xmlns:mc="http://schemas.openxmlformats.org/markup-compatibility/2006">
          <mc:Choice Requires="x14">
            <control shapeId="697348" r:id="rId7" name="Drop Down 4">
              <controlPr defaultSize="0" autoLine="0" autoPict="0">
                <anchor moveWithCells="1">
                  <from>
                    <xdr:col>26</xdr:col>
                    <xdr:colOff>0</xdr:colOff>
                    <xdr:row>6</xdr:row>
                    <xdr:rowOff>0</xdr:rowOff>
                  </from>
                  <to>
                    <xdr:col>27</xdr:col>
                    <xdr:colOff>114300</xdr:colOff>
                    <xdr:row>7</xdr:row>
                    <xdr:rowOff>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8C95-0755-43A4-939B-81E0CA4E8E0C}">
  <sheetPr codeName="Sheet66">
    <tabColor rgb="FFFFFF00"/>
  </sheetPr>
  <dimension ref="A1:O89"/>
  <sheetViews>
    <sheetView zoomScaleNormal="100" workbookViewId="0">
      <selection activeCell="F18" sqref="F18:G18"/>
    </sheetView>
  </sheetViews>
  <sheetFormatPr baseColWidth="10" defaultColWidth="8.83203125" defaultRowHeight="15"/>
  <cols>
    <col min="1" max="1" width="23.5" customWidth="1"/>
    <col min="2" max="2" width="12.6640625" customWidth="1"/>
    <col min="3" max="4" width="10.1640625" customWidth="1"/>
    <col min="5" max="5" width="13.5" customWidth="1"/>
    <col min="6" max="6" width="8" customWidth="1"/>
    <col min="7" max="7" width="12.1640625" customWidth="1"/>
    <col min="8" max="8" width="8.33203125" customWidth="1"/>
    <col min="9" max="9" width="11.6640625" customWidth="1"/>
    <col min="10" max="10" width="2.33203125" customWidth="1"/>
  </cols>
  <sheetData>
    <row r="1" spans="1:15" ht="22" thickBot="1">
      <c r="A1" s="3273" t="s">
        <v>1496</v>
      </c>
      <c r="B1" s="3274"/>
      <c r="C1" s="3274"/>
      <c r="D1" s="3274"/>
      <c r="E1" s="3274"/>
      <c r="F1" s="3274"/>
      <c r="G1" s="3274"/>
      <c r="H1" s="3274"/>
      <c r="I1" s="3274"/>
      <c r="J1" s="3275"/>
      <c r="M1" s="1741"/>
      <c r="N1" s="1741"/>
      <c r="O1" s="1741"/>
    </row>
    <row r="2" spans="1:15" ht="16">
      <c r="A2" s="88"/>
      <c r="B2" s="89"/>
      <c r="C2" s="3276" t="s">
        <v>1497</v>
      </c>
      <c r="D2" s="3276"/>
      <c r="E2" s="3276"/>
      <c r="F2" s="89"/>
      <c r="G2" s="89"/>
      <c r="H2" s="89"/>
      <c r="I2" s="89"/>
      <c r="J2" s="90"/>
    </row>
    <row r="3" spans="1:15" ht="16">
      <c r="A3" s="3277" t="s">
        <v>1498</v>
      </c>
      <c r="B3" s="3278"/>
      <c r="C3" s="3279" t="e">
        <f>#REF!</f>
        <v>#REF!</v>
      </c>
      <c r="D3" s="3280"/>
      <c r="E3" s="3280"/>
      <c r="F3" s="3280"/>
      <c r="G3" s="3280"/>
      <c r="H3" s="3280"/>
      <c r="I3" s="3281"/>
      <c r="J3" s="91"/>
    </row>
    <row r="4" spans="1:15" ht="16">
      <c r="A4" s="92"/>
      <c r="B4" s="93"/>
      <c r="C4" s="94"/>
      <c r="D4" s="94"/>
      <c r="E4" s="94"/>
      <c r="F4" s="94"/>
      <c r="G4" s="94"/>
      <c r="H4" s="94"/>
      <c r="I4" s="94"/>
      <c r="J4" s="91"/>
    </row>
    <row r="5" spans="1:15" ht="16">
      <c r="A5" s="95" t="s">
        <v>1499</v>
      </c>
      <c r="B5" s="96"/>
      <c r="C5" s="96"/>
      <c r="D5" s="96"/>
      <c r="E5" s="3282" t="str">
        <f>'Per Need 1'!B3</f>
        <v>{Name of Guarantor/Principal}</v>
      </c>
      <c r="F5" s="3283"/>
      <c r="G5" s="3283"/>
      <c r="H5" s="3283"/>
      <c r="I5" s="3284"/>
      <c r="J5" s="97"/>
    </row>
    <row r="6" spans="1:15" ht="16">
      <c r="A6" s="98"/>
      <c r="B6" s="96"/>
      <c r="C6" s="96"/>
      <c r="D6" s="96"/>
      <c r="E6" s="96"/>
      <c r="F6" s="96"/>
      <c r="G6" s="96"/>
      <c r="H6" s="96"/>
      <c r="I6" s="96"/>
      <c r="J6" s="97"/>
    </row>
    <row r="7" spans="1:15" ht="16">
      <c r="A7" s="3285" t="s">
        <v>1500</v>
      </c>
      <c r="B7" s="3286"/>
      <c r="C7" s="3286"/>
      <c r="D7" s="3286"/>
      <c r="E7" s="3286"/>
      <c r="F7" s="3286"/>
      <c r="G7" s="3286"/>
      <c r="H7" s="3286"/>
      <c r="I7" s="3286"/>
      <c r="J7" s="3287"/>
    </row>
    <row r="8" spans="1:15" ht="16">
      <c r="A8" s="99" t="s">
        <v>1501</v>
      </c>
      <c r="B8" s="100"/>
      <c r="C8" s="100"/>
      <c r="D8" s="100"/>
      <c r="E8" s="100"/>
      <c r="F8" s="101"/>
      <c r="G8" s="3288">
        <v>0</v>
      </c>
      <c r="H8" s="3288"/>
      <c r="I8" s="3288"/>
      <c r="J8" s="102"/>
    </row>
    <row r="9" spans="1:15" ht="16">
      <c r="A9" s="99" t="s">
        <v>1502</v>
      </c>
      <c r="B9" s="100"/>
      <c r="C9" s="100"/>
      <c r="D9" s="100"/>
      <c r="E9" s="100"/>
      <c r="F9" s="101"/>
      <c r="G9" s="3288">
        <v>0</v>
      </c>
      <c r="H9" s="3288"/>
      <c r="I9" s="3288"/>
      <c r="J9" s="102"/>
    </row>
    <row r="10" spans="1:15" ht="16">
      <c r="A10" s="99" t="s">
        <v>1503</v>
      </c>
      <c r="B10" s="100"/>
      <c r="C10" s="100"/>
      <c r="D10" s="100"/>
      <c r="E10" s="100"/>
      <c r="F10" s="101"/>
      <c r="G10" s="3288">
        <v>0</v>
      </c>
      <c r="H10" s="3288"/>
      <c r="I10" s="3288"/>
      <c r="J10" s="102"/>
    </row>
    <row r="11" spans="1:15" ht="17" thickBot="1">
      <c r="A11" s="99" t="s">
        <v>1504</v>
      </c>
      <c r="B11" s="3289" t="s">
        <v>1505</v>
      </c>
      <c r="C11" s="3290"/>
      <c r="D11" s="3290"/>
      <c r="E11" s="3290"/>
      <c r="F11" s="3291"/>
      <c r="G11" s="3292">
        <v>0</v>
      </c>
      <c r="H11" s="3292"/>
      <c r="I11" s="3292"/>
      <c r="J11" s="103"/>
    </row>
    <row r="12" spans="1:15" ht="17" thickBot="1">
      <c r="A12" s="104" t="s">
        <v>1506</v>
      </c>
      <c r="B12" s="100"/>
      <c r="C12" s="100"/>
      <c r="D12" s="100"/>
      <c r="E12" s="100"/>
      <c r="F12" s="105"/>
      <c r="G12" s="3270">
        <f>SUM(G8:I11)</f>
        <v>0</v>
      </c>
      <c r="H12" s="3271"/>
      <c r="I12" s="3272"/>
      <c r="J12" s="103"/>
    </row>
    <row r="13" spans="1:15" ht="16">
      <c r="A13" s="99"/>
      <c r="B13" s="100"/>
      <c r="C13" s="100"/>
      <c r="D13" s="100"/>
      <c r="E13" s="106"/>
      <c r="F13" s="107"/>
      <c r="G13" s="107"/>
      <c r="H13" s="108"/>
      <c r="I13" s="109"/>
      <c r="J13" s="102"/>
    </row>
    <row r="14" spans="1:15" ht="16">
      <c r="A14" s="99" t="s">
        <v>1507</v>
      </c>
      <c r="B14" s="100"/>
      <c r="C14" s="100"/>
      <c r="D14" s="100"/>
      <c r="E14" s="110"/>
      <c r="F14" s="3293">
        <f>UOP!H59</f>
        <v>0</v>
      </c>
      <c r="G14" s="3294"/>
      <c r="H14" s="108"/>
      <c r="I14" s="109"/>
      <c r="J14" s="102"/>
    </row>
    <row r="15" spans="1:15" ht="16">
      <c r="A15" s="99" t="s">
        <v>1508</v>
      </c>
      <c r="B15" s="100"/>
      <c r="C15" s="100"/>
      <c r="D15" s="100"/>
      <c r="E15" s="3295" t="s">
        <v>1509</v>
      </c>
      <c r="F15" s="3295"/>
      <c r="G15" s="101">
        <v>500000</v>
      </c>
      <c r="H15" s="108"/>
      <c r="I15" s="100"/>
      <c r="J15" s="103"/>
    </row>
    <row r="16" spans="1:15" ht="16">
      <c r="A16" s="99" t="s">
        <v>1510</v>
      </c>
      <c r="B16" s="100"/>
      <c r="C16" s="100"/>
      <c r="D16" s="100"/>
      <c r="E16" s="3295" t="s">
        <v>1511</v>
      </c>
      <c r="F16" s="3295"/>
      <c r="G16" s="101">
        <v>1000000</v>
      </c>
      <c r="H16" s="108"/>
      <c r="I16" s="108"/>
      <c r="J16" s="111"/>
    </row>
    <row r="17" spans="1:10" ht="16">
      <c r="A17" s="99" t="s">
        <v>1512</v>
      </c>
      <c r="B17" s="100"/>
      <c r="C17" s="100"/>
      <c r="D17" s="100"/>
      <c r="E17" s="3295" t="s">
        <v>1513</v>
      </c>
      <c r="F17" s="3295"/>
      <c r="G17" s="101">
        <v>2500000</v>
      </c>
      <c r="H17" s="108"/>
      <c r="I17" s="112"/>
      <c r="J17" s="113"/>
    </row>
    <row r="18" spans="1:10" ht="16">
      <c r="A18" s="114">
        <f>IF(F14&lt;=350000,2,IF(F14&gt;1000000,1,1.5))</f>
        <v>2</v>
      </c>
      <c r="B18" s="100" t="s">
        <v>1514</v>
      </c>
      <c r="C18" s="100"/>
      <c r="D18" s="100"/>
      <c r="E18" s="115"/>
      <c r="F18" s="3293">
        <f>F14*A18</f>
        <v>0</v>
      </c>
      <c r="G18" s="3294"/>
      <c r="H18" s="108"/>
      <c r="I18" s="112"/>
      <c r="J18" s="113"/>
    </row>
    <row r="19" spans="1:10" ht="17" thickBot="1">
      <c r="A19" s="116"/>
      <c r="B19" s="100"/>
      <c r="C19" s="100"/>
      <c r="D19" s="100"/>
      <c r="E19" s="115"/>
      <c r="F19" s="107"/>
      <c r="G19" s="107"/>
      <c r="H19" s="108"/>
      <c r="I19" s="112"/>
      <c r="J19" s="113"/>
    </row>
    <row r="20" spans="1:10" ht="17" thickBot="1">
      <c r="A20" s="98" t="s">
        <v>1515</v>
      </c>
      <c r="B20" s="108"/>
      <c r="C20" s="3296">
        <f>IF(A18=2,MAX(F18,G15),IF(A18=1.5,MAX(F18,G16),IF(A18=1,MAX(F18,G17))))</f>
        <v>500000</v>
      </c>
      <c r="D20" s="3297"/>
      <c r="E20" s="3297"/>
      <c r="F20" s="3298"/>
      <c r="G20" s="108"/>
      <c r="H20" s="108"/>
      <c r="I20" s="108"/>
      <c r="J20" s="111"/>
    </row>
    <row r="21" spans="1:10" ht="17" thickBot="1">
      <c r="A21" s="98" t="s">
        <v>1516</v>
      </c>
      <c r="B21" s="108"/>
      <c r="C21" s="3299">
        <f>IF(G12&gt;C20,G12-C20,0)</f>
        <v>0</v>
      </c>
      <c r="D21" s="3300"/>
      <c r="E21" s="3300"/>
      <c r="F21" s="3301"/>
      <c r="G21" s="108"/>
      <c r="H21" s="108"/>
      <c r="I21" s="108"/>
      <c r="J21" s="111"/>
    </row>
    <row r="22" spans="1:10" ht="17" thickBot="1">
      <c r="A22" s="3302"/>
      <c r="B22" s="3303"/>
      <c r="C22" s="3303"/>
      <c r="D22" s="3303"/>
      <c r="E22" s="3303"/>
      <c r="F22" s="3303"/>
      <c r="G22" s="3303"/>
      <c r="H22" s="117"/>
      <c r="I22" s="117"/>
      <c r="J22" s="118"/>
    </row>
    <row r="23" spans="1:10" ht="17" thickBot="1">
      <c r="A23" s="3304"/>
      <c r="B23" s="3305"/>
      <c r="C23" s="3305"/>
      <c r="D23" s="3305"/>
      <c r="E23" s="3305"/>
      <c r="F23" s="3305"/>
      <c r="G23" s="3305"/>
      <c r="H23" s="3305"/>
      <c r="I23" s="3305"/>
      <c r="J23" s="3306"/>
    </row>
    <row r="24" spans="1:10" ht="16">
      <c r="A24" s="88"/>
      <c r="B24" s="89"/>
      <c r="C24" s="89"/>
      <c r="D24" s="89"/>
      <c r="E24" s="89"/>
      <c r="F24" s="89"/>
      <c r="G24" s="89"/>
      <c r="H24" s="89"/>
      <c r="I24" s="89"/>
      <c r="J24" s="90"/>
    </row>
    <row r="25" spans="1:10" ht="16">
      <c r="A25" s="3277" t="s">
        <v>1498</v>
      </c>
      <c r="B25" s="3278"/>
      <c r="C25" s="3279" t="e">
        <f>#REF!</f>
        <v>#REF!</v>
      </c>
      <c r="D25" s="3280"/>
      <c r="E25" s="3280"/>
      <c r="F25" s="3280"/>
      <c r="G25" s="3280"/>
      <c r="H25" s="3280"/>
      <c r="I25" s="3281"/>
      <c r="J25" s="91"/>
    </row>
    <row r="26" spans="1:10" ht="16">
      <c r="A26" s="92"/>
      <c r="B26" s="93"/>
      <c r="C26" s="94"/>
      <c r="D26" s="94"/>
      <c r="E26" s="94"/>
      <c r="F26" s="94"/>
      <c r="G26" s="94"/>
      <c r="H26" s="94"/>
      <c r="I26" s="94"/>
      <c r="J26" s="91"/>
    </row>
    <row r="27" spans="1:10" ht="16">
      <c r="A27" s="95" t="s">
        <v>1499</v>
      </c>
      <c r="B27" s="96"/>
      <c r="C27" s="96"/>
      <c r="D27" s="96"/>
      <c r="E27" s="3282" t="str">
        <f>'Per Need 2'!B3</f>
        <v>{Name of Guarantor/Principal}</v>
      </c>
      <c r="F27" s="3283"/>
      <c r="G27" s="3283"/>
      <c r="H27" s="3283"/>
      <c r="I27" s="3284"/>
      <c r="J27" s="97"/>
    </row>
    <row r="28" spans="1:10" ht="16">
      <c r="A28" s="98"/>
      <c r="B28" s="96"/>
      <c r="C28" s="96"/>
      <c r="D28" s="96"/>
      <c r="E28" s="96"/>
      <c r="F28" s="96"/>
      <c r="G28" s="96"/>
      <c r="H28" s="96"/>
      <c r="I28" s="96"/>
      <c r="J28" s="97"/>
    </row>
    <row r="29" spans="1:10" ht="16">
      <c r="A29" s="3285" t="s">
        <v>1500</v>
      </c>
      <c r="B29" s="3286"/>
      <c r="C29" s="3286"/>
      <c r="D29" s="3286"/>
      <c r="E29" s="3286"/>
      <c r="F29" s="3286"/>
      <c r="G29" s="3286"/>
      <c r="H29" s="3286"/>
      <c r="I29" s="3286"/>
      <c r="J29" s="3287"/>
    </row>
    <row r="30" spans="1:10" ht="16">
      <c r="A30" s="99" t="s">
        <v>1501</v>
      </c>
      <c r="B30" s="100"/>
      <c r="C30" s="100"/>
      <c r="D30" s="100"/>
      <c r="E30" s="100"/>
      <c r="F30" s="101"/>
      <c r="G30" s="3288">
        <v>0</v>
      </c>
      <c r="H30" s="3288"/>
      <c r="I30" s="3288"/>
      <c r="J30" s="102"/>
    </row>
    <row r="31" spans="1:10" ht="16">
      <c r="A31" s="99" t="s">
        <v>1502</v>
      </c>
      <c r="B31" s="100"/>
      <c r="C31" s="100"/>
      <c r="D31" s="100"/>
      <c r="E31" s="100"/>
      <c r="F31" s="101"/>
      <c r="G31" s="3288">
        <v>0</v>
      </c>
      <c r="H31" s="3288"/>
      <c r="I31" s="3288"/>
      <c r="J31" s="102"/>
    </row>
    <row r="32" spans="1:10" ht="16">
      <c r="A32" s="99" t="s">
        <v>1503</v>
      </c>
      <c r="B32" s="100"/>
      <c r="C32" s="100"/>
      <c r="D32" s="100"/>
      <c r="E32" s="100"/>
      <c r="F32" s="101"/>
      <c r="G32" s="3288">
        <v>0</v>
      </c>
      <c r="H32" s="3288"/>
      <c r="I32" s="3288"/>
      <c r="J32" s="102"/>
    </row>
    <row r="33" spans="1:10" ht="17" thickBot="1">
      <c r="A33" s="99" t="s">
        <v>1504</v>
      </c>
      <c r="B33" s="3289" t="s">
        <v>1505</v>
      </c>
      <c r="C33" s="3290"/>
      <c r="D33" s="3290"/>
      <c r="E33" s="3290"/>
      <c r="F33" s="3291"/>
      <c r="G33" s="3292">
        <v>0</v>
      </c>
      <c r="H33" s="3292"/>
      <c r="I33" s="3292"/>
      <c r="J33" s="103"/>
    </row>
    <row r="34" spans="1:10" ht="17" thickBot="1">
      <c r="A34" s="104" t="s">
        <v>1506</v>
      </c>
      <c r="B34" s="100"/>
      <c r="C34" s="100"/>
      <c r="D34" s="100"/>
      <c r="E34" s="100"/>
      <c r="F34" s="105"/>
      <c r="G34" s="3270">
        <f>SUM(G30:I33)</f>
        <v>0</v>
      </c>
      <c r="H34" s="3271"/>
      <c r="I34" s="3272"/>
      <c r="J34" s="103"/>
    </row>
    <row r="35" spans="1:10" ht="16">
      <c r="A35" s="99"/>
      <c r="B35" s="100"/>
      <c r="C35" s="100"/>
      <c r="D35" s="100"/>
      <c r="E35" s="106"/>
      <c r="F35" s="107"/>
      <c r="G35" s="107"/>
      <c r="H35" s="108"/>
      <c r="I35" s="109"/>
      <c r="J35" s="102"/>
    </row>
    <row r="36" spans="1:10" ht="16">
      <c r="A36" s="99" t="s">
        <v>1507</v>
      </c>
      <c r="B36" s="100"/>
      <c r="C36" s="100"/>
      <c r="D36" s="100"/>
      <c r="E36" s="110"/>
      <c r="F36" s="3293">
        <f>UOP!H98</f>
        <v>0.02</v>
      </c>
      <c r="G36" s="3294"/>
      <c r="H36" s="108"/>
      <c r="I36" s="109"/>
      <c r="J36" s="102"/>
    </row>
    <row r="37" spans="1:10" ht="16">
      <c r="A37" s="99" t="s">
        <v>1508</v>
      </c>
      <c r="B37" s="100"/>
      <c r="C37" s="100"/>
      <c r="D37" s="100"/>
      <c r="E37" s="3295" t="s">
        <v>1509</v>
      </c>
      <c r="F37" s="3295"/>
      <c r="G37" s="101">
        <v>500000</v>
      </c>
      <c r="H37" s="108"/>
      <c r="I37" s="100"/>
      <c r="J37" s="103"/>
    </row>
    <row r="38" spans="1:10" ht="16">
      <c r="A38" s="99" t="s">
        <v>1510</v>
      </c>
      <c r="B38" s="100"/>
      <c r="C38" s="100"/>
      <c r="D38" s="100"/>
      <c r="E38" s="3295" t="s">
        <v>1511</v>
      </c>
      <c r="F38" s="3295"/>
      <c r="G38" s="101">
        <v>1000000</v>
      </c>
      <c r="H38" s="108"/>
      <c r="I38" s="108"/>
      <c r="J38" s="111"/>
    </row>
    <row r="39" spans="1:10" ht="16">
      <c r="A39" s="99" t="s">
        <v>1512</v>
      </c>
      <c r="B39" s="100"/>
      <c r="C39" s="100"/>
      <c r="D39" s="100"/>
      <c r="E39" s="3295" t="s">
        <v>1513</v>
      </c>
      <c r="F39" s="3295"/>
      <c r="G39" s="101">
        <v>2500000</v>
      </c>
      <c r="H39" s="108"/>
      <c r="I39" s="112"/>
      <c r="J39" s="113"/>
    </row>
    <row r="40" spans="1:10" ht="16">
      <c r="A40" s="114">
        <f>IF(F36&lt;=350000,2,IF(F36&gt;1000000,1,1.5))</f>
        <v>2</v>
      </c>
      <c r="B40" s="100" t="s">
        <v>1514</v>
      </c>
      <c r="C40" s="100"/>
      <c r="D40" s="100"/>
      <c r="E40" s="115"/>
      <c r="F40" s="3293">
        <f>F36*A40</f>
        <v>0.04</v>
      </c>
      <c r="G40" s="3294"/>
      <c r="H40" s="108"/>
      <c r="I40" s="112"/>
      <c r="J40" s="113"/>
    </row>
    <row r="41" spans="1:10" ht="17" thickBot="1">
      <c r="A41" s="116"/>
      <c r="B41" s="100"/>
      <c r="C41" s="100"/>
      <c r="D41" s="100"/>
      <c r="E41" s="115"/>
      <c r="F41" s="107"/>
      <c r="G41" s="107"/>
      <c r="H41" s="108"/>
      <c r="I41" s="112"/>
      <c r="J41" s="113"/>
    </row>
    <row r="42" spans="1:10" ht="17" thickBot="1">
      <c r="A42" s="98" t="s">
        <v>1515</v>
      </c>
      <c r="B42" s="108"/>
      <c r="C42" s="3296">
        <f>IF(A40=2,MAX(F40,G37),IF(A40=1.5,MAX(F40,G38),IF(A40=1,MAX(F40,G39))))</f>
        <v>500000</v>
      </c>
      <c r="D42" s="3297"/>
      <c r="E42" s="3297"/>
      <c r="F42" s="3298"/>
      <c r="G42" s="108"/>
      <c r="H42" s="108"/>
      <c r="I42" s="108"/>
      <c r="J42" s="111"/>
    </row>
    <row r="43" spans="1:10" ht="17" thickBot="1">
      <c r="A43" s="98" t="s">
        <v>1516</v>
      </c>
      <c r="B43" s="108"/>
      <c r="C43" s="3296">
        <f>IF(G34&gt;C42,G34-C42,0)</f>
        <v>0</v>
      </c>
      <c r="D43" s="3297"/>
      <c r="E43" s="3297"/>
      <c r="F43" s="3298"/>
      <c r="G43" s="108"/>
      <c r="H43" s="108"/>
      <c r="I43" s="108"/>
      <c r="J43" s="111"/>
    </row>
    <row r="44" spans="1:10" ht="17" thickBot="1">
      <c r="A44" s="3302"/>
      <c r="B44" s="3303"/>
      <c r="C44" s="3303"/>
      <c r="D44" s="3303"/>
      <c r="E44" s="3303"/>
      <c r="F44" s="3303"/>
      <c r="G44" s="3303"/>
      <c r="H44" s="117"/>
      <c r="I44" s="117"/>
      <c r="J44" s="118"/>
    </row>
    <row r="45" spans="1:10" ht="22" thickBot="1">
      <c r="A45" s="3273" t="s">
        <v>1517</v>
      </c>
      <c r="B45" s="3274"/>
      <c r="C45" s="3274"/>
      <c r="D45" s="3274"/>
      <c r="E45" s="3274"/>
      <c r="F45" s="3274"/>
      <c r="G45" s="3274"/>
      <c r="H45" s="3274"/>
      <c r="I45" s="3274"/>
      <c r="J45" s="3275"/>
    </row>
    <row r="46" spans="1:10" ht="17" thickBot="1">
      <c r="A46" s="88"/>
      <c r="B46" s="89"/>
      <c r="C46" s="3276" t="s">
        <v>1518</v>
      </c>
      <c r="D46" s="3276"/>
      <c r="E46" s="3276"/>
      <c r="F46" s="89"/>
      <c r="G46" s="89"/>
      <c r="H46" s="89"/>
      <c r="I46" s="89"/>
      <c r="J46" s="90"/>
    </row>
    <row r="47" spans="1:10" ht="16">
      <c r="A47" s="88"/>
      <c r="B47" s="89"/>
      <c r="C47" s="89"/>
      <c r="D47" s="89"/>
      <c r="E47" s="89"/>
      <c r="F47" s="89"/>
      <c r="G47" s="89"/>
      <c r="H47" s="89"/>
      <c r="I47" s="89"/>
      <c r="J47" s="90"/>
    </row>
    <row r="48" spans="1:10" ht="16">
      <c r="A48" s="3277" t="s">
        <v>1498</v>
      </c>
      <c r="B48" s="3278"/>
      <c r="C48" s="3279" t="e">
        <f>#REF!</f>
        <v>#REF!</v>
      </c>
      <c r="D48" s="3280"/>
      <c r="E48" s="3280"/>
      <c r="F48" s="3280"/>
      <c r="G48" s="3280"/>
      <c r="H48" s="3280"/>
      <c r="I48" s="3281"/>
      <c r="J48" s="91"/>
    </row>
    <row r="49" spans="1:10" ht="16">
      <c r="A49" s="92"/>
      <c r="B49" s="93"/>
      <c r="C49" s="94"/>
      <c r="D49" s="94"/>
      <c r="E49" s="94"/>
      <c r="F49" s="94"/>
      <c r="G49" s="94"/>
      <c r="H49" s="94"/>
      <c r="I49" s="94"/>
      <c r="J49" s="91"/>
    </row>
    <row r="50" spans="1:10" ht="16">
      <c r="A50" s="95" t="s">
        <v>1499</v>
      </c>
      <c r="B50" s="96"/>
      <c r="C50" s="96"/>
      <c r="D50" s="96"/>
      <c r="E50" s="3282" t="str">
        <f>'Per Need 3'!B3</f>
        <v>{Name of Guarantor/Principal}</v>
      </c>
      <c r="F50" s="3283"/>
      <c r="G50" s="3283"/>
      <c r="H50" s="3283"/>
      <c r="I50" s="3284"/>
      <c r="J50" s="97"/>
    </row>
    <row r="51" spans="1:10" ht="16">
      <c r="A51" s="98"/>
      <c r="B51" s="96"/>
      <c r="C51" s="96"/>
      <c r="D51" s="96"/>
      <c r="E51" s="96"/>
      <c r="F51" s="96"/>
      <c r="G51" s="96"/>
      <c r="H51" s="96"/>
      <c r="I51" s="96"/>
      <c r="J51" s="97"/>
    </row>
    <row r="52" spans="1:10" ht="16">
      <c r="A52" s="3285" t="s">
        <v>1500</v>
      </c>
      <c r="B52" s="3286"/>
      <c r="C52" s="3286"/>
      <c r="D52" s="3286"/>
      <c r="E52" s="3286"/>
      <c r="F52" s="3286"/>
      <c r="G52" s="3286"/>
      <c r="H52" s="3286"/>
      <c r="I52" s="3286"/>
      <c r="J52" s="3287"/>
    </row>
    <row r="53" spans="1:10" ht="16">
      <c r="A53" s="99" t="s">
        <v>1501</v>
      </c>
      <c r="B53" s="100"/>
      <c r="C53" s="100"/>
      <c r="D53" s="100"/>
      <c r="E53" s="100"/>
      <c r="F53" s="101"/>
      <c r="G53" s="3288">
        <v>0</v>
      </c>
      <c r="H53" s="3288"/>
      <c r="I53" s="3288"/>
      <c r="J53" s="102"/>
    </row>
    <row r="54" spans="1:10" ht="16">
      <c r="A54" s="99" t="s">
        <v>1502</v>
      </c>
      <c r="B54" s="100"/>
      <c r="C54" s="100"/>
      <c r="D54" s="100"/>
      <c r="E54" s="100"/>
      <c r="F54" s="101"/>
      <c r="G54" s="3288">
        <v>0</v>
      </c>
      <c r="H54" s="3288"/>
      <c r="I54" s="3288"/>
      <c r="J54" s="102"/>
    </row>
    <row r="55" spans="1:10" ht="16">
      <c r="A55" s="99" t="s">
        <v>1503</v>
      </c>
      <c r="B55" s="100"/>
      <c r="C55" s="100"/>
      <c r="D55" s="100"/>
      <c r="E55" s="100"/>
      <c r="F55" s="101"/>
      <c r="G55" s="3288">
        <v>0</v>
      </c>
      <c r="H55" s="3288"/>
      <c r="I55" s="3288"/>
      <c r="J55" s="102"/>
    </row>
    <row r="56" spans="1:10" ht="17" thickBot="1">
      <c r="A56" s="99" t="s">
        <v>1504</v>
      </c>
      <c r="B56" s="3289" t="s">
        <v>1505</v>
      </c>
      <c r="C56" s="3290"/>
      <c r="D56" s="3290"/>
      <c r="E56" s="3290"/>
      <c r="F56" s="3291"/>
      <c r="G56" s="3292">
        <v>0</v>
      </c>
      <c r="H56" s="3292"/>
      <c r="I56" s="3292"/>
      <c r="J56" s="103"/>
    </row>
    <row r="57" spans="1:10" ht="17" thickBot="1">
      <c r="A57" s="104" t="s">
        <v>1506</v>
      </c>
      <c r="B57" s="100"/>
      <c r="C57" s="100"/>
      <c r="D57" s="100"/>
      <c r="E57" s="100"/>
      <c r="F57" s="105"/>
      <c r="G57" s="3270">
        <f>SUM(G53:I56)</f>
        <v>0</v>
      </c>
      <c r="H57" s="3271"/>
      <c r="I57" s="3272"/>
      <c r="J57" s="103"/>
    </row>
    <row r="58" spans="1:10" ht="16">
      <c r="A58" s="99"/>
      <c r="B58" s="100"/>
      <c r="C58" s="100"/>
      <c r="D58" s="100"/>
      <c r="E58" s="106"/>
      <c r="F58" s="107"/>
      <c r="G58" s="107"/>
      <c r="H58" s="108"/>
      <c r="I58" s="109"/>
      <c r="J58" s="102"/>
    </row>
    <row r="59" spans="1:10" ht="16">
      <c r="A59" s="99" t="s">
        <v>1507</v>
      </c>
      <c r="B59" s="100"/>
      <c r="C59" s="100"/>
      <c r="D59" s="100"/>
      <c r="E59" s="110"/>
      <c r="F59" s="3293">
        <f>UOP!H123</f>
        <v>0</v>
      </c>
      <c r="G59" s="3294"/>
      <c r="H59" s="108"/>
      <c r="I59" s="109"/>
      <c r="J59" s="102"/>
    </row>
    <row r="60" spans="1:10" ht="16">
      <c r="A60" s="99" t="s">
        <v>1508</v>
      </c>
      <c r="B60" s="100"/>
      <c r="C60" s="100"/>
      <c r="D60" s="100"/>
      <c r="E60" s="3295" t="s">
        <v>1509</v>
      </c>
      <c r="F60" s="3295"/>
      <c r="G60" s="101">
        <v>500000</v>
      </c>
      <c r="H60" s="108"/>
      <c r="I60" s="100"/>
      <c r="J60" s="103"/>
    </row>
    <row r="61" spans="1:10" ht="16">
      <c r="A61" s="99" t="s">
        <v>1510</v>
      </c>
      <c r="B61" s="100"/>
      <c r="C61" s="100"/>
      <c r="D61" s="100"/>
      <c r="E61" s="3295" t="s">
        <v>1511</v>
      </c>
      <c r="F61" s="3295"/>
      <c r="G61" s="101">
        <v>1000000</v>
      </c>
      <c r="H61" s="108"/>
      <c r="I61" s="108"/>
      <c r="J61" s="111"/>
    </row>
    <row r="62" spans="1:10" ht="16">
      <c r="A62" s="99" t="s">
        <v>1512</v>
      </c>
      <c r="B62" s="100"/>
      <c r="C62" s="100"/>
      <c r="D62" s="100"/>
      <c r="E62" s="3295" t="s">
        <v>1513</v>
      </c>
      <c r="F62" s="3295"/>
      <c r="G62" s="101">
        <v>2500000</v>
      </c>
      <c r="H62" s="108"/>
      <c r="I62" s="112"/>
      <c r="J62" s="113"/>
    </row>
    <row r="63" spans="1:10" ht="16">
      <c r="A63" s="114">
        <f>IF(F59&lt;=350000,2,IF(F59&gt;1000000,1,1.5))</f>
        <v>2</v>
      </c>
      <c r="B63" s="100" t="s">
        <v>1514</v>
      </c>
      <c r="C63" s="100"/>
      <c r="D63" s="100"/>
      <c r="E63" s="115"/>
      <c r="F63" s="3293">
        <f>F59*A63</f>
        <v>0</v>
      </c>
      <c r="G63" s="3294"/>
      <c r="H63" s="108"/>
      <c r="I63" s="112"/>
      <c r="J63" s="113"/>
    </row>
    <row r="64" spans="1:10" ht="17" thickBot="1">
      <c r="A64" s="116"/>
      <c r="B64" s="100"/>
      <c r="C64" s="100"/>
      <c r="D64" s="100"/>
      <c r="E64" s="115"/>
      <c r="F64" s="107"/>
      <c r="G64" s="107"/>
      <c r="H64" s="108"/>
      <c r="I64" s="112"/>
      <c r="J64" s="113"/>
    </row>
    <row r="65" spans="1:10" ht="17" thickBot="1">
      <c r="A65" s="98" t="s">
        <v>1515</v>
      </c>
      <c r="B65" s="108"/>
      <c r="C65" s="3296">
        <f>IF(A63=2,MAX(F63,G60),IF(A63=1.5,MAX(F63,G61),IF(A63=1,MAX(F63,G62))))</f>
        <v>500000</v>
      </c>
      <c r="D65" s="3297"/>
      <c r="E65" s="3297"/>
      <c r="F65" s="3298"/>
      <c r="G65" s="108"/>
      <c r="H65" s="108"/>
      <c r="I65" s="108"/>
      <c r="J65" s="111"/>
    </row>
    <row r="66" spans="1:10" ht="17" thickBot="1">
      <c r="A66" s="98" t="s">
        <v>1516</v>
      </c>
      <c r="B66" s="108"/>
      <c r="C66" s="3299">
        <f>IF(G57&gt;C65,G57-C65,0)</f>
        <v>0</v>
      </c>
      <c r="D66" s="3300"/>
      <c r="E66" s="3300"/>
      <c r="F66" s="3301"/>
      <c r="G66" s="108"/>
      <c r="H66" s="108"/>
      <c r="I66" s="108"/>
      <c r="J66" s="111"/>
    </row>
    <row r="67" spans="1:10" ht="17" thickBot="1">
      <c r="A67" s="3302"/>
      <c r="B67" s="3303"/>
      <c r="C67" s="3303"/>
      <c r="D67" s="3303"/>
      <c r="E67" s="3303"/>
      <c r="F67" s="3303"/>
      <c r="G67" s="3303"/>
      <c r="H67" s="117"/>
      <c r="I67" s="117"/>
      <c r="J67" s="118"/>
    </row>
    <row r="68" spans="1:10" ht="17" thickBot="1">
      <c r="A68" s="3304"/>
      <c r="B68" s="3305"/>
      <c r="C68" s="3305"/>
      <c r="D68" s="3305"/>
      <c r="E68" s="3305"/>
      <c r="F68" s="3305"/>
      <c r="G68" s="3305"/>
      <c r="H68" s="3305"/>
      <c r="I68" s="3305"/>
      <c r="J68" s="3306"/>
    </row>
    <row r="69" spans="1:10" ht="16">
      <c r="A69" s="88"/>
      <c r="B69" s="89"/>
      <c r="C69" s="89"/>
      <c r="D69" s="89"/>
      <c r="E69" s="89"/>
      <c r="F69" s="89"/>
      <c r="G69" s="89"/>
      <c r="H69" s="89"/>
      <c r="I69" s="89"/>
      <c r="J69" s="90"/>
    </row>
    <row r="70" spans="1:10" ht="16">
      <c r="A70" s="3277" t="s">
        <v>1498</v>
      </c>
      <c r="B70" s="3278"/>
      <c r="C70" s="3279" t="e">
        <f>#REF!</f>
        <v>#REF!</v>
      </c>
      <c r="D70" s="3280"/>
      <c r="E70" s="3280"/>
      <c r="F70" s="3280"/>
      <c r="G70" s="3280"/>
      <c r="H70" s="3280"/>
      <c r="I70" s="3281"/>
      <c r="J70" s="91"/>
    </row>
    <row r="71" spans="1:10" ht="16">
      <c r="A71" s="92"/>
      <c r="B71" s="93"/>
      <c r="C71" s="94"/>
      <c r="D71" s="94"/>
      <c r="E71" s="94"/>
      <c r="F71" s="94"/>
      <c r="G71" s="94"/>
      <c r="H71" s="94"/>
      <c r="I71" s="94"/>
      <c r="J71" s="91"/>
    </row>
    <row r="72" spans="1:10" ht="16">
      <c r="A72" s="95" t="s">
        <v>1499</v>
      </c>
      <c r="B72" s="96"/>
      <c r="C72" s="96"/>
      <c r="D72" s="96"/>
      <c r="E72" s="3282" t="str">
        <f>'Per Need 4'!B3</f>
        <v>{Name of Guarantor/Principal}</v>
      </c>
      <c r="F72" s="3283"/>
      <c r="G72" s="3283"/>
      <c r="H72" s="3283"/>
      <c r="I72" s="3284"/>
      <c r="J72" s="97"/>
    </row>
    <row r="73" spans="1:10" ht="16">
      <c r="A73" s="98"/>
      <c r="B73" s="96"/>
      <c r="C73" s="96"/>
      <c r="D73" s="96"/>
      <c r="E73" s="96"/>
      <c r="F73" s="96"/>
      <c r="G73" s="96"/>
      <c r="H73" s="96"/>
      <c r="I73" s="96"/>
      <c r="J73" s="97"/>
    </row>
    <row r="74" spans="1:10" ht="16">
      <c r="A74" s="3285" t="s">
        <v>1500</v>
      </c>
      <c r="B74" s="3286"/>
      <c r="C74" s="3286"/>
      <c r="D74" s="3286"/>
      <c r="E74" s="3286"/>
      <c r="F74" s="3286"/>
      <c r="G74" s="3286"/>
      <c r="H74" s="3286"/>
      <c r="I74" s="3286"/>
      <c r="J74" s="3287"/>
    </row>
    <row r="75" spans="1:10" ht="16">
      <c r="A75" s="99" t="s">
        <v>1501</v>
      </c>
      <c r="B75" s="100"/>
      <c r="C75" s="100"/>
      <c r="D75" s="100"/>
      <c r="E75" s="100"/>
      <c r="F75" s="101"/>
      <c r="G75" s="3288">
        <v>0</v>
      </c>
      <c r="H75" s="3288"/>
      <c r="I75" s="3288"/>
      <c r="J75" s="102"/>
    </row>
    <row r="76" spans="1:10" ht="16">
      <c r="A76" s="99" t="s">
        <v>1502</v>
      </c>
      <c r="B76" s="100"/>
      <c r="C76" s="100"/>
      <c r="D76" s="100"/>
      <c r="E76" s="100"/>
      <c r="F76" s="101"/>
      <c r="G76" s="3288">
        <v>0</v>
      </c>
      <c r="H76" s="3288"/>
      <c r="I76" s="3288"/>
      <c r="J76" s="102"/>
    </row>
    <row r="77" spans="1:10" ht="16">
      <c r="A77" s="99" t="s">
        <v>1503</v>
      </c>
      <c r="B77" s="100"/>
      <c r="C77" s="100"/>
      <c r="D77" s="100"/>
      <c r="E77" s="100"/>
      <c r="F77" s="101"/>
      <c r="G77" s="3288">
        <v>0</v>
      </c>
      <c r="H77" s="3288"/>
      <c r="I77" s="3288"/>
      <c r="J77" s="102"/>
    </row>
    <row r="78" spans="1:10" ht="17" thickBot="1">
      <c r="A78" s="99" t="s">
        <v>1504</v>
      </c>
      <c r="B78" s="3289" t="s">
        <v>1505</v>
      </c>
      <c r="C78" s="3290"/>
      <c r="D78" s="3290"/>
      <c r="E78" s="3290"/>
      <c r="F78" s="3291"/>
      <c r="G78" s="3292">
        <v>0</v>
      </c>
      <c r="H78" s="3292"/>
      <c r="I78" s="3292"/>
      <c r="J78" s="103"/>
    </row>
    <row r="79" spans="1:10" ht="17" thickBot="1">
      <c r="A79" s="104" t="s">
        <v>1506</v>
      </c>
      <c r="B79" s="100"/>
      <c r="C79" s="100"/>
      <c r="D79" s="100"/>
      <c r="E79" s="100"/>
      <c r="F79" s="105"/>
      <c r="G79" s="3270">
        <f>SUM(G75:I78)</f>
        <v>0</v>
      </c>
      <c r="H79" s="3271"/>
      <c r="I79" s="3272"/>
      <c r="J79" s="103"/>
    </row>
    <row r="80" spans="1:10" ht="16">
      <c r="A80" s="99"/>
      <c r="B80" s="100"/>
      <c r="C80" s="100"/>
      <c r="D80" s="100"/>
      <c r="E80" s="106"/>
      <c r="F80" s="107"/>
      <c r="G80" s="107"/>
      <c r="H80" s="108"/>
      <c r="I80" s="109"/>
      <c r="J80" s="102"/>
    </row>
    <row r="81" spans="1:10" ht="16">
      <c r="A81" s="99" t="s">
        <v>1507</v>
      </c>
      <c r="B81" s="100"/>
      <c r="C81" s="100"/>
      <c r="D81" s="100"/>
      <c r="E81" s="110"/>
      <c r="F81" s="3293">
        <f>UOP!H141</f>
        <v>0</v>
      </c>
      <c r="G81" s="3294"/>
      <c r="H81" s="108"/>
      <c r="I81" s="109"/>
      <c r="J81" s="102"/>
    </row>
    <row r="82" spans="1:10" ht="16">
      <c r="A82" s="99" t="s">
        <v>1508</v>
      </c>
      <c r="B82" s="100"/>
      <c r="C82" s="100"/>
      <c r="D82" s="100"/>
      <c r="E82" s="3295" t="s">
        <v>1509</v>
      </c>
      <c r="F82" s="3295"/>
      <c r="G82" s="101">
        <v>500000</v>
      </c>
      <c r="H82" s="108"/>
      <c r="I82" s="100"/>
      <c r="J82" s="103"/>
    </row>
    <row r="83" spans="1:10" ht="16">
      <c r="A83" s="99" t="s">
        <v>1510</v>
      </c>
      <c r="B83" s="100"/>
      <c r="C83" s="100"/>
      <c r="D83" s="100"/>
      <c r="E83" s="3295" t="s">
        <v>1511</v>
      </c>
      <c r="F83" s="3295"/>
      <c r="G83" s="101">
        <v>1000000</v>
      </c>
      <c r="H83" s="108"/>
      <c r="I83" s="108"/>
      <c r="J83" s="111"/>
    </row>
    <row r="84" spans="1:10" ht="16">
      <c r="A84" s="99" t="s">
        <v>1512</v>
      </c>
      <c r="B84" s="100"/>
      <c r="C84" s="100"/>
      <c r="D84" s="100"/>
      <c r="E84" s="3295" t="s">
        <v>1513</v>
      </c>
      <c r="F84" s="3295"/>
      <c r="G84" s="101">
        <v>2500000</v>
      </c>
      <c r="H84" s="108"/>
      <c r="I84" s="112"/>
      <c r="J84" s="113"/>
    </row>
    <row r="85" spans="1:10" ht="16">
      <c r="A85" s="114">
        <f>IF(F81&lt;=350000,2,IF(F81&gt;1000000,1,1.5))</f>
        <v>2</v>
      </c>
      <c r="B85" s="100" t="s">
        <v>1514</v>
      </c>
      <c r="C85" s="100"/>
      <c r="D85" s="100"/>
      <c r="E85" s="115"/>
      <c r="F85" s="3293">
        <f>F81*A85</f>
        <v>0</v>
      </c>
      <c r="G85" s="3294"/>
      <c r="H85" s="108"/>
      <c r="I85" s="112"/>
      <c r="J85" s="113"/>
    </row>
    <row r="86" spans="1:10" ht="17" thickBot="1">
      <c r="A86" s="116"/>
      <c r="B86" s="100"/>
      <c r="C86" s="100"/>
      <c r="D86" s="100"/>
      <c r="E86" s="115"/>
      <c r="F86" s="107"/>
      <c r="G86" s="107"/>
      <c r="H86" s="108"/>
      <c r="I86" s="112"/>
      <c r="J86" s="113"/>
    </row>
    <row r="87" spans="1:10" ht="17" thickBot="1">
      <c r="A87" s="98" t="s">
        <v>1515</v>
      </c>
      <c r="B87" s="108"/>
      <c r="C87" s="3296">
        <f>IF(A85=2,MAX(F85,G82),IF(A85=1.5,MAX(F85,G83),IF(A85=1,MAX(F85,G84))))</f>
        <v>500000</v>
      </c>
      <c r="D87" s="3297"/>
      <c r="E87" s="3297"/>
      <c r="F87" s="3298"/>
      <c r="G87" s="108"/>
      <c r="H87" s="108"/>
      <c r="I87" s="108"/>
      <c r="J87" s="111"/>
    </row>
    <row r="88" spans="1:10" ht="17" thickBot="1">
      <c r="A88" s="98" t="s">
        <v>1516</v>
      </c>
      <c r="B88" s="108"/>
      <c r="C88" s="3299">
        <f>IF(G79&gt;C87,G79-C87,0)</f>
        <v>0</v>
      </c>
      <c r="D88" s="3300"/>
      <c r="E88" s="3300"/>
      <c r="F88" s="3301"/>
      <c r="G88" s="108"/>
      <c r="H88" s="108"/>
      <c r="I88" s="108"/>
      <c r="J88" s="111"/>
    </row>
    <row r="89" spans="1:10" ht="17" thickBot="1">
      <c r="A89" s="3302"/>
      <c r="B89" s="3303"/>
      <c r="C89" s="3303"/>
      <c r="D89" s="3303"/>
      <c r="E89" s="3303"/>
      <c r="F89" s="3303"/>
      <c r="G89" s="3303"/>
      <c r="H89" s="117"/>
      <c r="I89" s="117"/>
      <c r="J89" s="118"/>
    </row>
  </sheetData>
  <sheetProtection algorithmName="SHA-512" hashValue="XjpEQLbgwVy5Hziyvsql8vMQM0lIUvwFLqaMNHLHxGzRZQ4ecNrdq7HY9pkpfdbOPtwCk2FIu9KLfOH2hY+Y2Q==" saltValue="xL/T84JaR4cmYkJCULv71A==" spinCount="100000" sheet="1" scenarios="1" formatCells="0" formatColumns="0" formatRows="0"/>
  <mergeCells count="78">
    <mergeCell ref="C87:F87"/>
    <mergeCell ref="C88:F88"/>
    <mergeCell ref="A89:G89"/>
    <mergeCell ref="G79:I79"/>
    <mergeCell ref="F81:G81"/>
    <mergeCell ref="E82:F82"/>
    <mergeCell ref="E83:F83"/>
    <mergeCell ref="E84:F84"/>
    <mergeCell ref="F85:G85"/>
    <mergeCell ref="B78:F78"/>
    <mergeCell ref="G78:I78"/>
    <mergeCell ref="C65:F65"/>
    <mergeCell ref="C66:F66"/>
    <mergeCell ref="A67:G67"/>
    <mergeCell ref="A68:J68"/>
    <mergeCell ref="A70:B70"/>
    <mergeCell ref="C70:I70"/>
    <mergeCell ref="E72:I72"/>
    <mergeCell ref="A74:J74"/>
    <mergeCell ref="G75:I75"/>
    <mergeCell ref="G76:I76"/>
    <mergeCell ref="G77:I77"/>
    <mergeCell ref="F63:G63"/>
    <mergeCell ref="E50:I50"/>
    <mergeCell ref="A52:J52"/>
    <mergeCell ref="G53:I53"/>
    <mergeCell ref="G54:I54"/>
    <mergeCell ref="G55:I55"/>
    <mergeCell ref="B56:F56"/>
    <mergeCell ref="G56:I56"/>
    <mergeCell ref="G57:I57"/>
    <mergeCell ref="F59:G59"/>
    <mergeCell ref="E60:F60"/>
    <mergeCell ref="E61:F61"/>
    <mergeCell ref="E62:F62"/>
    <mergeCell ref="A48:B48"/>
    <mergeCell ref="C48:I48"/>
    <mergeCell ref="G34:I34"/>
    <mergeCell ref="F36:G36"/>
    <mergeCell ref="E37:F37"/>
    <mergeCell ref="E38:F38"/>
    <mergeCell ref="E39:F39"/>
    <mergeCell ref="F40:G40"/>
    <mergeCell ref="C42:F42"/>
    <mergeCell ref="C43:F43"/>
    <mergeCell ref="A44:G44"/>
    <mergeCell ref="A45:J45"/>
    <mergeCell ref="C46:E46"/>
    <mergeCell ref="A29:J29"/>
    <mergeCell ref="G30:I30"/>
    <mergeCell ref="G31:I31"/>
    <mergeCell ref="G32:I32"/>
    <mergeCell ref="B33:F33"/>
    <mergeCell ref="G33:I33"/>
    <mergeCell ref="E27:I27"/>
    <mergeCell ref="F14:G14"/>
    <mergeCell ref="E15:F15"/>
    <mergeCell ref="E16:F16"/>
    <mergeCell ref="E17:F17"/>
    <mergeCell ref="F18:G18"/>
    <mergeCell ref="C20:F20"/>
    <mergeCell ref="C21:F21"/>
    <mergeCell ref="A22:G22"/>
    <mergeCell ref="A23:J23"/>
    <mergeCell ref="A25:B25"/>
    <mergeCell ref="C25:I25"/>
    <mergeCell ref="G12:I12"/>
    <mergeCell ref="A1:J1"/>
    <mergeCell ref="C2:E2"/>
    <mergeCell ref="A3:B3"/>
    <mergeCell ref="C3:I3"/>
    <mergeCell ref="E5:I5"/>
    <mergeCell ref="A7:J7"/>
    <mergeCell ref="G8:I8"/>
    <mergeCell ref="G9:I9"/>
    <mergeCell ref="G10:I10"/>
    <mergeCell ref="B11:F11"/>
    <mergeCell ref="G11:I11"/>
  </mergeCells>
  <conditionalFormatting sqref="C21:F21">
    <cfRule type="cellIs" dxfId="15" priority="4" operator="greaterThan">
      <formula>0</formula>
    </cfRule>
  </conditionalFormatting>
  <conditionalFormatting sqref="C43:F43">
    <cfRule type="cellIs" dxfId="14" priority="3" operator="greaterThan">
      <formula>0</formula>
    </cfRule>
  </conditionalFormatting>
  <conditionalFormatting sqref="C66:F66">
    <cfRule type="cellIs" dxfId="13" priority="2" operator="greaterThan">
      <formula>0</formula>
    </cfRule>
  </conditionalFormatting>
  <conditionalFormatting sqref="C88:F88">
    <cfRule type="cellIs" dxfId="12" priority="1" operator="greaterThan">
      <formula>0</formula>
    </cfRule>
  </conditionalFormatting>
  <hyperlinks>
    <hyperlink ref="M1" location="Index!A1" display="Index" xr:uid="{FE76E278-CBCF-46B5-AEED-28125DEB21D5}"/>
  </hyperlinks>
  <pageMargins left="0.7" right="0.7" top="0.75" bottom="0.75" header="0.3" footer="0.3"/>
  <pageSetup scale="80" orientation="portrait" r:id="rId1"/>
  <rowBreaks count="1" manualBreakCount="1">
    <brk id="4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34849" r:id="rId4" name="Check Box 1">
              <controlPr defaultSize="0" autoFill="0" autoLine="0" autoPict="0">
                <anchor moveWithCells="1" sizeWithCells="1">
                  <from>
                    <xdr:col>3</xdr:col>
                    <xdr:colOff>330200</xdr:colOff>
                    <xdr:row>2</xdr:row>
                    <xdr:rowOff>12700</xdr:rowOff>
                  </from>
                  <to>
                    <xdr:col>3</xdr:col>
                    <xdr:colOff>330200</xdr:colOff>
                    <xdr:row>2</xdr:row>
                    <xdr:rowOff>25400</xdr:rowOff>
                  </to>
                </anchor>
              </controlPr>
            </control>
          </mc:Choice>
        </mc:AlternateContent>
        <mc:AlternateContent xmlns:mc="http://schemas.openxmlformats.org/markup-compatibility/2006">
          <mc:Choice Requires="x14">
            <control shapeId="334850" r:id="rId5" name="Check Box 2">
              <controlPr defaultSize="0" autoFill="0" autoLine="0" autoPict="0">
                <anchor moveWithCells="1" sizeWithCells="1">
                  <from>
                    <xdr:col>3</xdr:col>
                    <xdr:colOff>330200</xdr:colOff>
                    <xdr:row>2</xdr:row>
                    <xdr:rowOff>12700</xdr:rowOff>
                  </from>
                  <to>
                    <xdr:col>3</xdr:col>
                    <xdr:colOff>330200</xdr:colOff>
                    <xdr:row>2</xdr:row>
                    <xdr:rowOff>25400</xdr:rowOff>
                  </to>
                </anchor>
              </controlPr>
            </control>
          </mc:Choice>
        </mc:AlternateContent>
        <mc:AlternateContent xmlns:mc="http://schemas.openxmlformats.org/markup-compatibility/2006">
          <mc:Choice Requires="x14">
            <control shapeId="334851" r:id="rId6" name="Check Box 3">
              <controlPr defaultSize="0" autoFill="0" autoLine="0" autoPict="0">
                <anchor moveWithCells="1" sizeWithCells="1">
                  <from>
                    <xdr:col>3</xdr:col>
                    <xdr:colOff>330200</xdr:colOff>
                    <xdr:row>24</xdr:row>
                    <xdr:rowOff>12700</xdr:rowOff>
                  </from>
                  <to>
                    <xdr:col>3</xdr:col>
                    <xdr:colOff>330200</xdr:colOff>
                    <xdr:row>24</xdr:row>
                    <xdr:rowOff>25400</xdr:rowOff>
                  </to>
                </anchor>
              </controlPr>
            </control>
          </mc:Choice>
        </mc:AlternateContent>
        <mc:AlternateContent xmlns:mc="http://schemas.openxmlformats.org/markup-compatibility/2006">
          <mc:Choice Requires="x14">
            <control shapeId="334852" r:id="rId7" name="Check Box 4">
              <controlPr defaultSize="0" autoFill="0" autoLine="0" autoPict="0">
                <anchor moveWithCells="1" sizeWithCells="1">
                  <from>
                    <xdr:col>3</xdr:col>
                    <xdr:colOff>330200</xdr:colOff>
                    <xdr:row>24</xdr:row>
                    <xdr:rowOff>12700</xdr:rowOff>
                  </from>
                  <to>
                    <xdr:col>3</xdr:col>
                    <xdr:colOff>330200</xdr:colOff>
                    <xdr:row>24</xdr:row>
                    <xdr:rowOff>25400</xdr:rowOff>
                  </to>
                </anchor>
              </controlPr>
            </control>
          </mc:Choice>
        </mc:AlternateContent>
        <mc:AlternateContent xmlns:mc="http://schemas.openxmlformats.org/markup-compatibility/2006">
          <mc:Choice Requires="x14">
            <control shapeId="334853" r:id="rId8" name="Check Box 5">
              <controlPr defaultSize="0" autoFill="0" autoLine="0" autoPict="0">
                <anchor moveWithCells="1" sizeWithCells="1">
                  <from>
                    <xdr:col>3</xdr:col>
                    <xdr:colOff>330200</xdr:colOff>
                    <xdr:row>47</xdr:row>
                    <xdr:rowOff>12700</xdr:rowOff>
                  </from>
                  <to>
                    <xdr:col>3</xdr:col>
                    <xdr:colOff>330200</xdr:colOff>
                    <xdr:row>47</xdr:row>
                    <xdr:rowOff>25400</xdr:rowOff>
                  </to>
                </anchor>
              </controlPr>
            </control>
          </mc:Choice>
        </mc:AlternateContent>
        <mc:AlternateContent xmlns:mc="http://schemas.openxmlformats.org/markup-compatibility/2006">
          <mc:Choice Requires="x14">
            <control shapeId="334854" r:id="rId9" name="Check Box 6">
              <controlPr defaultSize="0" autoFill="0" autoLine="0" autoPict="0">
                <anchor moveWithCells="1" sizeWithCells="1">
                  <from>
                    <xdr:col>3</xdr:col>
                    <xdr:colOff>330200</xdr:colOff>
                    <xdr:row>47</xdr:row>
                    <xdr:rowOff>12700</xdr:rowOff>
                  </from>
                  <to>
                    <xdr:col>3</xdr:col>
                    <xdr:colOff>330200</xdr:colOff>
                    <xdr:row>47</xdr:row>
                    <xdr:rowOff>25400</xdr:rowOff>
                  </to>
                </anchor>
              </controlPr>
            </control>
          </mc:Choice>
        </mc:AlternateContent>
        <mc:AlternateContent xmlns:mc="http://schemas.openxmlformats.org/markup-compatibility/2006">
          <mc:Choice Requires="x14">
            <control shapeId="334855" r:id="rId10" name="Check Box 7">
              <controlPr defaultSize="0" autoFill="0" autoLine="0" autoPict="0">
                <anchor moveWithCells="1" sizeWithCells="1">
                  <from>
                    <xdr:col>3</xdr:col>
                    <xdr:colOff>330200</xdr:colOff>
                    <xdr:row>69</xdr:row>
                    <xdr:rowOff>12700</xdr:rowOff>
                  </from>
                  <to>
                    <xdr:col>3</xdr:col>
                    <xdr:colOff>330200</xdr:colOff>
                    <xdr:row>69</xdr:row>
                    <xdr:rowOff>25400</xdr:rowOff>
                  </to>
                </anchor>
              </controlPr>
            </control>
          </mc:Choice>
        </mc:AlternateContent>
        <mc:AlternateContent xmlns:mc="http://schemas.openxmlformats.org/markup-compatibility/2006">
          <mc:Choice Requires="x14">
            <control shapeId="334856" r:id="rId11" name="Check Box 8">
              <controlPr defaultSize="0" autoFill="0" autoLine="0" autoPict="0">
                <anchor moveWithCells="1" sizeWithCells="1">
                  <from>
                    <xdr:col>3</xdr:col>
                    <xdr:colOff>330200</xdr:colOff>
                    <xdr:row>69</xdr:row>
                    <xdr:rowOff>12700</xdr:rowOff>
                  </from>
                  <to>
                    <xdr:col>3</xdr:col>
                    <xdr:colOff>330200</xdr:colOff>
                    <xdr:row>69</xdr:row>
                    <xdr:rowOff>25400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7B26A-1E8C-4054-955C-F2919EF03F07}">
  <sheetPr codeName="Sheet63">
    <tabColor theme="5"/>
  </sheetPr>
  <dimension ref="A1:K61"/>
  <sheetViews>
    <sheetView zoomScaleNormal="100" workbookViewId="0">
      <selection activeCell="F18" sqref="F18"/>
    </sheetView>
  </sheetViews>
  <sheetFormatPr baseColWidth="10" defaultColWidth="8.83203125" defaultRowHeight="15"/>
  <cols>
    <col min="1" max="1" width="10.5" bestFit="1" customWidth="1"/>
    <col min="2" max="2" width="12.6640625" bestFit="1" customWidth="1"/>
    <col min="3" max="3" width="12.5" bestFit="1" customWidth="1"/>
    <col min="4" max="4" width="13.33203125" bestFit="1" customWidth="1"/>
    <col min="5" max="5" width="9.83203125" bestFit="1" customWidth="1"/>
    <col min="6" max="6" width="11.5" bestFit="1" customWidth="1"/>
    <col min="7" max="7" width="10.5" bestFit="1" customWidth="1"/>
    <col min="8" max="8" width="6.5" bestFit="1" customWidth="1"/>
    <col min="9" max="9" width="23.33203125" bestFit="1" customWidth="1"/>
    <col min="10" max="10" width="15.6640625" bestFit="1" customWidth="1"/>
  </cols>
  <sheetData>
    <row r="1" spans="1:11">
      <c r="B1" s="1741"/>
      <c r="C1" s="1741"/>
      <c r="D1" s="1741"/>
    </row>
    <row r="2" spans="1:11">
      <c r="A2" s="59" t="s">
        <v>166</v>
      </c>
      <c r="C2" t="s">
        <v>167</v>
      </c>
      <c r="D2" s="220">
        <f>UOP!D75</f>
        <v>0</v>
      </c>
    </row>
    <row r="3" spans="1:11">
      <c r="A3" t="s">
        <v>168</v>
      </c>
      <c r="B3" t="s">
        <v>144</v>
      </c>
      <c r="C3" t="s">
        <v>169</v>
      </c>
      <c r="D3" t="s">
        <v>170</v>
      </c>
      <c r="E3" t="s">
        <v>171</v>
      </c>
      <c r="F3" t="s">
        <v>172</v>
      </c>
      <c r="G3" t="s">
        <v>173</v>
      </c>
      <c r="H3" t="s">
        <v>174</v>
      </c>
      <c r="I3" t="s">
        <v>175</v>
      </c>
      <c r="J3" t="s">
        <v>176</v>
      </c>
    </row>
    <row r="4" spans="1:11">
      <c r="A4" s="24" t="s">
        <v>178</v>
      </c>
      <c r="B4" s="81">
        <f>IF($D$2&gt;0,$D$2,'Wksht Print Separately'!C$14)</f>
        <v>0</v>
      </c>
      <c r="C4" s="82">
        <f>'Wksht Print Separately'!$C$22</f>
        <v>0</v>
      </c>
      <c r="D4" s="79">
        <f>'Wksht Print Separately'!E$25*12</f>
        <v>0</v>
      </c>
      <c r="E4" s="79">
        <f>'Wksht Print Separately'!G$25</f>
        <v>0</v>
      </c>
      <c r="F4" s="84">
        <f>UOP!$P$16</f>
        <v>0</v>
      </c>
      <c r="G4" s="84">
        <f>EDATE(F4,E4)</f>
        <v>0</v>
      </c>
      <c r="H4" s="79">
        <f>G4-F4</f>
        <v>0</v>
      </c>
      <c r="I4" s="83">
        <f>IFERROR((C4/360*30*12),0)</f>
        <v>0</v>
      </c>
      <c r="J4" s="86" t="str">
        <f>IFERROR((PMT(I4/12,E4,-B4)),"Incomplete Data")</f>
        <v>Incomplete Data</v>
      </c>
      <c r="K4" t="s">
        <v>1519</v>
      </c>
    </row>
    <row r="5" spans="1:11">
      <c r="A5" s="24" t="s">
        <v>118</v>
      </c>
      <c r="B5" s="81">
        <f>IF($D$2&gt;0,$D$2,'Wksht Print Separately'!C$14)</f>
        <v>0</v>
      </c>
      <c r="C5" s="82">
        <f>'Wksht Print Separately'!$C$22</f>
        <v>0</v>
      </c>
      <c r="D5" s="79">
        <f>'Wksht Print Separately'!E$25*12</f>
        <v>0</v>
      </c>
      <c r="E5" s="79">
        <f>'Wksht Print Separately'!G$25</f>
        <v>0</v>
      </c>
      <c r="F5" s="84">
        <f>UOP!$P$16</f>
        <v>0</v>
      </c>
      <c r="G5" s="84">
        <f t="shared" ref="G5:G6" si="0">EDATE(F5,E5)</f>
        <v>0</v>
      </c>
      <c r="H5" s="79">
        <f>G5-F5</f>
        <v>0</v>
      </c>
      <c r="I5" s="83">
        <f>IFERROR((C5/(365*(E5/12))*H5),0)</f>
        <v>0</v>
      </c>
      <c r="J5" s="86" t="str">
        <f t="shared" ref="J5:J6" si="1">IFERROR((PMT(I5/12,E5,-B5)),"Incomplete Data")</f>
        <v>Incomplete Data</v>
      </c>
      <c r="K5" t="s">
        <v>1519</v>
      </c>
    </row>
    <row r="6" spans="1:11">
      <c r="A6" s="24" t="s">
        <v>181</v>
      </c>
      <c r="B6" s="81">
        <f>IF($D$2&gt;0,$D$2,'Wksht Print Separately'!C$14)</f>
        <v>0</v>
      </c>
      <c r="C6" s="82">
        <f>'Wksht Print Separately'!$C$22</f>
        <v>0</v>
      </c>
      <c r="D6" s="79">
        <f>'Wksht Print Separately'!E$25*12</f>
        <v>0</v>
      </c>
      <c r="E6" s="79">
        <f>'Wksht Print Separately'!G$25</f>
        <v>0</v>
      </c>
      <c r="F6" s="84">
        <f>UOP!$P$16</f>
        <v>0</v>
      </c>
      <c r="G6" s="84">
        <f t="shared" si="0"/>
        <v>0</v>
      </c>
      <c r="H6" s="79">
        <f>G6-F6</f>
        <v>0</v>
      </c>
      <c r="I6" s="83">
        <f>IFERROR((C6/(360*(E6/12))*H6),0)</f>
        <v>0</v>
      </c>
      <c r="J6" s="86" t="str">
        <f t="shared" si="1"/>
        <v>Incomplete Data</v>
      </c>
      <c r="K6" t="s">
        <v>1520</v>
      </c>
    </row>
    <row r="7" spans="1:11">
      <c r="A7" s="24"/>
      <c r="B7" s="81"/>
      <c r="C7" s="82"/>
      <c r="D7" s="79"/>
      <c r="E7" s="79"/>
      <c r="F7" s="79"/>
      <c r="G7" s="84"/>
      <c r="H7" s="79"/>
      <c r="I7" s="83"/>
      <c r="J7" s="86"/>
    </row>
    <row r="8" spans="1:11">
      <c r="A8" s="24" t="s">
        <v>184</v>
      </c>
      <c r="B8" s="81"/>
      <c r="C8" s="82"/>
      <c r="D8" s="79"/>
      <c r="E8" s="79"/>
      <c r="F8" s="79"/>
      <c r="G8" s="84"/>
      <c r="H8" s="79"/>
      <c r="I8" s="83"/>
      <c r="J8" s="86"/>
    </row>
    <row r="9" spans="1:11">
      <c r="A9" t="s">
        <v>168</v>
      </c>
      <c r="B9" t="s">
        <v>144</v>
      </c>
      <c r="C9" t="s">
        <v>169</v>
      </c>
      <c r="D9" t="s">
        <v>170</v>
      </c>
      <c r="E9" t="s">
        <v>171</v>
      </c>
      <c r="F9" t="s">
        <v>172</v>
      </c>
      <c r="G9" t="s">
        <v>173</v>
      </c>
      <c r="H9" t="s">
        <v>174</v>
      </c>
      <c r="I9" t="s">
        <v>175</v>
      </c>
      <c r="J9" t="s">
        <v>176</v>
      </c>
    </row>
    <row r="10" spans="1:11">
      <c r="A10" s="24" t="s">
        <v>178</v>
      </c>
      <c r="B10" s="81">
        <f>IF($D$2&gt;0,$D$2,'Wksht Print Separately'!C$14)</f>
        <v>0</v>
      </c>
      <c r="C10" s="82">
        <f>'Wksht Print Separately'!C$22+1%</f>
        <v>0.01</v>
      </c>
      <c r="D10" s="79">
        <f>'Wksht Print Separately'!E$25*12</f>
        <v>0</v>
      </c>
      <c r="E10" s="79">
        <f>'Wksht Print Separately'!G$25</f>
        <v>0</v>
      </c>
      <c r="F10" s="84">
        <f>UOP!$P$16</f>
        <v>0</v>
      </c>
      <c r="G10" s="84">
        <f>EDATE(F10,E10)</f>
        <v>0</v>
      </c>
      <c r="H10" s="79">
        <f>G10-F10</f>
        <v>0</v>
      </c>
      <c r="I10" s="83">
        <f>IFERROR((C10/360*30*12),0)</f>
        <v>0.01</v>
      </c>
      <c r="J10" s="86" t="str">
        <f>IFERROR((PMT(I10/12,E10,-B10)),"Incomplete Data")</f>
        <v>Incomplete Data</v>
      </c>
    </row>
    <row r="11" spans="1:11">
      <c r="A11" s="24" t="s">
        <v>118</v>
      </c>
      <c r="B11" s="81">
        <f>IF($D$2&gt;0,$D$2,'Wksht Print Separately'!C$14)</f>
        <v>0</v>
      </c>
      <c r="C11" s="82">
        <f>'Wksht Print Separately'!C$22+1%</f>
        <v>0.01</v>
      </c>
      <c r="D11" s="79">
        <f>'Wksht Print Separately'!E$25*12</f>
        <v>0</v>
      </c>
      <c r="E11" s="79">
        <f>'Wksht Print Separately'!G$25</f>
        <v>0</v>
      </c>
      <c r="F11" s="84">
        <f>UOP!$P$16</f>
        <v>0</v>
      </c>
      <c r="G11" s="84">
        <f t="shared" ref="G11:G12" si="2">EDATE(F11,E11)</f>
        <v>0</v>
      </c>
      <c r="H11" s="79">
        <f>G11-F11</f>
        <v>0</v>
      </c>
      <c r="I11" s="83">
        <f>IFERROR((C11/(365*(E11/12))*H11),0)</f>
        <v>0</v>
      </c>
      <c r="J11" s="86" t="str">
        <f t="shared" ref="J11:J12" si="3">IFERROR((PMT(I11/12,E11,-B11)),"Incomplete Data")</f>
        <v>Incomplete Data</v>
      </c>
    </row>
    <row r="12" spans="1:11">
      <c r="A12" s="24" t="s">
        <v>181</v>
      </c>
      <c r="B12" s="81">
        <f>IF($D$2&gt;0,$D$2,'Wksht Print Separately'!C$14)</f>
        <v>0</v>
      </c>
      <c r="C12" s="82">
        <f>'Wksht Print Separately'!C$22+1%</f>
        <v>0.01</v>
      </c>
      <c r="D12" s="79">
        <f>'Wksht Print Separately'!E$25*12</f>
        <v>0</v>
      </c>
      <c r="E12" s="79">
        <f>'Wksht Print Separately'!G$25</f>
        <v>0</v>
      </c>
      <c r="F12" s="84">
        <f>UOP!$P$16</f>
        <v>0</v>
      </c>
      <c r="G12" s="84">
        <f t="shared" si="2"/>
        <v>0</v>
      </c>
      <c r="H12" s="79">
        <f>G12-F12</f>
        <v>0</v>
      </c>
      <c r="I12" s="83">
        <f>IFERROR((C12/(360*(E12/12))*H12),0)</f>
        <v>0</v>
      </c>
      <c r="J12" s="86" t="str">
        <f t="shared" si="3"/>
        <v>Incomplete Data</v>
      </c>
    </row>
    <row r="13" spans="1:11">
      <c r="A13" s="24"/>
      <c r="B13" s="81"/>
      <c r="C13" s="82"/>
      <c r="D13" s="79"/>
      <c r="E13" s="79"/>
      <c r="F13" s="79"/>
      <c r="G13" s="84"/>
      <c r="H13" s="79"/>
      <c r="I13" s="83"/>
      <c r="J13" s="86"/>
    </row>
    <row r="14" spans="1:11">
      <c r="A14" s="24" t="s">
        <v>192</v>
      </c>
      <c r="B14" s="81"/>
      <c r="C14" s="82"/>
      <c r="D14" s="79"/>
      <c r="E14" s="79"/>
      <c r="F14" s="79"/>
      <c r="G14" s="84"/>
      <c r="H14" s="79"/>
      <c r="I14" s="83"/>
      <c r="J14" s="86"/>
    </row>
    <row r="15" spans="1:11">
      <c r="A15" t="s">
        <v>168</v>
      </c>
      <c r="B15" t="s">
        <v>144</v>
      </c>
      <c r="C15" t="s">
        <v>169</v>
      </c>
      <c r="D15" t="s">
        <v>170</v>
      </c>
      <c r="E15" t="s">
        <v>171</v>
      </c>
      <c r="F15" t="s">
        <v>172</v>
      </c>
      <c r="G15" t="s">
        <v>173</v>
      </c>
      <c r="H15" t="s">
        <v>174</v>
      </c>
      <c r="I15" t="s">
        <v>175</v>
      </c>
      <c r="J15" t="s">
        <v>176</v>
      </c>
    </row>
    <row r="16" spans="1:11">
      <c r="A16" s="24" t="s">
        <v>178</v>
      </c>
      <c r="B16" s="81">
        <f>IF($D$2&gt;0,$D$2,'Wksht Print Separately'!C$14)</f>
        <v>0</v>
      </c>
      <c r="C16" s="82">
        <f>'Wksht Print Separately'!C$22+2%</f>
        <v>0.02</v>
      </c>
      <c r="D16" s="79">
        <f>'Wksht Print Separately'!E$25*12</f>
        <v>0</v>
      </c>
      <c r="E16" s="79">
        <f>'Wksht Print Separately'!G$25</f>
        <v>0</v>
      </c>
      <c r="F16" s="84">
        <f>UOP!$P$16</f>
        <v>0</v>
      </c>
      <c r="G16" s="84">
        <f>EDATE(F16,E16)</f>
        <v>0</v>
      </c>
      <c r="H16" s="79">
        <f>G16-F16</f>
        <v>0</v>
      </c>
      <c r="I16" s="83">
        <f>IFERROR((C16/360*30*12),0)</f>
        <v>0.02</v>
      </c>
      <c r="J16" s="86" t="str">
        <f>IFERROR((PMT(I16/12,E16,-B16)),"Incomplete Data")</f>
        <v>Incomplete Data</v>
      </c>
    </row>
    <row r="17" spans="1:10">
      <c r="A17" s="24" t="s">
        <v>118</v>
      </c>
      <c r="B17" s="81">
        <f>IF($D$2&gt;0,$D$2,'Wksht Print Separately'!C$14)</f>
        <v>0</v>
      </c>
      <c r="C17" s="82">
        <f>'Wksht Print Separately'!C$22+2%</f>
        <v>0.02</v>
      </c>
      <c r="D17" s="79">
        <f>'Wksht Print Separately'!E$25*12</f>
        <v>0</v>
      </c>
      <c r="E17" s="79">
        <f>'Wksht Print Separately'!G$25</f>
        <v>0</v>
      </c>
      <c r="F17" s="84">
        <f>UOP!$P$16</f>
        <v>0</v>
      </c>
      <c r="G17" s="84">
        <f t="shared" ref="G17:G18" si="4">EDATE(F17,E17)</f>
        <v>0</v>
      </c>
      <c r="H17" s="79">
        <f>G17-F17</f>
        <v>0</v>
      </c>
      <c r="I17" s="83">
        <f>IFERROR((C17/(365*(E17/12))*H17),0)</f>
        <v>0</v>
      </c>
      <c r="J17" s="86" t="str">
        <f t="shared" ref="J17:J18" si="5">IFERROR((PMT(I17/12,E17,-B17)),"Incomplete Data")</f>
        <v>Incomplete Data</v>
      </c>
    </row>
    <row r="18" spans="1:10">
      <c r="A18" s="24" t="s">
        <v>181</v>
      </c>
      <c r="B18" s="81">
        <f>IF($D$2&gt;0,$D$2,'Wksht Print Separately'!C$14)</f>
        <v>0</v>
      </c>
      <c r="C18" s="82">
        <f>'Wksht Print Separately'!C$22+2%</f>
        <v>0.02</v>
      </c>
      <c r="D18" s="79">
        <f>'Wksht Print Separately'!E$25*12</f>
        <v>0</v>
      </c>
      <c r="E18" s="79">
        <f>'Wksht Print Separately'!G$25</f>
        <v>0</v>
      </c>
      <c r="F18" s="84">
        <f>UOP!$P$16</f>
        <v>0</v>
      </c>
      <c r="G18" s="84">
        <f t="shared" si="4"/>
        <v>0</v>
      </c>
      <c r="H18" s="79">
        <f>G18-F18</f>
        <v>0</v>
      </c>
      <c r="I18" s="83">
        <f>IFERROR((C18/(360*(E18/12))*H18),0)</f>
        <v>0</v>
      </c>
      <c r="J18" s="86" t="str">
        <f t="shared" si="5"/>
        <v>Incomplete Data</v>
      </c>
    </row>
    <row r="19" spans="1:10">
      <c r="A19" s="24"/>
      <c r="B19" s="81"/>
      <c r="C19" s="82"/>
      <c r="D19" s="79"/>
      <c r="E19" s="79"/>
      <c r="F19" s="79"/>
      <c r="G19" s="84"/>
      <c r="H19" s="79"/>
      <c r="I19" s="83"/>
      <c r="J19" s="86"/>
    </row>
    <row r="20" spans="1:10">
      <c r="A20" s="24" t="s">
        <v>193</v>
      </c>
      <c r="B20" s="81"/>
      <c r="C20" s="82"/>
      <c r="D20" s="79"/>
      <c r="E20" s="79"/>
      <c r="F20" s="79"/>
      <c r="G20" s="84"/>
      <c r="H20" s="79"/>
      <c r="I20" s="83"/>
      <c r="J20" s="86"/>
    </row>
    <row r="21" spans="1:10">
      <c r="A21" t="s">
        <v>168</v>
      </c>
      <c r="B21" t="s">
        <v>144</v>
      </c>
      <c r="C21" t="s">
        <v>169</v>
      </c>
      <c r="D21" t="s">
        <v>170</v>
      </c>
      <c r="E21" t="s">
        <v>171</v>
      </c>
      <c r="F21" t="s">
        <v>172</v>
      </c>
      <c r="G21" t="s">
        <v>173</v>
      </c>
      <c r="H21" t="s">
        <v>174</v>
      </c>
      <c r="I21" t="s">
        <v>175</v>
      </c>
      <c r="J21" t="s">
        <v>176</v>
      </c>
    </row>
    <row r="22" spans="1:10">
      <c r="A22" s="24" t="s">
        <v>178</v>
      </c>
      <c r="B22" s="81">
        <f>IF($D$2&gt;0,$D$2,'Wksht Print Separately'!C$14)</f>
        <v>0</v>
      </c>
      <c r="C22" s="82">
        <f>'Wksht Print Separately'!C$22+3%</f>
        <v>0.03</v>
      </c>
      <c r="D22" s="79">
        <f>'Wksht Print Separately'!E$25*12</f>
        <v>0</v>
      </c>
      <c r="E22" s="79">
        <f>'Wksht Print Separately'!G$25</f>
        <v>0</v>
      </c>
      <c r="F22" s="84">
        <f>UOP!$P$16</f>
        <v>0</v>
      </c>
      <c r="G22" s="84">
        <f>EDATE(F22,E22)</f>
        <v>0</v>
      </c>
      <c r="H22" s="79">
        <f>G22-F22</f>
        <v>0</v>
      </c>
      <c r="I22" s="83">
        <f>IFERROR((C22/360*30*12),0)</f>
        <v>0.03</v>
      </c>
      <c r="J22" s="86" t="str">
        <f>IFERROR((PMT(I22/12,E22,-B22)),"Incomplete Data")</f>
        <v>Incomplete Data</v>
      </c>
    </row>
    <row r="23" spans="1:10">
      <c r="A23" s="24" t="s">
        <v>118</v>
      </c>
      <c r="B23" s="81">
        <f>IF($D$2&gt;0,$D$2,'Wksht Print Separately'!C$14)</f>
        <v>0</v>
      </c>
      <c r="C23" s="82">
        <f>'Wksht Print Separately'!C$22+3%</f>
        <v>0.03</v>
      </c>
      <c r="D23" s="79">
        <f>'Wksht Print Separately'!E$25*12</f>
        <v>0</v>
      </c>
      <c r="E23" s="79">
        <f>'Wksht Print Separately'!G$25</f>
        <v>0</v>
      </c>
      <c r="F23" s="84">
        <f>UOP!$P$16</f>
        <v>0</v>
      </c>
      <c r="G23" s="84">
        <f t="shared" ref="G23:G24" si="6">EDATE(F23,E23)</f>
        <v>0</v>
      </c>
      <c r="H23" s="79">
        <f>G23-F23</f>
        <v>0</v>
      </c>
      <c r="I23" s="83">
        <f>IFERROR((C23/(365*(E23/12))*H23),0)</f>
        <v>0</v>
      </c>
      <c r="J23" s="86" t="str">
        <f t="shared" ref="J23:J24" si="7">IFERROR((PMT(I23/12,E23,-B23)),"Incomplete Data")</f>
        <v>Incomplete Data</v>
      </c>
    </row>
    <row r="24" spans="1:10">
      <c r="A24" s="24" t="s">
        <v>181</v>
      </c>
      <c r="B24" s="81">
        <f>IF($D$2&gt;0,$D$2,'Wksht Print Separately'!C$14)</f>
        <v>0</v>
      </c>
      <c r="C24" s="82">
        <f>'Wksht Print Separately'!C$22+3%</f>
        <v>0.03</v>
      </c>
      <c r="D24" s="79">
        <f>'Wksht Print Separately'!E$25*12</f>
        <v>0</v>
      </c>
      <c r="E24" s="79">
        <f>'Wksht Print Separately'!G$25</f>
        <v>0</v>
      </c>
      <c r="F24" s="84">
        <f>UOP!$P$16</f>
        <v>0</v>
      </c>
      <c r="G24" s="84">
        <f t="shared" si="6"/>
        <v>0</v>
      </c>
      <c r="H24" s="79">
        <f>G24-F24</f>
        <v>0</v>
      </c>
      <c r="I24" s="83">
        <f>IFERROR((C24/(360*(E24/12))*H24),0)</f>
        <v>0</v>
      </c>
      <c r="J24" s="86" t="str">
        <f t="shared" si="7"/>
        <v>Incomplete Data</v>
      </c>
    </row>
    <row r="25" spans="1:10">
      <c r="A25" s="24"/>
      <c r="B25" s="81"/>
      <c r="C25" s="82"/>
      <c r="D25" s="79"/>
      <c r="E25" s="79"/>
      <c r="F25" s="79"/>
      <c r="G25" s="84"/>
      <c r="H25" s="79"/>
      <c r="I25" s="83"/>
      <c r="J25" s="86"/>
    </row>
    <row r="26" spans="1:10">
      <c r="A26" s="24" t="s">
        <v>199</v>
      </c>
      <c r="B26" s="81"/>
      <c r="C26" s="82"/>
      <c r="D26" s="79"/>
      <c r="E26" s="79"/>
      <c r="F26" s="79"/>
      <c r="G26" s="84"/>
      <c r="H26" s="79"/>
      <c r="I26" s="83"/>
      <c r="J26" s="86"/>
    </row>
    <row r="27" spans="1:10">
      <c r="A27" t="s">
        <v>168</v>
      </c>
      <c r="B27" t="s">
        <v>144</v>
      </c>
      <c r="C27" t="s">
        <v>169</v>
      </c>
      <c r="D27" t="s">
        <v>170</v>
      </c>
      <c r="E27" t="s">
        <v>171</v>
      </c>
      <c r="F27" t="s">
        <v>172</v>
      </c>
      <c r="G27" t="s">
        <v>173</v>
      </c>
      <c r="H27" t="s">
        <v>174</v>
      </c>
      <c r="I27" t="s">
        <v>175</v>
      </c>
      <c r="J27" t="s">
        <v>176</v>
      </c>
    </row>
    <row r="28" spans="1:10">
      <c r="A28" s="24" t="s">
        <v>178</v>
      </c>
      <c r="B28" s="81">
        <f>IF($D$2&gt;0,$D$2,'Wksht Print Separately'!C$14)</f>
        <v>0</v>
      </c>
      <c r="C28" s="82">
        <f>'Wksht Print Separately'!C$22+4%</f>
        <v>0.04</v>
      </c>
      <c r="D28" s="79">
        <f>'Wksht Print Separately'!E$25*12</f>
        <v>0</v>
      </c>
      <c r="E28" s="79">
        <f>'Wksht Print Separately'!G$25</f>
        <v>0</v>
      </c>
      <c r="F28" s="84">
        <f>UOP!$P$16</f>
        <v>0</v>
      </c>
      <c r="G28" s="84">
        <f>EDATE(F28,E28)</f>
        <v>0</v>
      </c>
      <c r="H28" s="79">
        <f>G28-F28</f>
        <v>0</v>
      </c>
      <c r="I28" s="83">
        <f>IFERROR((C28/360*30*12),0)</f>
        <v>0.04</v>
      </c>
      <c r="J28" s="86" t="str">
        <f>IFERROR((PMT(I28/12,E28,-B28)),"Incomplete Data")</f>
        <v>Incomplete Data</v>
      </c>
    </row>
    <row r="29" spans="1:10">
      <c r="A29" s="24" t="s">
        <v>118</v>
      </c>
      <c r="B29" s="81">
        <f>IF($D$2&gt;0,$D$2,'Wksht Print Separately'!C$14)</f>
        <v>0</v>
      </c>
      <c r="C29" s="82">
        <f>'Wksht Print Separately'!C$22+4%</f>
        <v>0.04</v>
      </c>
      <c r="D29" s="79">
        <f>'Wksht Print Separately'!E$25*12</f>
        <v>0</v>
      </c>
      <c r="E29" s="79">
        <f>'Wksht Print Separately'!G$25</f>
        <v>0</v>
      </c>
      <c r="F29" s="84">
        <f>UOP!$P$16</f>
        <v>0</v>
      </c>
      <c r="G29" s="84">
        <f t="shared" ref="G29:G30" si="8">EDATE(F29,E29)</f>
        <v>0</v>
      </c>
      <c r="H29" s="79">
        <f>G29-F29</f>
        <v>0</v>
      </c>
      <c r="I29" s="83">
        <f>IFERROR((C29/(365*(E29/12))*H29),0)</f>
        <v>0</v>
      </c>
      <c r="J29" s="86" t="str">
        <f t="shared" ref="J29:J30" si="9">IFERROR((PMT(I29/12,E29,-B29)),"Incomplete Data")</f>
        <v>Incomplete Data</v>
      </c>
    </row>
    <row r="30" spans="1:10">
      <c r="A30" s="24" t="s">
        <v>181</v>
      </c>
      <c r="B30" s="81">
        <f>IF($D$2&gt;0,$D$2,'Wksht Print Separately'!C$14)</f>
        <v>0</v>
      </c>
      <c r="C30" s="82">
        <f>'Wksht Print Separately'!C$22+4%</f>
        <v>0.04</v>
      </c>
      <c r="D30" s="79">
        <f>'Wksht Print Separately'!E$25*12</f>
        <v>0</v>
      </c>
      <c r="E30" s="79">
        <f>'Wksht Print Separately'!G$25</f>
        <v>0</v>
      </c>
      <c r="F30" s="84">
        <f>UOP!$P$16</f>
        <v>0</v>
      </c>
      <c r="G30" s="84">
        <f t="shared" si="8"/>
        <v>0</v>
      </c>
      <c r="H30" s="79">
        <f>G30-F30</f>
        <v>0</v>
      </c>
      <c r="I30" s="83">
        <f>IFERROR((C30/(360*(E30/12))*H30),0)</f>
        <v>0</v>
      </c>
      <c r="J30" s="86" t="str">
        <f t="shared" si="9"/>
        <v>Incomplete Data</v>
      </c>
    </row>
    <row r="31" spans="1:10">
      <c r="A31" s="24"/>
      <c r="B31" s="81"/>
      <c r="C31" s="82"/>
      <c r="D31" s="79"/>
      <c r="E31" s="79"/>
      <c r="F31" s="79"/>
      <c r="G31" s="84"/>
      <c r="H31" s="79"/>
      <c r="I31" s="83"/>
      <c r="J31" s="86"/>
    </row>
    <row r="33" spans="1:10">
      <c r="A33" s="59" t="s">
        <v>466</v>
      </c>
      <c r="C33" t="s">
        <v>167</v>
      </c>
      <c r="D33" s="222">
        <f>'UOP (2)'!D75</f>
        <v>0</v>
      </c>
      <c r="E33" s="85"/>
      <c r="G33" s="84"/>
    </row>
    <row r="34" spans="1:10">
      <c r="A34" t="s">
        <v>168</v>
      </c>
      <c r="B34" t="s">
        <v>144</v>
      </c>
      <c r="C34" t="s">
        <v>169</v>
      </c>
      <c r="D34" t="s">
        <v>170</v>
      </c>
      <c r="E34" t="s">
        <v>171</v>
      </c>
      <c r="F34" t="s">
        <v>172</v>
      </c>
      <c r="G34" t="s">
        <v>173</v>
      </c>
      <c r="H34" t="s">
        <v>174</v>
      </c>
      <c r="I34" t="s">
        <v>175</v>
      </c>
      <c r="J34" t="s">
        <v>176</v>
      </c>
    </row>
    <row r="35" spans="1:10">
      <c r="A35" t="s">
        <v>178</v>
      </c>
      <c r="B35" s="81">
        <f>IF($D$33&gt;0,$D$33,'Wksht Print Separately'!E$14)</f>
        <v>0</v>
      </c>
      <c r="C35" s="82">
        <f>'Wksht Print Separately'!C$67</f>
        <v>0</v>
      </c>
      <c r="D35" s="79">
        <f>'Wksht Print Separately'!E$70*12</f>
        <v>0</v>
      </c>
      <c r="E35" s="79">
        <f>'Wksht Print Separately'!G$70</f>
        <v>0</v>
      </c>
      <c r="F35" s="84">
        <f>'UOP (2)'!$P$16</f>
        <v>0</v>
      </c>
      <c r="G35" s="84">
        <f>EDATE(F35,E35)</f>
        <v>0</v>
      </c>
      <c r="H35" s="79">
        <f>G35-F35</f>
        <v>0</v>
      </c>
      <c r="I35" s="83">
        <f>IFERROR((C35/360*30*12),0)</f>
        <v>0</v>
      </c>
      <c r="J35" s="86" t="str">
        <f>IFERROR((PMT(I35/12,E35,-B35)),"Incomplete Data")</f>
        <v>Incomplete Data</v>
      </c>
    </row>
    <row r="36" spans="1:10">
      <c r="A36" t="s">
        <v>118</v>
      </c>
      <c r="B36" s="81">
        <f>IF($D$33&gt;0,$D$33,'Wksht Print Separately'!E$14)</f>
        <v>0</v>
      </c>
      <c r="C36" s="82">
        <f>'Wksht Print Separately'!C$67</f>
        <v>0</v>
      </c>
      <c r="D36" s="79">
        <f>'Wksht Print Separately'!E$70*12</f>
        <v>0</v>
      </c>
      <c r="E36" s="79">
        <f>'Wksht Print Separately'!G$70</f>
        <v>0</v>
      </c>
      <c r="F36" s="84">
        <f>'UOP (2)'!$P$16</f>
        <v>0</v>
      </c>
      <c r="G36" s="84">
        <f t="shared" ref="G36:G37" si="10">EDATE(F36,E36)</f>
        <v>0</v>
      </c>
      <c r="H36" s="79">
        <f>G36-F36</f>
        <v>0</v>
      </c>
      <c r="I36" s="83">
        <f>IFERROR((C36/(365*(E36/12))*H36),0)</f>
        <v>0</v>
      </c>
      <c r="J36" s="86" t="str">
        <f t="shared" ref="J36:J37" si="11">IFERROR((PMT(I36/12,E36,-B36)),"Incomplete Data")</f>
        <v>Incomplete Data</v>
      </c>
    </row>
    <row r="37" spans="1:10">
      <c r="A37" t="s">
        <v>181</v>
      </c>
      <c r="B37" s="81">
        <f>IF($D$33&gt;0,$D$33,'Wksht Print Separately'!E$14)</f>
        <v>0</v>
      </c>
      <c r="C37" s="82">
        <f>'Wksht Print Separately'!C$67</f>
        <v>0</v>
      </c>
      <c r="D37" s="79">
        <f>'Wksht Print Separately'!E$70*12</f>
        <v>0</v>
      </c>
      <c r="E37" s="79">
        <f>'Wksht Print Separately'!G$70</f>
        <v>0</v>
      </c>
      <c r="F37" s="84">
        <f>'UOP (2)'!$P$16</f>
        <v>0</v>
      </c>
      <c r="G37" s="84">
        <f t="shared" si="10"/>
        <v>0</v>
      </c>
      <c r="H37" s="79">
        <f>G37-F37</f>
        <v>0</v>
      </c>
      <c r="I37" s="83">
        <f>IFERROR((C37/(360*(E37/12))*H37),0)</f>
        <v>0</v>
      </c>
      <c r="J37" s="86" t="str">
        <f t="shared" si="11"/>
        <v>Incomplete Data</v>
      </c>
    </row>
    <row r="38" spans="1:10">
      <c r="B38" s="81"/>
      <c r="C38" s="82"/>
      <c r="D38" s="79"/>
      <c r="E38" s="79"/>
      <c r="F38" s="79"/>
      <c r="G38" s="84"/>
      <c r="H38" s="79"/>
      <c r="I38" s="83"/>
      <c r="J38" s="86"/>
    </row>
    <row r="39" spans="1:10">
      <c r="A39" t="s">
        <v>184</v>
      </c>
    </row>
    <row r="40" spans="1:10">
      <c r="A40" t="s">
        <v>168</v>
      </c>
      <c r="B40" t="s">
        <v>144</v>
      </c>
      <c r="C40" t="s">
        <v>169</v>
      </c>
      <c r="D40" t="s">
        <v>170</v>
      </c>
      <c r="E40" t="s">
        <v>171</v>
      </c>
      <c r="F40" t="s">
        <v>172</v>
      </c>
      <c r="G40" t="s">
        <v>173</v>
      </c>
      <c r="H40" t="s">
        <v>174</v>
      </c>
      <c r="I40" t="s">
        <v>175</v>
      </c>
      <c r="J40" t="s">
        <v>176</v>
      </c>
    </row>
    <row r="41" spans="1:10">
      <c r="A41" t="s">
        <v>178</v>
      </c>
      <c r="B41" s="81">
        <f>IF($D$33&gt;0,$D$33,'Wksht Print Separately'!E$14)</f>
        <v>0</v>
      </c>
      <c r="C41" s="82">
        <f>'Wksht Print Separately'!C$67+1%</f>
        <v>0.01</v>
      </c>
      <c r="D41" s="79">
        <f>'Wksht Print Separately'!E$70*12</f>
        <v>0</v>
      </c>
      <c r="E41" s="79">
        <f>'Wksht Print Separately'!G$70</f>
        <v>0</v>
      </c>
      <c r="F41" s="84">
        <f>'UOP (2)'!$P$16</f>
        <v>0</v>
      </c>
      <c r="G41" s="84">
        <f>EDATE(F41,E41)</f>
        <v>0</v>
      </c>
      <c r="H41" s="79">
        <f>G41-F41</f>
        <v>0</v>
      </c>
      <c r="I41" s="83">
        <f>IFERROR((C41/360*30*12),0)</f>
        <v>0.01</v>
      </c>
      <c r="J41" s="86" t="str">
        <f>IFERROR((PMT(I41/12,E41,-B41)),"Incomplete Data")</f>
        <v>Incomplete Data</v>
      </c>
    </row>
    <row r="42" spans="1:10">
      <c r="A42" t="s">
        <v>118</v>
      </c>
      <c r="B42" s="81">
        <f>IF($D$33&gt;0,$D$33,'Wksht Print Separately'!E$14)</f>
        <v>0</v>
      </c>
      <c r="C42" s="82">
        <f>'Wksht Print Separately'!C$67+1%</f>
        <v>0.01</v>
      </c>
      <c r="D42" s="79">
        <f>'Wksht Print Separately'!E$70*12</f>
        <v>0</v>
      </c>
      <c r="E42" s="79">
        <f>'Wksht Print Separately'!G$70</f>
        <v>0</v>
      </c>
      <c r="F42" s="84">
        <f>'UOP (2)'!$P$16</f>
        <v>0</v>
      </c>
      <c r="G42" s="84">
        <f t="shared" ref="G42:G43" si="12">EDATE(F42,E42)</f>
        <v>0</v>
      </c>
      <c r="H42" s="79">
        <f>G42-F42</f>
        <v>0</v>
      </c>
      <c r="I42" s="83">
        <f>IFERROR((C42/(365*(E42/12))*H42),0)</f>
        <v>0</v>
      </c>
      <c r="J42" s="86" t="str">
        <f t="shared" ref="J42:J43" si="13">IFERROR((PMT(I42/12,E42,-B42)),"Incomplete Data")</f>
        <v>Incomplete Data</v>
      </c>
    </row>
    <row r="43" spans="1:10">
      <c r="A43" t="s">
        <v>181</v>
      </c>
      <c r="B43" s="81">
        <f>IF($D$33&gt;0,$D$33,'Wksht Print Separately'!E$14)</f>
        <v>0</v>
      </c>
      <c r="C43" s="82">
        <f>'Wksht Print Separately'!C$67+1%</f>
        <v>0.01</v>
      </c>
      <c r="D43" s="79">
        <f>'Wksht Print Separately'!E$70*12</f>
        <v>0</v>
      </c>
      <c r="E43" s="79">
        <f>'Wksht Print Separately'!G$70</f>
        <v>0</v>
      </c>
      <c r="F43" s="84">
        <f>'UOP (2)'!$P$16</f>
        <v>0</v>
      </c>
      <c r="G43" s="84">
        <f t="shared" si="12"/>
        <v>0</v>
      </c>
      <c r="H43" s="79">
        <f>G43-F43</f>
        <v>0</v>
      </c>
      <c r="I43" s="83">
        <f>IFERROR((C43/(360*(E43/12))*H43),0)</f>
        <v>0</v>
      </c>
      <c r="J43" s="86" t="str">
        <f t="shared" si="13"/>
        <v>Incomplete Data</v>
      </c>
    </row>
    <row r="44" spans="1:10">
      <c r="B44" s="81"/>
      <c r="C44" s="82"/>
      <c r="D44" s="79"/>
      <c r="E44" s="79"/>
      <c r="F44" s="79"/>
      <c r="G44" s="84"/>
      <c r="H44" s="79"/>
      <c r="I44" s="83"/>
      <c r="J44" s="86"/>
    </row>
    <row r="45" spans="1:10">
      <c r="A45" t="s">
        <v>192</v>
      </c>
    </row>
    <row r="46" spans="1:10">
      <c r="A46" t="s">
        <v>168</v>
      </c>
      <c r="B46" t="s">
        <v>144</v>
      </c>
      <c r="C46" t="s">
        <v>169</v>
      </c>
      <c r="D46" t="s">
        <v>170</v>
      </c>
      <c r="E46" t="s">
        <v>171</v>
      </c>
      <c r="F46" t="s">
        <v>172</v>
      </c>
      <c r="G46" t="s">
        <v>173</v>
      </c>
      <c r="H46" t="s">
        <v>174</v>
      </c>
      <c r="I46" t="s">
        <v>175</v>
      </c>
      <c r="J46" t="s">
        <v>176</v>
      </c>
    </row>
    <row r="47" spans="1:10">
      <c r="A47" t="s">
        <v>178</v>
      </c>
      <c r="B47" s="81">
        <f>IF($D$33&gt;0,$D$33,'Wksht Print Separately'!E$14)</f>
        <v>0</v>
      </c>
      <c r="C47" s="82">
        <f>'Wksht Print Separately'!C$67+2%</f>
        <v>0.02</v>
      </c>
      <c r="D47" s="79">
        <f>'Wksht Print Separately'!E$70*12</f>
        <v>0</v>
      </c>
      <c r="E47" s="79">
        <f>'Wksht Print Separately'!G$70</f>
        <v>0</v>
      </c>
      <c r="F47" s="84">
        <f>'UOP (2)'!$P$16</f>
        <v>0</v>
      </c>
      <c r="G47" s="84">
        <f>EDATE(F47,E47)</f>
        <v>0</v>
      </c>
      <c r="H47" s="79">
        <f>G47-F47</f>
        <v>0</v>
      </c>
      <c r="I47" s="83">
        <f>IFERROR((C47/360*30*12),0)</f>
        <v>0.02</v>
      </c>
      <c r="J47" s="86" t="str">
        <f>IFERROR((PMT(I47/12,E47,-B47)),"Incomplete Data")</f>
        <v>Incomplete Data</v>
      </c>
    </row>
    <row r="48" spans="1:10">
      <c r="A48" t="s">
        <v>118</v>
      </c>
      <c r="B48" s="81">
        <f>IF($D$33&gt;0,$D$33,'Wksht Print Separately'!E$14)</f>
        <v>0</v>
      </c>
      <c r="C48" s="82">
        <f>'Wksht Print Separately'!C$67+2%</f>
        <v>0.02</v>
      </c>
      <c r="D48" s="79">
        <f>'Wksht Print Separately'!E$70*12</f>
        <v>0</v>
      </c>
      <c r="E48" s="79">
        <f>'Wksht Print Separately'!G$70</f>
        <v>0</v>
      </c>
      <c r="F48" s="84">
        <f>'UOP (2)'!$P$16</f>
        <v>0</v>
      </c>
      <c r="G48" s="84">
        <f t="shared" ref="G48:G49" si="14">EDATE(F48,E48)</f>
        <v>0</v>
      </c>
      <c r="H48" s="79">
        <f>G48-F48</f>
        <v>0</v>
      </c>
      <c r="I48" s="83">
        <f>IFERROR((C48/(365*(E48/12))*H48),0)</f>
        <v>0</v>
      </c>
      <c r="J48" s="86" t="str">
        <f t="shared" ref="J48:J49" si="15">IFERROR((PMT(I48/12,E48,-B48)),"Incomplete Data")</f>
        <v>Incomplete Data</v>
      </c>
    </row>
    <row r="49" spans="1:10">
      <c r="A49" t="s">
        <v>181</v>
      </c>
      <c r="B49" s="81">
        <f>IF($D$33&gt;0,$D$33,'Wksht Print Separately'!E$14)</f>
        <v>0</v>
      </c>
      <c r="C49" s="82">
        <f>'Wksht Print Separately'!C$67+2%</f>
        <v>0.02</v>
      </c>
      <c r="D49" s="79">
        <f>'Wksht Print Separately'!E$70*12</f>
        <v>0</v>
      </c>
      <c r="E49" s="79">
        <f>'Wksht Print Separately'!G$70</f>
        <v>0</v>
      </c>
      <c r="F49" s="84">
        <f>'UOP (2)'!$P$16</f>
        <v>0</v>
      </c>
      <c r="G49" s="84">
        <f t="shared" si="14"/>
        <v>0</v>
      </c>
      <c r="H49" s="79">
        <f>G49-F49</f>
        <v>0</v>
      </c>
      <c r="I49" s="83">
        <f>IFERROR((C49/(360*(E49/12))*H49),0)</f>
        <v>0</v>
      </c>
      <c r="J49" s="86" t="str">
        <f t="shared" si="15"/>
        <v>Incomplete Data</v>
      </c>
    </row>
    <row r="50" spans="1:10">
      <c r="B50" s="81"/>
      <c r="C50" s="82"/>
      <c r="D50" s="79"/>
      <c r="E50" s="79"/>
      <c r="F50" s="79"/>
      <c r="G50" s="84"/>
      <c r="H50" s="79"/>
      <c r="I50" s="83"/>
      <c r="J50" s="86"/>
    </row>
    <row r="51" spans="1:10">
      <c r="A51" t="s">
        <v>193</v>
      </c>
    </row>
    <row r="52" spans="1:10">
      <c r="A52" t="s">
        <v>168</v>
      </c>
      <c r="B52" t="s">
        <v>144</v>
      </c>
      <c r="C52" t="s">
        <v>169</v>
      </c>
      <c r="D52" t="s">
        <v>170</v>
      </c>
      <c r="E52" t="s">
        <v>171</v>
      </c>
      <c r="F52" t="s">
        <v>172</v>
      </c>
      <c r="G52" t="s">
        <v>173</v>
      </c>
      <c r="H52" t="s">
        <v>174</v>
      </c>
      <c r="I52" t="s">
        <v>175</v>
      </c>
      <c r="J52" t="s">
        <v>176</v>
      </c>
    </row>
    <row r="53" spans="1:10">
      <c r="A53" t="s">
        <v>178</v>
      </c>
      <c r="B53" s="81">
        <f>IF($D$33&gt;0,$D$33,'Wksht Print Separately'!E$14)</f>
        <v>0</v>
      </c>
      <c r="C53" s="82">
        <f>'Wksht Print Separately'!C$67+3%</f>
        <v>0.03</v>
      </c>
      <c r="D53" s="79">
        <f>'Wksht Print Separately'!E$70*12</f>
        <v>0</v>
      </c>
      <c r="E53" s="79">
        <f>'Wksht Print Separately'!G$70</f>
        <v>0</v>
      </c>
      <c r="F53" s="84">
        <f>'UOP (2)'!$P$16</f>
        <v>0</v>
      </c>
      <c r="G53" s="84">
        <f>EDATE(F53,E53)</f>
        <v>0</v>
      </c>
      <c r="H53" s="79">
        <f>G53-F53</f>
        <v>0</v>
      </c>
      <c r="I53" s="83">
        <f>IFERROR((C53/360*30*12),0)</f>
        <v>0.03</v>
      </c>
      <c r="J53" s="86" t="str">
        <f>IFERROR((PMT(I53/12,E53,-B53)),"Incomplete Data")</f>
        <v>Incomplete Data</v>
      </c>
    </row>
    <row r="54" spans="1:10">
      <c r="A54" t="s">
        <v>118</v>
      </c>
      <c r="B54" s="81">
        <f>IF($D$33&gt;0,$D$33,'Wksht Print Separately'!E$14)</f>
        <v>0</v>
      </c>
      <c r="C54" s="82">
        <f>'Wksht Print Separately'!C$67+3%</f>
        <v>0.03</v>
      </c>
      <c r="D54" s="79">
        <f>'Wksht Print Separately'!E$70*12</f>
        <v>0</v>
      </c>
      <c r="E54" s="79">
        <f>'Wksht Print Separately'!G$70</f>
        <v>0</v>
      </c>
      <c r="F54" s="84">
        <f>'UOP (2)'!$P$16</f>
        <v>0</v>
      </c>
      <c r="G54" s="84">
        <f t="shared" ref="G54:G55" si="16">EDATE(F54,E54)</f>
        <v>0</v>
      </c>
      <c r="H54" s="79">
        <f>G54-F54</f>
        <v>0</v>
      </c>
      <c r="I54" s="83">
        <f>IFERROR((C54/(365*(E54/12))*H54),0)</f>
        <v>0</v>
      </c>
      <c r="J54" s="86" t="str">
        <f t="shared" ref="J54:J55" si="17">IFERROR((PMT(I54/12,E54,-B54)),"Incomplete Data")</f>
        <v>Incomplete Data</v>
      </c>
    </row>
    <row r="55" spans="1:10">
      <c r="A55" t="s">
        <v>181</v>
      </c>
      <c r="B55" s="81">
        <f>IF($D$33&gt;0,$D$33,'Wksht Print Separately'!E$14)</f>
        <v>0</v>
      </c>
      <c r="C55" s="82">
        <f>'Wksht Print Separately'!C$67+3%</f>
        <v>0.03</v>
      </c>
      <c r="D55" s="79">
        <f>'Wksht Print Separately'!E$70*12</f>
        <v>0</v>
      </c>
      <c r="E55" s="79">
        <f>'Wksht Print Separately'!G$70</f>
        <v>0</v>
      </c>
      <c r="F55" s="84">
        <f>'UOP (2)'!$P$16</f>
        <v>0</v>
      </c>
      <c r="G55" s="84">
        <f t="shared" si="16"/>
        <v>0</v>
      </c>
      <c r="H55" s="79">
        <f>G55-F55</f>
        <v>0</v>
      </c>
      <c r="I55" s="83">
        <f>IFERROR((C55/(360*(E55/12))*H55),0)</f>
        <v>0</v>
      </c>
      <c r="J55" s="86" t="str">
        <f t="shared" si="17"/>
        <v>Incomplete Data</v>
      </c>
    </row>
    <row r="56" spans="1:10">
      <c r="B56" s="81"/>
      <c r="C56" s="82"/>
      <c r="D56" s="79"/>
      <c r="E56" s="79"/>
      <c r="F56" s="79"/>
      <c r="G56" s="84"/>
      <c r="H56" s="79"/>
      <c r="I56" s="83"/>
      <c r="J56" s="86"/>
    </row>
    <row r="57" spans="1:10">
      <c r="A57" t="s">
        <v>199</v>
      </c>
    </row>
    <row r="58" spans="1:10">
      <c r="A58" t="s">
        <v>168</v>
      </c>
      <c r="B58" t="s">
        <v>144</v>
      </c>
      <c r="C58" t="s">
        <v>169</v>
      </c>
      <c r="D58" t="s">
        <v>170</v>
      </c>
      <c r="E58" t="s">
        <v>171</v>
      </c>
      <c r="F58" t="s">
        <v>172</v>
      </c>
      <c r="G58" t="s">
        <v>173</v>
      </c>
      <c r="H58" t="s">
        <v>174</v>
      </c>
      <c r="I58" t="s">
        <v>175</v>
      </c>
      <c r="J58" t="s">
        <v>176</v>
      </c>
    </row>
    <row r="59" spans="1:10">
      <c r="A59" t="s">
        <v>178</v>
      </c>
      <c r="B59" s="81">
        <f>IF($D$33&gt;0,$D$33,'Wksht Print Separately'!E$14)</f>
        <v>0</v>
      </c>
      <c r="C59" s="82">
        <f>'Wksht Print Separately'!C$67+4%</f>
        <v>0.04</v>
      </c>
      <c r="D59" s="79">
        <f>'Wksht Print Separately'!E$70*12</f>
        <v>0</v>
      </c>
      <c r="E59" s="79">
        <f>'Wksht Print Separately'!G$70</f>
        <v>0</v>
      </c>
      <c r="F59" s="84">
        <f>'UOP (2)'!$P$16</f>
        <v>0</v>
      </c>
      <c r="G59" s="84">
        <f>EDATE(F59,E59)</f>
        <v>0</v>
      </c>
      <c r="H59" s="79">
        <f>G59-F59</f>
        <v>0</v>
      </c>
      <c r="I59" s="83">
        <f>IFERROR((C59/360*30*12),0)</f>
        <v>0.04</v>
      </c>
      <c r="J59" s="86" t="str">
        <f>IFERROR((PMT(I59/12,E59,-B59)),"Incomplete Data")</f>
        <v>Incomplete Data</v>
      </c>
    </row>
    <row r="60" spans="1:10">
      <c r="A60" t="s">
        <v>118</v>
      </c>
      <c r="B60" s="81">
        <f>IF($D$33&gt;0,$D$33,'Wksht Print Separately'!E$14)</f>
        <v>0</v>
      </c>
      <c r="C60" s="82">
        <f>'Wksht Print Separately'!C$67+4%</f>
        <v>0.04</v>
      </c>
      <c r="D60" s="79">
        <f>'Wksht Print Separately'!E$70*12</f>
        <v>0</v>
      </c>
      <c r="E60" s="79">
        <f>'Wksht Print Separately'!G$70</f>
        <v>0</v>
      </c>
      <c r="F60" s="84">
        <f>'UOP (2)'!$P$16</f>
        <v>0</v>
      </c>
      <c r="G60" s="84">
        <f t="shared" ref="G60:G61" si="18">EDATE(F60,E60)</f>
        <v>0</v>
      </c>
      <c r="H60" s="79">
        <f>G60-F60</f>
        <v>0</v>
      </c>
      <c r="I60" s="83">
        <f>IFERROR((C60/(365*(E60/12))*H60),0)</f>
        <v>0</v>
      </c>
      <c r="J60" s="86" t="str">
        <f t="shared" ref="J60:J61" si="19">IFERROR((PMT(I60/12,E60,-B60)),"Incomplete Data")</f>
        <v>Incomplete Data</v>
      </c>
    </row>
    <row r="61" spans="1:10">
      <c r="A61" t="s">
        <v>181</v>
      </c>
      <c r="B61" s="81">
        <f>IF($D$33&gt;0,$D$33,'Wksht Print Separately'!E$14)</f>
        <v>0</v>
      </c>
      <c r="C61" s="82">
        <f>'Wksht Print Separately'!C$67+4%</f>
        <v>0.04</v>
      </c>
      <c r="D61" s="79">
        <f>'Wksht Print Separately'!E$70*12</f>
        <v>0</v>
      </c>
      <c r="E61" s="79">
        <f>'Wksht Print Separately'!G$70</f>
        <v>0</v>
      </c>
      <c r="F61" s="84">
        <f>'UOP (2)'!$P$16</f>
        <v>0</v>
      </c>
      <c r="G61" s="84">
        <f t="shared" si="18"/>
        <v>0</v>
      </c>
      <c r="H61" s="79">
        <f>G61-F61</f>
        <v>0</v>
      </c>
      <c r="I61" s="83">
        <f>IFERROR((C61/(360*(E61/12))*H61),0)</f>
        <v>0</v>
      </c>
      <c r="J61" s="86" t="str">
        <f t="shared" si="19"/>
        <v>Incomplete Data</v>
      </c>
    </row>
  </sheetData>
  <sheetProtection algorithmName="SHA-512" hashValue="cxRBJu07tpRZxWB+vkGWAobIB4ZkkVuXeB8FGmAhKs14E7aTlFrD71tPPXB6toD7Cqv88dT+BnZkgK8nRzcViQ==" saltValue="hsE1H1TpJDdn+Yq2teLI1w==" spinCount="100000" sheet="1" scenarios="1" formatCells="0" formatColumns="0" formatRows="0"/>
  <customSheetViews>
    <customSheetView guid="{C02CA8E5-5D4C-45E5-BC4A-4C9BE481059B}" state="hidden">
      <selection activeCell="M1" sqref="M1:O1"/>
      <pageMargins left="0" right="0" top="0" bottom="0" header="0" footer="0"/>
      <pageSetup orientation="portrait" r:id="rId1"/>
    </customSheetView>
  </customSheetViews>
  <hyperlinks>
    <hyperlink ref="B1" location="Index!A1" display="Index" xr:uid="{4DF7205D-C5C8-49F7-80FC-EEC0EF8C4D95}"/>
  </hyperlinks>
  <pageMargins left="0.7" right="0.7" top="0.75" bottom="0.75" header="0.3" footer="0.3"/>
  <pageSetup orientation="portrait"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60">
    <tabColor theme="5"/>
    <pageSetUpPr autoPageBreaks="0"/>
  </sheetPr>
  <dimension ref="A1:O379"/>
  <sheetViews>
    <sheetView showGridLines="0" zoomScaleNormal="100" workbookViewId="0">
      <selection activeCell="F18" sqref="F18"/>
    </sheetView>
  </sheetViews>
  <sheetFormatPr baseColWidth="10" defaultColWidth="9.1640625" defaultRowHeight="13"/>
  <cols>
    <col min="1" max="1" width="4.6640625" style="833" customWidth="1"/>
    <col min="2" max="2" width="13.33203125" style="834" customWidth="1"/>
    <col min="3" max="3" width="15.5" style="834" customWidth="1"/>
    <col min="4" max="4" width="14" style="834" customWidth="1"/>
    <col min="5" max="5" width="12.1640625" style="834" customWidth="1"/>
    <col min="6" max="6" width="14.5" style="834" customWidth="1"/>
    <col min="7" max="7" width="14.1640625" style="834" customWidth="1"/>
    <col min="8" max="9" width="13.5" style="834" customWidth="1"/>
    <col min="10" max="10" width="13" style="834" customWidth="1"/>
    <col min="11" max="12" width="9.1640625" style="835"/>
    <col min="13" max="13" width="12.33203125" style="835" bestFit="1" customWidth="1"/>
    <col min="14" max="16384" width="9.1640625" style="835"/>
  </cols>
  <sheetData>
    <row r="1" spans="1:15" ht="78" customHeight="1"/>
    <row r="2" spans="1:15" ht="21" customHeight="1">
      <c r="A2" s="3307" t="s">
        <v>1521</v>
      </c>
      <c r="B2" s="3308"/>
      <c r="C2" s="3308"/>
      <c r="D2" s="3308"/>
      <c r="E2" s="836"/>
      <c r="F2" s="836"/>
      <c r="G2" s="836"/>
      <c r="H2" s="836"/>
      <c r="I2" s="836"/>
      <c r="J2" s="836"/>
    </row>
    <row r="3" spans="1:15" ht="3" customHeight="1">
      <c r="A3" s="837"/>
      <c r="B3" s="838"/>
      <c r="C3" s="838"/>
      <c r="D3" s="838"/>
      <c r="E3" s="838"/>
      <c r="F3" s="838"/>
      <c r="G3" s="838"/>
      <c r="H3" s="838"/>
      <c r="I3" s="838"/>
      <c r="J3" s="838"/>
    </row>
    <row r="4" spans="1:15" ht="20.25" customHeight="1">
      <c r="A4" s="836"/>
      <c r="B4" s="839"/>
      <c r="C4" s="839"/>
      <c r="D4" s="839"/>
      <c r="E4" s="839"/>
      <c r="F4" s="839"/>
      <c r="G4" s="839"/>
      <c r="H4" s="839"/>
      <c r="I4" s="839"/>
      <c r="J4" s="839"/>
      <c r="K4"/>
      <c r="L4" s="1741"/>
      <c r="M4" s="1741"/>
      <c r="N4" s="1741"/>
      <c r="O4"/>
    </row>
    <row r="5" spans="1:15" ht="14.25" customHeight="1">
      <c r="A5" s="836"/>
      <c r="B5" s="3309" t="s">
        <v>1522</v>
      </c>
      <c r="C5" s="3310"/>
      <c r="D5" s="3311"/>
      <c r="E5" s="836"/>
      <c r="F5" s="3309" t="s">
        <v>1523</v>
      </c>
      <c r="G5" s="3310"/>
      <c r="H5" s="3311"/>
      <c r="I5" s="840"/>
      <c r="J5" s="836"/>
    </row>
    <row r="6" spans="1:15">
      <c r="A6" s="836"/>
      <c r="B6" s="841"/>
      <c r="C6" s="842" t="s">
        <v>1524</v>
      </c>
      <c r="D6" s="843">
        <f>'Wksht Print Separately'!C14</f>
        <v>0</v>
      </c>
      <c r="E6" s="836"/>
      <c r="F6" s="841"/>
      <c r="G6" s="842" t="s">
        <v>1525</v>
      </c>
      <c r="H6" s="843" t="str">
        <f>IF(Values_Entered,-PMT(Interest_Rate/Num_Pmt_Per_Year,Loan_Years*Num_Pmt_Per_Year,Loan_Amount),"")</f>
        <v/>
      </c>
      <c r="I6" s="844"/>
      <c r="J6" s="836"/>
    </row>
    <row r="7" spans="1:15">
      <c r="A7" s="836"/>
      <c r="B7" s="841"/>
      <c r="C7" s="842" t="s">
        <v>1526</v>
      </c>
      <c r="D7" s="867">
        <f>IFERROR(INDEX('Pmt Calcs'!I4:I6,MATCH('Wksht Print Separately'!C25,'Pmt Calcs'!A4:A6,0)),0)</f>
        <v>0</v>
      </c>
      <c r="E7" s="836"/>
      <c r="F7" s="841"/>
      <c r="G7" s="842" t="s">
        <v>1527</v>
      </c>
      <c r="H7" s="845" t="str">
        <f>IF(Values_Entered,Loan_Years*Num_Pmt_Per_Year,"")</f>
        <v/>
      </c>
      <c r="I7" s="846"/>
      <c r="J7" s="836"/>
    </row>
    <row r="8" spans="1:15">
      <c r="A8" s="836"/>
      <c r="B8" s="841"/>
      <c r="C8" s="842" t="s">
        <v>1528</v>
      </c>
      <c r="D8" s="845">
        <f>'Wksht Print Separately'!G25/12</f>
        <v>0</v>
      </c>
      <c r="E8" s="836"/>
      <c r="F8" s="841"/>
      <c r="G8" s="842" t="s">
        <v>1529</v>
      </c>
      <c r="H8" s="845" t="str">
        <f>IF(Values_Entered,Number_of_Payments,"")</f>
        <v/>
      </c>
      <c r="I8" s="846"/>
      <c r="J8" s="836"/>
    </row>
    <row r="9" spans="1:15">
      <c r="A9" s="836"/>
      <c r="B9" s="841"/>
      <c r="C9" s="842" t="s">
        <v>1530</v>
      </c>
      <c r="D9" s="845">
        <v>12</v>
      </c>
      <c r="E9" s="836"/>
      <c r="F9" s="841"/>
      <c r="G9" s="842" t="s">
        <v>1531</v>
      </c>
      <c r="H9" s="843" t="str">
        <f>IF(Values_Entered,SUMIF(Beg_Bal,"&gt;0",Extra_Pay),"")</f>
        <v/>
      </c>
      <c r="I9" s="844"/>
      <c r="J9" s="836"/>
    </row>
    <row r="10" spans="1:15">
      <c r="A10" s="836"/>
      <c r="B10" s="841"/>
      <c r="C10" s="842" t="s">
        <v>1532</v>
      </c>
      <c r="D10" s="868">
        <v>45627</v>
      </c>
      <c r="E10" s="836"/>
      <c r="F10" s="847"/>
      <c r="G10" s="848" t="s">
        <v>1533</v>
      </c>
      <c r="H10" s="843" t="str">
        <f>IF(Values_Entered,SUMIF(Beg_Bal,"&gt;0",Int),"")</f>
        <v/>
      </c>
      <c r="I10" s="844"/>
      <c r="J10" s="836"/>
    </row>
    <row r="11" spans="1:15">
      <c r="A11" s="836"/>
      <c r="B11" s="847"/>
      <c r="C11" s="848" t="s">
        <v>1534</v>
      </c>
      <c r="D11" s="869"/>
      <c r="E11" s="836"/>
      <c r="F11" s="839"/>
      <c r="G11" s="839"/>
      <c r="H11" s="839"/>
      <c r="I11" s="839"/>
      <c r="J11" s="836"/>
    </row>
    <row r="12" spans="1:15">
      <c r="A12" s="836"/>
      <c r="B12" s="839"/>
      <c r="C12" s="839"/>
      <c r="D12" s="839"/>
      <c r="E12" s="839"/>
      <c r="F12" s="839"/>
      <c r="G12" s="839"/>
      <c r="H12" s="839"/>
      <c r="I12" s="839"/>
      <c r="J12" s="839"/>
    </row>
    <row r="13" spans="1:15">
      <c r="A13" s="836"/>
      <c r="B13" s="849" t="s">
        <v>1535</v>
      </c>
      <c r="C13" s="3312"/>
      <c r="D13" s="3313"/>
      <c r="E13" s="839"/>
      <c r="F13" s="839"/>
      <c r="G13" s="839"/>
      <c r="H13" s="839"/>
      <c r="I13" s="839"/>
      <c r="J13" s="839"/>
    </row>
    <row r="14" spans="1:15">
      <c r="A14" s="836"/>
      <c r="B14" s="849"/>
      <c r="C14" s="870"/>
      <c r="D14" s="870"/>
      <c r="E14" s="839"/>
      <c r="F14" s="839"/>
      <c r="G14" s="839"/>
      <c r="H14" s="839"/>
      <c r="I14" s="839"/>
      <c r="J14" s="839"/>
    </row>
    <row r="15" spans="1:15" ht="6" customHeight="1">
      <c r="A15" s="837"/>
      <c r="B15" s="838"/>
      <c r="C15" s="838"/>
      <c r="D15" s="838"/>
      <c r="E15" s="838"/>
      <c r="F15" s="838"/>
      <c r="G15" s="838"/>
      <c r="H15" s="838"/>
      <c r="I15" s="838"/>
      <c r="J15" s="838"/>
    </row>
    <row r="16" spans="1:15" ht="3.75" customHeight="1">
      <c r="A16" s="836"/>
      <c r="B16" s="839"/>
      <c r="C16" s="839"/>
      <c r="D16" s="839"/>
      <c r="E16" s="839"/>
      <c r="F16" s="839"/>
      <c r="G16" s="839"/>
      <c r="H16" s="839"/>
      <c r="I16" s="839"/>
      <c r="J16" s="839"/>
    </row>
    <row r="17" spans="1:13" s="851" customFormat="1" ht="28.5" customHeight="1">
      <c r="A17" s="850" t="s">
        <v>1536</v>
      </c>
      <c r="B17" s="850" t="s">
        <v>1537</v>
      </c>
      <c r="C17" s="850" t="s">
        <v>969</v>
      </c>
      <c r="D17" s="850" t="s">
        <v>1538</v>
      </c>
      <c r="E17" s="850" t="s">
        <v>1539</v>
      </c>
      <c r="F17" s="850" t="s">
        <v>1540</v>
      </c>
      <c r="G17" s="850" t="s">
        <v>1541</v>
      </c>
      <c r="H17" s="850" t="s">
        <v>205</v>
      </c>
      <c r="I17" s="850" t="s">
        <v>980</v>
      </c>
      <c r="J17" s="850" t="s">
        <v>1542</v>
      </c>
    </row>
    <row r="18" spans="1:13" s="851" customFormat="1" ht="6" customHeight="1">
      <c r="A18" s="852"/>
      <c r="B18" s="853"/>
      <c r="C18" s="853"/>
      <c r="D18" s="853"/>
      <c r="E18" s="853"/>
      <c r="F18" s="853"/>
      <c r="G18" s="853"/>
      <c r="H18" s="853"/>
      <c r="I18" s="853"/>
      <c r="J18" s="854"/>
    </row>
    <row r="19" spans="1:13" s="851" customFormat="1">
      <c r="A19" s="855" t="str">
        <f>IF(Values_Entered,1,"")</f>
        <v/>
      </c>
      <c r="B19" s="856" t="str">
        <f t="shared" ref="B19:B82" si="0">IF(Pay_Num&lt;&gt;"",DATE(YEAR(Loan_Start),MONTH(Loan_Start)+(Pay_Num)*12/Num_Pmt_Per_Year,DAY(Loan_Start)),"")</f>
        <v/>
      </c>
      <c r="C19" s="857" t="str">
        <f>IF(Values_Entered,Loan_Amount,"")</f>
        <v/>
      </c>
      <c r="D19" s="857" t="str">
        <f>IF(Pay_Num&lt;&gt;"",Scheduled_Monthly_Payment,"")</f>
        <v/>
      </c>
      <c r="E19" s="857" t="e">
        <f t="shared" ref="E19:E82" si="1">IF(AND(Pay_Num&lt;&gt;"",Sched_Pay+Scheduled_Extra_Payments&lt;Beg_Bal),Scheduled_Extra_Payments,IF(AND(Pay_Num&lt;&gt;"",Beg_Bal-Sched_Pay&gt;0),Beg_Bal-Sched_Pay,IF(Pay_Num&lt;&gt;"",0,"")))</f>
        <v>#VALUE!</v>
      </c>
      <c r="F19" s="857" t="e">
        <f t="shared" ref="F19:F82" si="2">IF(AND(Pay_Num&lt;&gt;"",Sched_Pay+Extra_Pay&lt;Beg_Bal),Sched_Pay+Extra_Pay,IF(Pay_Num&lt;&gt;"",Beg_Bal,""))</f>
        <v>#VALUE!</v>
      </c>
      <c r="G19" s="857" t="str">
        <f>IF(Pay_Num&lt;&gt;"",Total_Pay-Int,"")</f>
        <v/>
      </c>
      <c r="H19" s="857" t="str">
        <f>IF(Pay_Num&lt;&gt;"",Beg_Bal*(Interest_Rate/Num_Pmt_Per_Year),"")</f>
        <v/>
      </c>
      <c r="I19" s="857" t="e">
        <f t="shared" ref="I19:I82" si="3">IF(AND(Pay_Num&lt;&gt;"",Sched_Pay+Extra_Pay&lt;Beg_Bal),Beg_Bal-Princ,IF(Pay_Num&lt;&gt;"",0,""))</f>
        <v>#VALUE!</v>
      </c>
      <c r="J19" s="857">
        <f>SUM($H$19:$H19)</f>
        <v>0</v>
      </c>
      <c r="K19" s="835" t="s">
        <v>1543</v>
      </c>
      <c r="M19" s="858">
        <f>SUM(G19:G30)</f>
        <v>0</v>
      </c>
    </row>
    <row r="20" spans="1:13" s="851" customFormat="1" ht="12.75" customHeight="1">
      <c r="A20" s="859" t="str">
        <f t="shared" ref="A20:A83" si="4">IF(Values_Entered,A19+1,"")</f>
        <v/>
      </c>
      <c r="B20" s="860" t="str">
        <f t="shared" si="0"/>
        <v/>
      </c>
      <c r="C20" s="861" t="str">
        <f t="shared" ref="C20:C83" si="5">IF(Pay_Num&lt;&gt;"",I19,"")</f>
        <v/>
      </c>
      <c r="D20" s="861" t="str">
        <f>IF(Pay_Num&lt;&gt;"",Scheduled_Monthly_Payment,"")</f>
        <v/>
      </c>
      <c r="E20" s="862" t="e">
        <f t="shared" si="1"/>
        <v>#VALUE!</v>
      </c>
      <c r="F20" s="861" t="e">
        <f t="shared" si="2"/>
        <v>#VALUE!</v>
      </c>
      <c r="G20" s="861" t="str">
        <f t="shared" ref="G20:G83" si="6">IF(Pay_Num&lt;&gt;"",Total_Pay-Int,"")</f>
        <v/>
      </c>
      <c r="H20" s="861" t="str">
        <f t="shared" ref="H20:H83" si="7">IF(Pay_Num&lt;&gt;"",Beg_Bal*Interest_Rate/Num_Pmt_Per_Year,"")</f>
        <v/>
      </c>
      <c r="I20" s="861" t="e">
        <f t="shared" si="3"/>
        <v>#VALUE!</v>
      </c>
      <c r="J20" s="861">
        <f>SUM($H$19:$H20)</f>
        <v>0</v>
      </c>
      <c r="K20" s="835" t="s">
        <v>1544</v>
      </c>
      <c r="M20" s="858">
        <f>SUM(H19:H30)</f>
        <v>0</v>
      </c>
    </row>
    <row r="21" spans="1:13" s="851" customFormat="1" ht="12.75" customHeight="1">
      <c r="A21" s="859" t="str">
        <f t="shared" si="4"/>
        <v/>
      </c>
      <c r="B21" s="860" t="str">
        <f t="shared" si="0"/>
        <v/>
      </c>
      <c r="C21" s="861" t="str">
        <f t="shared" si="5"/>
        <v/>
      </c>
      <c r="D21" s="861" t="str">
        <f t="shared" ref="D21:D84" si="8">IF(Pay_Num&lt;&gt;"",Scheduled_Monthly_Payment,"")</f>
        <v/>
      </c>
      <c r="E21" s="862" t="e">
        <f t="shared" si="1"/>
        <v>#VALUE!</v>
      </c>
      <c r="F21" s="861" t="e">
        <f t="shared" si="2"/>
        <v>#VALUE!</v>
      </c>
      <c r="G21" s="861" t="str">
        <f t="shared" si="6"/>
        <v/>
      </c>
      <c r="H21" s="861" t="str">
        <f t="shared" si="7"/>
        <v/>
      </c>
      <c r="I21" s="861" t="e">
        <f t="shared" si="3"/>
        <v>#VALUE!</v>
      </c>
      <c r="J21" s="861">
        <f>SUM($H$19:$H21)</f>
        <v>0</v>
      </c>
    </row>
    <row r="22" spans="1:13" s="851" customFormat="1">
      <c r="A22" s="859" t="str">
        <f t="shared" si="4"/>
        <v/>
      </c>
      <c r="B22" s="860" t="str">
        <f t="shared" si="0"/>
        <v/>
      </c>
      <c r="C22" s="861" t="str">
        <f t="shared" si="5"/>
        <v/>
      </c>
      <c r="D22" s="861" t="str">
        <f>IF(Pay_Num&lt;&gt;"",Scheduled_Monthly_Payment,"")</f>
        <v/>
      </c>
      <c r="E22" s="862" t="e">
        <f t="shared" si="1"/>
        <v>#VALUE!</v>
      </c>
      <c r="F22" s="861" t="e">
        <f t="shared" si="2"/>
        <v>#VALUE!</v>
      </c>
      <c r="G22" s="861" t="str">
        <f t="shared" si="6"/>
        <v/>
      </c>
      <c r="H22" s="861" t="str">
        <f t="shared" si="7"/>
        <v/>
      </c>
      <c r="I22" s="861" t="e">
        <f t="shared" si="3"/>
        <v>#VALUE!</v>
      </c>
      <c r="J22" s="861">
        <f>SUM($H$19:$H22)</f>
        <v>0</v>
      </c>
    </row>
    <row r="23" spans="1:13" s="851" customFormat="1">
      <c r="A23" s="859" t="str">
        <f t="shared" si="4"/>
        <v/>
      </c>
      <c r="B23" s="860" t="str">
        <f t="shared" si="0"/>
        <v/>
      </c>
      <c r="C23" s="861" t="str">
        <f t="shared" si="5"/>
        <v/>
      </c>
      <c r="D23" s="861" t="str">
        <f t="shared" si="8"/>
        <v/>
      </c>
      <c r="E23" s="862" t="e">
        <f t="shared" si="1"/>
        <v>#VALUE!</v>
      </c>
      <c r="F23" s="861" t="e">
        <f t="shared" si="2"/>
        <v>#VALUE!</v>
      </c>
      <c r="G23" s="861" t="str">
        <f t="shared" si="6"/>
        <v/>
      </c>
      <c r="H23" s="861" t="str">
        <f t="shared" si="7"/>
        <v/>
      </c>
      <c r="I23" s="861" t="e">
        <f t="shared" si="3"/>
        <v>#VALUE!</v>
      </c>
      <c r="J23" s="861">
        <f>SUM($H$19:$H23)</f>
        <v>0</v>
      </c>
    </row>
    <row r="24" spans="1:13">
      <c r="A24" s="859" t="str">
        <f t="shared" si="4"/>
        <v/>
      </c>
      <c r="B24" s="860" t="str">
        <f t="shared" si="0"/>
        <v/>
      </c>
      <c r="C24" s="861" t="str">
        <f t="shared" si="5"/>
        <v/>
      </c>
      <c r="D24" s="861" t="str">
        <f t="shared" si="8"/>
        <v/>
      </c>
      <c r="E24" s="862" t="e">
        <f t="shared" si="1"/>
        <v>#VALUE!</v>
      </c>
      <c r="F24" s="861" t="e">
        <f t="shared" si="2"/>
        <v>#VALUE!</v>
      </c>
      <c r="G24" s="861" t="str">
        <f t="shared" si="6"/>
        <v/>
      </c>
      <c r="H24" s="861" t="str">
        <f t="shared" si="7"/>
        <v/>
      </c>
      <c r="I24" s="861" t="e">
        <f t="shared" si="3"/>
        <v>#VALUE!</v>
      </c>
      <c r="J24" s="861">
        <f>SUM($H$19:$H24)</f>
        <v>0</v>
      </c>
    </row>
    <row r="25" spans="1:13">
      <c r="A25" s="859" t="str">
        <f t="shared" si="4"/>
        <v/>
      </c>
      <c r="B25" s="860" t="str">
        <f t="shared" si="0"/>
        <v/>
      </c>
      <c r="C25" s="861" t="str">
        <f t="shared" si="5"/>
        <v/>
      </c>
      <c r="D25" s="861" t="str">
        <f t="shared" si="8"/>
        <v/>
      </c>
      <c r="E25" s="862" t="e">
        <f t="shared" si="1"/>
        <v>#VALUE!</v>
      </c>
      <c r="F25" s="861" t="e">
        <f t="shared" si="2"/>
        <v>#VALUE!</v>
      </c>
      <c r="G25" s="861" t="str">
        <f t="shared" si="6"/>
        <v/>
      </c>
      <c r="H25" s="861" t="str">
        <f t="shared" si="7"/>
        <v/>
      </c>
      <c r="I25" s="861" t="e">
        <f t="shared" si="3"/>
        <v>#VALUE!</v>
      </c>
      <c r="J25" s="861">
        <f>SUM($H$19:$H25)</f>
        <v>0</v>
      </c>
    </row>
    <row r="26" spans="1:13">
      <c r="A26" s="859" t="str">
        <f t="shared" si="4"/>
        <v/>
      </c>
      <c r="B26" s="860" t="str">
        <f t="shared" si="0"/>
        <v/>
      </c>
      <c r="C26" s="861" t="str">
        <f t="shared" si="5"/>
        <v/>
      </c>
      <c r="D26" s="861" t="str">
        <f t="shared" si="8"/>
        <v/>
      </c>
      <c r="E26" s="862" t="e">
        <f t="shared" si="1"/>
        <v>#VALUE!</v>
      </c>
      <c r="F26" s="861" t="e">
        <f t="shared" si="2"/>
        <v>#VALUE!</v>
      </c>
      <c r="G26" s="861" t="str">
        <f t="shared" si="6"/>
        <v/>
      </c>
      <c r="H26" s="861" t="str">
        <f t="shared" si="7"/>
        <v/>
      </c>
      <c r="I26" s="861" t="e">
        <f t="shared" si="3"/>
        <v>#VALUE!</v>
      </c>
      <c r="J26" s="861">
        <f>SUM($H$19:$H26)</f>
        <v>0</v>
      </c>
    </row>
    <row r="27" spans="1:13">
      <c r="A27" s="859" t="str">
        <f t="shared" si="4"/>
        <v/>
      </c>
      <c r="B27" s="860" t="str">
        <f t="shared" si="0"/>
        <v/>
      </c>
      <c r="C27" s="861" t="str">
        <f t="shared" si="5"/>
        <v/>
      </c>
      <c r="D27" s="861" t="str">
        <f t="shared" si="8"/>
        <v/>
      </c>
      <c r="E27" s="862" t="e">
        <f t="shared" si="1"/>
        <v>#VALUE!</v>
      </c>
      <c r="F27" s="861" t="e">
        <f t="shared" si="2"/>
        <v>#VALUE!</v>
      </c>
      <c r="G27" s="861" t="str">
        <f t="shared" si="6"/>
        <v/>
      </c>
      <c r="H27" s="861" t="str">
        <f t="shared" si="7"/>
        <v/>
      </c>
      <c r="I27" s="861" t="e">
        <f t="shared" si="3"/>
        <v>#VALUE!</v>
      </c>
      <c r="J27" s="861">
        <f>SUM($H$19:$H27)</f>
        <v>0</v>
      </c>
    </row>
    <row r="28" spans="1:13">
      <c r="A28" s="859" t="str">
        <f t="shared" si="4"/>
        <v/>
      </c>
      <c r="B28" s="860" t="str">
        <f t="shared" si="0"/>
        <v/>
      </c>
      <c r="C28" s="861" t="str">
        <f t="shared" si="5"/>
        <v/>
      </c>
      <c r="D28" s="861" t="str">
        <f t="shared" si="8"/>
        <v/>
      </c>
      <c r="E28" s="862" t="e">
        <f t="shared" si="1"/>
        <v>#VALUE!</v>
      </c>
      <c r="F28" s="861" t="e">
        <f t="shared" si="2"/>
        <v>#VALUE!</v>
      </c>
      <c r="G28" s="861" t="str">
        <f t="shared" si="6"/>
        <v/>
      </c>
      <c r="H28" s="861" t="str">
        <f t="shared" si="7"/>
        <v/>
      </c>
      <c r="I28" s="861" t="e">
        <f t="shared" si="3"/>
        <v>#VALUE!</v>
      </c>
      <c r="J28" s="861">
        <f>SUM($H$19:$H28)</f>
        <v>0</v>
      </c>
    </row>
    <row r="29" spans="1:13">
      <c r="A29" s="859" t="str">
        <f t="shared" si="4"/>
        <v/>
      </c>
      <c r="B29" s="860" t="str">
        <f t="shared" si="0"/>
        <v/>
      </c>
      <c r="C29" s="861" t="str">
        <f t="shared" si="5"/>
        <v/>
      </c>
      <c r="D29" s="861" t="str">
        <f t="shared" si="8"/>
        <v/>
      </c>
      <c r="E29" s="862" t="e">
        <f t="shared" si="1"/>
        <v>#VALUE!</v>
      </c>
      <c r="F29" s="861" t="e">
        <f t="shared" si="2"/>
        <v>#VALUE!</v>
      </c>
      <c r="G29" s="861" t="str">
        <f t="shared" si="6"/>
        <v/>
      </c>
      <c r="H29" s="861" t="str">
        <f t="shared" si="7"/>
        <v/>
      </c>
      <c r="I29" s="861" t="e">
        <f t="shared" si="3"/>
        <v>#VALUE!</v>
      </c>
      <c r="J29" s="861">
        <f>SUM($H$19:$H29)</f>
        <v>0</v>
      </c>
    </row>
    <row r="30" spans="1:13">
      <c r="A30" s="859" t="str">
        <f t="shared" si="4"/>
        <v/>
      </c>
      <c r="B30" s="860" t="str">
        <f t="shared" si="0"/>
        <v/>
      </c>
      <c r="C30" s="861" t="str">
        <f t="shared" si="5"/>
        <v/>
      </c>
      <c r="D30" s="861" t="str">
        <f t="shared" si="8"/>
        <v/>
      </c>
      <c r="E30" s="862" t="e">
        <f t="shared" si="1"/>
        <v>#VALUE!</v>
      </c>
      <c r="F30" s="861" t="e">
        <f t="shared" si="2"/>
        <v>#VALUE!</v>
      </c>
      <c r="G30" s="861" t="str">
        <f t="shared" si="6"/>
        <v/>
      </c>
      <c r="H30" s="861" t="str">
        <f t="shared" si="7"/>
        <v/>
      </c>
      <c r="I30" s="861" t="e">
        <f t="shared" si="3"/>
        <v>#VALUE!</v>
      </c>
      <c r="J30" s="861">
        <f>SUM($H$19:$H30)</f>
        <v>0</v>
      </c>
    </row>
    <row r="31" spans="1:13">
      <c r="A31" s="859" t="str">
        <f t="shared" si="4"/>
        <v/>
      </c>
      <c r="B31" s="860" t="str">
        <f t="shared" si="0"/>
        <v/>
      </c>
      <c r="C31" s="861" t="str">
        <f t="shared" si="5"/>
        <v/>
      </c>
      <c r="D31" s="861" t="str">
        <f t="shared" si="8"/>
        <v/>
      </c>
      <c r="E31" s="862" t="e">
        <f t="shared" si="1"/>
        <v>#VALUE!</v>
      </c>
      <c r="F31" s="861" t="e">
        <f t="shared" si="2"/>
        <v>#VALUE!</v>
      </c>
      <c r="G31" s="861" t="str">
        <f t="shared" si="6"/>
        <v/>
      </c>
      <c r="H31" s="861" t="str">
        <f t="shared" si="7"/>
        <v/>
      </c>
      <c r="I31" s="861" t="e">
        <f t="shared" si="3"/>
        <v>#VALUE!</v>
      </c>
      <c r="J31" s="861">
        <f>SUM($H$19:$H31)</f>
        <v>0</v>
      </c>
    </row>
    <row r="32" spans="1:13">
      <c r="A32" s="859" t="str">
        <f t="shared" si="4"/>
        <v/>
      </c>
      <c r="B32" s="860" t="str">
        <f t="shared" si="0"/>
        <v/>
      </c>
      <c r="C32" s="861" t="str">
        <f t="shared" si="5"/>
        <v/>
      </c>
      <c r="D32" s="861" t="str">
        <f t="shared" si="8"/>
        <v/>
      </c>
      <c r="E32" s="862" t="e">
        <f t="shared" si="1"/>
        <v>#VALUE!</v>
      </c>
      <c r="F32" s="861" t="e">
        <f t="shared" si="2"/>
        <v>#VALUE!</v>
      </c>
      <c r="G32" s="861" t="str">
        <f t="shared" si="6"/>
        <v/>
      </c>
      <c r="H32" s="861" t="str">
        <f t="shared" si="7"/>
        <v/>
      </c>
      <c r="I32" s="861" t="e">
        <f t="shared" si="3"/>
        <v>#VALUE!</v>
      </c>
      <c r="J32" s="861">
        <f>SUM($H$19:$H32)</f>
        <v>0</v>
      </c>
    </row>
    <row r="33" spans="1:10">
      <c r="A33" s="859" t="str">
        <f t="shared" si="4"/>
        <v/>
      </c>
      <c r="B33" s="860" t="str">
        <f t="shared" si="0"/>
        <v/>
      </c>
      <c r="C33" s="861" t="str">
        <f t="shared" si="5"/>
        <v/>
      </c>
      <c r="D33" s="861" t="str">
        <f t="shared" si="8"/>
        <v/>
      </c>
      <c r="E33" s="862" t="e">
        <f t="shared" si="1"/>
        <v>#VALUE!</v>
      </c>
      <c r="F33" s="861" t="e">
        <f t="shared" si="2"/>
        <v>#VALUE!</v>
      </c>
      <c r="G33" s="861" t="str">
        <f t="shared" si="6"/>
        <v/>
      </c>
      <c r="H33" s="861" t="str">
        <f t="shared" si="7"/>
        <v/>
      </c>
      <c r="I33" s="861" t="e">
        <f t="shared" si="3"/>
        <v>#VALUE!</v>
      </c>
      <c r="J33" s="861">
        <f>SUM($H$19:$H33)</f>
        <v>0</v>
      </c>
    </row>
    <row r="34" spans="1:10">
      <c r="A34" s="859" t="str">
        <f t="shared" si="4"/>
        <v/>
      </c>
      <c r="B34" s="860" t="str">
        <f t="shared" si="0"/>
        <v/>
      </c>
      <c r="C34" s="861" t="str">
        <f t="shared" si="5"/>
        <v/>
      </c>
      <c r="D34" s="861" t="str">
        <f t="shared" si="8"/>
        <v/>
      </c>
      <c r="E34" s="862" t="e">
        <f t="shared" si="1"/>
        <v>#VALUE!</v>
      </c>
      <c r="F34" s="861" t="e">
        <f t="shared" si="2"/>
        <v>#VALUE!</v>
      </c>
      <c r="G34" s="861" t="str">
        <f t="shared" si="6"/>
        <v/>
      </c>
      <c r="H34" s="861" t="str">
        <f t="shared" si="7"/>
        <v/>
      </c>
      <c r="I34" s="861" t="e">
        <f t="shared" si="3"/>
        <v>#VALUE!</v>
      </c>
      <c r="J34" s="861">
        <f>SUM($H$19:$H34)</f>
        <v>0</v>
      </c>
    </row>
    <row r="35" spans="1:10">
      <c r="A35" s="859" t="str">
        <f t="shared" si="4"/>
        <v/>
      </c>
      <c r="B35" s="860" t="str">
        <f t="shared" si="0"/>
        <v/>
      </c>
      <c r="C35" s="861" t="str">
        <f t="shared" si="5"/>
        <v/>
      </c>
      <c r="D35" s="861" t="str">
        <f t="shared" si="8"/>
        <v/>
      </c>
      <c r="E35" s="862" t="e">
        <f t="shared" si="1"/>
        <v>#VALUE!</v>
      </c>
      <c r="F35" s="861" t="e">
        <f t="shared" si="2"/>
        <v>#VALUE!</v>
      </c>
      <c r="G35" s="861" t="str">
        <f t="shared" si="6"/>
        <v/>
      </c>
      <c r="H35" s="861" t="str">
        <f t="shared" si="7"/>
        <v/>
      </c>
      <c r="I35" s="861" t="e">
        <f t="shared" si="3"/>
        <v>#VALUE!</v>
      </c>
      <c r="J35" s="861">
        <f>SUM($H$19:$H35)</f>
        <v>0</v>
      </c>
    </row>
    <row r="36" spans="1:10">
      <c r="A36" s="859" t="str">
        <f t="shared" si="4"/>
        <v/>
      </c>
      <c r="B36" s="860" t="str">
        <f t="shared" si="0"/>
        <v/>
      </c>
      <c r="C36" s="861" t="str">
        <f t="shared" si="5"/>
        <v/>
      </c>
      <c r="D36" s="861" t="str">
        <f t="shared" si="8"/>
        <v/>
      </c>
      <c r="E36" s="862" t="e">
        <f t="shared" si="1"/>
        <v>#VALUE!</v>
      </c>
      <c r="F36" s="861" t="e">
        <f t="shared" si="2"/>
        <v>#VALUE!</v>
      </c>
      <c r="G36" s="861" t="str">
        <f t="shared" si="6"/>
        <v/>
      </c>
      <c r="H36" s="861" t="str">
        <f t="shared" si="7"/>
        <v/>
      </c>
      <c r="I36" s="861" t="e">
        <f t="shared" si="3"/>
        <v>#VALUE!</v>
      </c>
      <c r="J36" s="861">
        <f>SUM($H$19:$H36)</f>
        <v>0</v>
      </c>
    </row>
    <row r="37" spans="1:10">
      <c r="A37" s="859" t="str">
        <f t="shared" si="4"/>
        <v/>
      </c>
      <c r="B37" s="860" t="str">
        <f t="shared" si="0"/>
        <v/>
      </c>
      <c r="C37" s="861" t="str">
        <f t="shared" si="5"/>
        <v/>
      </c>
      <c r="D37" s="861" t="str">
        <f t="shared" si="8"/>
        <v/>
      </c>
      <c r="E37" s="862" t="e">
        <f t="shared" si="1"/>
        <v>#VALUE!</v>
      </c>
      <c r="F37" s="861" t="e">
        <f t="shared" si="2"/>
        <v>#VALUE!</v>
      </c>
      <c r="G37" s="861" t="str">
        <f t="shared" si="6"/>
        <v/>
      </c>
      <c r="H37" s="861" t="str">
        <f t="shared" si="7"/>
        <v/>
      </c>
      <c r="I37" s="861" t="e">
        <f t="shared" si="3"/>
        <v>#VALUE!</v>
      </c>
      <c r="J37" s="861">
        <f>SUM($H$19:$H37)</f>
        <v>0</v>
      </c>
    </row>
    <row r="38" spans="1:10">
      <c r="A38" s="859" t="str">
        <f t="shared" si="4"/>
        <v/>
      </c>
      <c r="B38" s="860" t="str">
        <f t="shared" si="0"/>
        <v/>
      </c>
      <c r="C38" s="861" t="str">
        <f t="shared" si="5"/>
        <v/>
      </c>
      <c r="D38" s="861" t="str">
        <f t="shared" si="8"/>
        <v/>
      </c>
      <c r="E38" s="862" t="e">
        <f t="shared" si="1"/>
        <v>#VALUE!</v>
      </c>
      <c r="F38" s="861" t="e">
        <f t="shared" si="2"/>
        <v>#VALUE!</v>
      </c>
      <c r="G38" s="861" t="str">
        <f t="shared" si="6"/>
        <v/>
      </c>
      <c r="H38" s="861" t="str">
        <f t="shared" si="7"/>
        <v/>
      </c>
      <c r="I38" s="861" t="e">
        <f t="shared" si="3"/>
        <v>#VALUE!</v>
      </c>
      <c r="J38" s="861">
        <f>SUM($H$19:$H38)</f>
        <v>0</v>
      </c>
    </row>
    <row r="39" spans="1:10">
      <c r="A39" s="859" t="str">
        <f t="shared" si="4"/>
        <v/>
      </c>
      <c r="B39" s="860" t="str">
        <f t="shared" si="0"/>
        <v/>
      </c>
      <c r="C39" s="861" t="str">
        <f t="shared" si="5"/>
        <v/>
      </c>
      <c r="D39" s="861" t="str">
        <f t="shared" si="8"/>
        <v/>
      </c>
      <c r="E39" s="862" t="e">
        <f t="shared" si="1"/>
        <v>#VALUE!</v>
      </c>
      <c r="F39" s="861" t="e">
        <f t="shared" si="2"/>
        <v>#VALUE!</v>
      </c>
      <c r="G39" s="861" t="str">
        <f t="shared" si="6"/>
        <v/>
      </c>
      <c r="H39" s="861" t="str">
        <f t="shared" si="7"/>
        <v/>
      </c>
      <c r="I39" s="861" t="e">
        <f t="shared" si="3"/>
        <v>#VALUE!</v>
      </c>
      <c r="J39" s="861">
        <f>SUM($H$19:$H39)</f>
        <v>0</v>
      </c>
    </row>
    <row r="40" spans="1:10">
      <c r="A40" s="859" t="str">
        <f t="shared" si="4"/>
        <v/>
      </c>
      <c r="B40" s="860" t="str">
        <f t="shared" si="0"/>
        <v/>
      </c>
      <c r="C40" s="861" t="str">
        <f t="shared" si="5"/>
        <v/>
      </c>
      <c r="D40" s="861" t="str">
        <f t="shared" si="8"/>
        <v/>
      </c>
      <c r="E40" s="862" t="e">
        <f t="shared" si="1"/>
        <v>#VALUE!</v>
      </c>
      <c r="F40" s="861" t="e">
        <f t="shared" si="2"/>
        <v>#VALUE!</v>
      </c>
      <c r="G40" s="861" t="str">
        <f t="shared" si="6"/>
        <v/>
      </c>
      <c r="H40" s="861" t="str">
        <f t="shared" si="7"/>
        <v/>
      </c>
      <c r="I40" s="861" t="e">
        <f t="shared" si="3"/>
        <v>#VALUE!</v>
      </c>
      <c r="J40" s="861">
        <f>SUM($H$19:$H40)</f>
        <v>0</v>
      </c>
    </row>
    <row r="41" spans="1:10">
      <c r="A41" s="859" t="str">
        <f t="shared" si="4"/>
        <v/>
      </c>
      <c r="B41" s="860" t="str">
        <f t="shared" si="0"/>
        <v/>
      </c>
      <c r="C41" s="861" t="str">
        <f t="shared" si="5"/>
        <v/>
      </c>
      <c r="D41" s="861" t="str">
        <f t="shared" si="8"/>
        <v/>
      </c>
      <c r="E41" s="862" t="e">
        <f t="shared" si="1"/>
        <v>#VALUE!</v>
      </c>
      <c r="F41" s="861" t="e">
        <f t="shared" si="2"/>
        <v>#VALUE!</v>
      </c>
      <c r="G41" s="861" t="str">
        <f t="shared" si="6"/>
        <v/>
      </c>
      <c r="H41" s="861" t="str">
        <f t="shared" si="7"/>
        <v/>
      </c>
      <c r="I41" s="861" t="e">
        <f t="shared" si="3"/>
        <v>#VALUE!</v>
      </c>
      <c r="J41" s="861">
        <f>SUM($H$19:$H41)</f>
        <v>0</v>
      </c>
    </row>
    <row r="42" spans="1:10">
      <c r="A42" s="859" t="str">
        <f t="shared" si="4"/>
        <v/>
      </c>
      <c r="B42" s="860" t="str">
        <f t="shared" si="0"/>
        <v/>
      </c>
      <c r="C42" s="861" t="str">
        <f t="shared" si="5"/>
        <v/>
      </c>
      <c r="D42" s="861" t="str">
        <f t="shared" si="8"/>
        <v/>
      </c>
      <c r="E42" s="862" t="e">
        <f t="shared" si="1"/>
        <v>#VALUE!</v>
      </c>
      <c r="F42" s="861" t="e">
        <f t="shared" si="2"/>
        <v>#VALUE!</v>
      </c>
      <c r="G42" s="861" t="str">
        <f t="shared" si="6"/>
        <v/>
      </c>
      <c r="H42" s="861" t="str">
        <f t="shared" si="7"/>
        <v/>
      </c>
      <c r="I42" s="861" t="e">
        <f t="shared" si="3"/>
        <v>#VALUE!</v>
      </c>
      <c r="J42" s="861">
        <f>SUM($H$19:$H42)</f>
        <v>0</v>
      </c>
    </row>
    <row r="43" spans="1:10">
      <c r="A43" s="859" t="str">
        <f t="shared" si="4"/>
        <v/>
      </c>
      <c r="B43" s="860" t="str">
        <f t="shared" si="0"/>
        <v/>
      </c>
      <c r="C43" s="861" t="str">
        <f t="shared" si="5"/>
        <v/>
      </c>
      <c r="D43" s="861" t="str">
        <f t="shared" si="8"/>
        <v/>
      </c>
      <c r="E43" s="862" t="e">
        <f t="shared" si="1"/>
        <v>#VALUE!</v>
      </c>
      <c r="F43" s="861" t="e">
        <f t="shared" si="2"/>
        <v>#VALUE!</v>
      </c>
      <c r="G43" s="861" t="str">
        <f t="shared" si="6"/>
        <v/>
      </c>
      <c r="H43" s="861" t="str">
        <f t="shared" si="7"/>
        <v/>
      </c>
      <c r="I43" s="861" t="e">
        <f t="shared" si="3"/>
        <v>#VALUE!</v>
      </c>
      <c r="J43" s="861">
        <f>SUM($H$19:$H43)</f>
        <v>0</v>
      </c>
    </row>
    <row r="44" spans="1:10">
      <c r="A44" s="859" t="str">
        <f t="shared" si="4"/>
        <v/>
      </c>
      <c r="B44" s="860" t="str">
        <f t="shared" si="0"/>
        <v/>
      </c>
      <c r="C44" s="861" t="str">
        <f t="shared" si="5"/>
        <v/>
      </c>
      <c r="D44" s="861" t="str">
        <f t="shared" si="8"/>
        <v/>
      </c>
      <c r="E44" s="862" t="e">
        <f t="shared" si="1"/>
        <v>#VALUE!</v>
      </c>
      <c r="F44" s="861" t="e">
        <f t="shared" si="2"/>
        <v>#VALUE!</v>
      </c>
      <c r="G44" s="861" t="str">
        <f t="shared" si="6"/>
        <v/>
      </c>
      <c r="H44" s="861" t="str">
        <f t="shared" si="7"/>
        <v/>
      </c>
      <c r="I44" s="861" t="e">
        <f t="shared" si="3"/>
        <v>#VALUE!</v>
      </c>
      <c r="J44" s="861">
        <f>SUM($H$19:$H44)</f>
        <v>0</v>
      </c>
    </row>
    <row r="45" spans="1:10">
      <c r="A45" s="859" t="str">
        <f t="shared" si="4"/>
        <v/>
      </c>
      <c r="B45" s="860" t="str">
        <f t="shared" si="0"/>
        <v/>
      </c>
      <c r="C45" s="861" t="str">
        <f t="shared" si="5"/>
        <v/>
      </c>
      <c r="D45" s="861" t="str">
        <f t="shared" si="8"/>
        <v/>
      </c>
      <c r="E45" s="862" t="e">
        <f t="shared" si="1"/>
        <v>#VALUE!</v>
      </c>
      <c r="F45" s="861" t="e">
        <f t="shared" si="2"/>
        <v>#VALUE!</v>
      </c>
      <c r="G45" s="861" t="str">
        <f t="shared" si="6"/>
        <v/>
      </c>
      <c r="H45" s="861" t="str">
        <f t="shared" si="7"/>
        <v/>
      </c>
      <c r="I45" s="861" t="e">
        <f t="shared" si="3"/>
        <v>#VALUE!</v>
      </c>
      <c r="J45" s="861">
        <f>SUM($H$19:$H45)</f>
        <v>0</v>
      </c>
    </row>
    <row r="46" spans="1:10">
      <c r="A46" s="859" t="str">
        <f t="shared" si="4"/>
        <v/>
      </c>
      <c r="B46" s="860" t="str">
        <f t="shared" si="0"/>
        <v/>
      </c>
      <c r="C46" s="861" t="str">
        <f t="shared" si="5"/>
        <v/>
      </c>
      <c r="D46" s="861" t="str">
        <f t="shared" si="8"/>
        <v/>
      </c>
      <c r="E46" s="862" t="e">
        <f t="shared" si="1"/>
        <v>#VALUE!</v>
      </c>
      <c r="F46" s="861" t="e">
        <f t="shared" si="2"/>
        <v>#VALUE!</v>
      </c>
      <c r="G46" s="861" t="str">
        <f t="shared" si="6"/>
        <v/>
      </c>
      <c r="H46" s="861" t="str">
        <f t="shared" si="7"/>
        <v/>
      </c>
      <c r="I46" s="861" t="e">
        <f t="shared" si="3"/>
        <v>#VALUE!</v>
      </c>
      <c r="J46" s="861">
        <f>SUM($H$19:$H46)</f>
        <v>0</v>
      </c>
    </row>
    <row r="47" spans="1:10">
      <c r="A47" s="859" t="str">
        <f t="shared" si="4"/>
        <v/>
      </c>
      <c r="B47" s="860" t="str">
        <f t="shared" si="0"/>
        <v/>
      </c>
      <c r="C47" s="861" t="str">
        <f t="shared" si="5"/>
        <v/>
      </c>
      <c r="D47" s="861" t="str">
        <f t="shared" si="8"/>
        <v/>
      </c>
      <c r="E47" s="862" t="e">
        <f t="shared" si="1"/>
        <v>#VALUE!</v>
      </c>
      <c r="F47" s="861" t="e">
        <f t="shared" si="2"/>
        <v>#VALUE!</v>
      </c>
      <c r="G47" s="861" t="str">
        <f t="shared" si="6"/>
        <v/>
      </c>
      <c r="H47" s="861" t="str">
        <f t="shared" si="7"/>
        <v/>
      </c>
      <c r="I47" s="861" t="e">
        <f t="shared" si="3"/>
        <v>#VALUE!</v>
      </c>
      <c r="J47" s="861">
        <f>SUM($H$19:$H47)</f>
        <v>0</v>
      </c>
    </row>
    <row r="48" spans="1:10">
      <c r="A48" s="859" t="str">
        <f t="shared" si="4"/>
        <v/>
      </c>
      <c r="B48" s="860" t="str">
        <f t="shared" si="0"/>
        <v/>
      </c>
      <c r="C48" s="861" t="str">
        <f t="shared" si="5"/>
        <v/>
      </c>
      <c r="D48" s="861" t="str">
        <f t="shared" si="8"/>
        <v/>
      </c>
      <c r="E48" s="862" t="e">
        <f t="shared" si="1"/>
        <v>#VALUE!</v>
      </c>
      <c r="F48" s="861" t="e">
        <f t="shared" si="2"/>
        <v>#VALUE!</v>
      </c>
      <c r="G48" s="861" t="str">
        <f t="shared" si="6"/>
        <v/>
      </c>
      <c r="H48" s="861" t="str">
        <f t="shared" si="7"/>
        <v/>
      </c>
      <c r="I48" s="861" t="e">
        <f t="shared" si="3"/>
        <v>#VALUE!</v>
      </c>
      <c r="J48" s="861">
        <f>SUM($H$19:$H48)</f>
        <v>0</v>
      </c>
    </row>
    <row r="49" spans="1:10">
      <c r="A49" s="859" t="str">
        <f t="shared" si="4"/>
        <v/>
      </c>
      <c r="B49" s="860" t="str">
        <f t="shared" si="0"/>
        <v/>
      </c>
      <c r="C49" s="861" t="str">
        <f t="shared" si="5"/>
        <v/>
      </c>
      <c r="D49" s="861" t="str">
        <f t="shared" si="8"/>
        <v/>
      </c>
      <c r="E49" s="862" t="e">
        <f t="shared" si="1"/>
        <v>#VALUE!</v>
      </c>
      <c r="F49" s="861" t="e">
        <f t="shared" si="2"/>
        <v>#VALUE!</v>
      </c>
      <c r="G49" s="861" t="str">
        <f t="shared" si="6"/>
        <v/>
      </c>
      <c r="H49" s="861" t="str">
        <f t="shared" si="7"/>
        <v/>
      </c>
      <c r="I49" s="861" t="e">
        <f t="shared" si="3"/>
        <v>#VALUE!</v>
      </c>
      <c r="J49" s="861">
        <f>SUM($H$19:$H49)</f>
        <v>0</v>
      </c>
    </row>
    <row r="50" spans="1:10">
      <c r="A50" s="859" t="str">
        <f t="shared" si="4"/>
        <v/>
      </c>
      <c r="B50" s="860" t="str">
        <f t="shared" si="0"/>
        <v/>
      </c>
      <c r="C50" s="861" t="str">
        <f t="shared" si="5"/>
        <v/>
      </c>
      <c r="D50" s="861" t="str">
        <f t="shared" si="8"/>
        <v/>
      </c>
      <c r="E50" s="862" t="e">
        <f t="shared" si="1"/>
        <v>#VALUE!</v>
      </c>
      <c r="F50" s="861" t="e">
        <f t="shared" si="2"/>
        <v>#VALUE!</v>
      </c>
      <c r="G50" s="861" t="str">
        <f t="shared" si="6"/>
        <v/>
      </c>
      <c r="H50" s="861" t="str">
        <f t="shared" si="7"/>
        <v/>
      </c>
      <c r="I50" s="861" t="e">
        <f t="shared" si="3"/>
        <v>#VALUE!</v>
      </c>
      <c r="J50" s="861">
        <f>SUM($H$19:$H50)</f>
        <v>0</v>
      </c>
    </row>
    <row r="51" spans="1:10">
      <c r="A51" s="859" t="str">
        <f t="shared" si="4"/>
        <v/>
      </c>
      <c r="B51" s="860" t="str">
        <f t="shared" si="0"/>
        <v/>
      </c>
      <c r="C51" s="861" t="str">
        <f t="shared" si="5"/>
        <v/>
      </c>
      <c r="D51" s="861" t="str">
        <f t="shared" si="8"/>
        <v/>
      </c>
      <c r="E51" s="862" t="e">
        <f t="shared" si="1"/>
        <v>#VALUE!</v>
      </c>
      <c r="F51" s="861" t="e">
        <f t="shared" si="2"/>
        <v>#VALUE!</v>
      </c>
      <c r="G51" s="861" t="str">
        <f t="shared" si="6"/>
        <v/>
      </c>
      <c r="H51" s="861" t="str">
        <f t="shared" si="7"/>
        <v/>
      </c>
      <c r="I51" s="861" t="e">
        <f t="shared" si="3"/>
        <v>#VALUE!</v>
      </c>
      <c r="J51" s="861">
        <f>SUM($H$19:$H51)</f>
        <v>0</v>
      </c>
    </row>
    <row r="52" spans="1:10">
      <c r="A52" s="863" t="str">
        <f t="shared" si="4"/>
        <v/>
      </c>
      <c r="B52" s="864" t="str">
        <f t="shared" si="0"/>
        <v/>
      </c>
      <c r="C52" s="865" t="str">
        <f t="shared" si="5"/>
        <v/>
      </c>
      <c r="D52" s="865" t="str">
        <f t="shared" si="8"/>
        <v/>
      </c>
      <c r="E52" s="866" t="e">
        <f t="shared" si="1"/>
        <v>#VALUE!</v>
      </c>
      <c r="F52" s="865" t="e">
        <f t="shared" si="2"/>
        <v>#VALUE!</v>
      </c>
      <c r="G52" s="865" t="str">
        <f t="shared" si="6"/>
        <v/>
      </c>
      <c r="H52" s="865" t="str">
        <f t="shared" si="7"/>
        <v/>
      </c>
      <c r="I52" s="865" t="e">
        <f t="shared" si="3"/>
        <v>#VALUE!</v>
      </c>
      <c r="J52" s="865">
        <f>SUM($H$19:$H52)</f>
        <v>0</v>
      </c>
    </row>
    <row r="53" spans="1:10">
      <c r="A53" s="863" t="str">
        <f t="shared" si="4"/>
        <v/>
      </c>
      <c r="B53" s="864" t="str">
        <f t="shared" si="0"/>
        <v/>
      </c>
      <c r="C53" s="865" t="str">
        <f t="shared" si="5"/>
        <v/>
      </c>
      <c r="D53" s="865" t="str">
        <f t="shared" si="8"/>
        <v/>
      </c>
      <c r="E53" s="866" t="e">
        <f t="shared" si="1"/>
        <v>#VALUE!</v>
      </c>
      <c r="F53" s="865" t="e">
        <f t="shared" si="2"/>
        <v>#VALUE!</v>
      </c>
      <c r="G53" s="865" t="str">
        <f t="shared" si="6"/>
        <v/>
      </c>
      <c r="H53" s="865" t="str">
        <f t="shared" si="7"/>
        <v/>
      </c>
      <c r="I53" s="865" t="e">
        <f t="shared" si="3"/>
        <v>#VALUE!</v>
      </c>
      <c r="J53" s="865">
        <f>SUM($H$19:$H53)</f>
        <v>0</v>
      </c>
    </row>
    <row r="54" spans="1:10">
      <c r="A54" s="863" t="str">
        <f t="shared" si="4"/>
        <v/>
      </c>
      <c r="B54" s="864" t="str">
        <f t="shared" si="0"/>
        <v/>
      </c>
      <c r="C54" s="865" t="str">
        <f t="shared" si="5"/>
        <v/>
      </c>
      <c r="D54" s="865" t="str">
        <f t="shared" si="8"/>
        <v/>
      </c>
      <c r="E54" s="866" t="e">
        <f t="shared" si="1"/>
        <v>#VALUE!</v>
      </c>
      <c r="F54" s="865" t="e">
        <f t="shared" si="2"/>
        <v>#VALUE!</v>
      </c>
      <c r="G54" s="865" t="str">
        <f t="shared" si="6"/>
        <v/>
      </c>
      <c r="H54" s="865" t="str">
        <f t="shared" si="7"/>
        <v/>
      </c>
      <c r="I54" s="865" t="e">
        <f t="shared" si="3"/>
        <v>#VALUE!</v>
      </c>
      <c r="J54" s="865">
        <f>SUM($H$19:$H54)</f>
        <v>0</v>
      </c>
    </row>
    <row r="55" spans="1:10">
      <c r="A55" s="863" t="str">
        <f t="shared" si="4"/>
        <v/>
      </c>
      <c r="B55" s="864" t="str">
        <f t="shared" si="0"/>
        <v/>
      </c>
      <c r="C55" s="865" t="str">
        <f t="shared" si="5"/>
        <v/>
      </c>
      <c r="D55" s="865" t="str">
        <f t="shared" si="8"/>
        <v/>
      </c>
      <c r="E55" s="866" t="e">
        <f t="shared" si="1"/>
        <v>#VALUE!</v>
      </c>
      <c r="F55" s="865" t="e">
        <f t="shared" si="2"/>
        <v>#VALUE!</v>
      </c>
      <c r="G55" s="865" t="str">
        <f t="shared" si="6"/>
        <v/>
      </c>
      <c r="H55" s="865" t="str">
        <f t="shared" si="7"/>
        <v/>
      </c>
      <c r="I55" s="865" t="e">
        <f t="shared" si="3"/>
        <v>#VALUE!</v>
      </c>
      <c r="J55" s="865">
        <f>SUM($H$19:$H55)</f>
        <v>0</v>
      </c>
    </row>
    <row r="56" spans="1:10">
      <c r="A56" s="863" t="str">
        <f t="shared" si="4"/>
        <v/>
      </c>
      <c r="B56" s="864" t="str">
        <f t="shared" si="0"/>
        <v/>
      </c>
      <c r="C56" s="865" t="str">
        <f t="shared" si="5"/>
        <v/>
      </c>
      <c r="D56" s="865" t="str">
        <f t="shared" si="8"/>
        <v/>
      </c>
      <c r="E56" s="866" t="e">
        <f t="shared" si="1"/>
        <v>#VALUE!</v>
      </c>
      <c r="F56" s="865" t="e">
        <f t="shared" si="2"/>
        <v>#VALUE!</v>
      </c>
      <c r="G56" s="865" t="str">
        <f t="shared" si="6"/>
        <v/>
      </c>
      <c r="H56" s="865" t="str">
        <f t="shared" si="7"/>
        <v/>
      </c>
      <c r="I56" s="865" t="e">
        <f t="shared" si="3"/>
        <v>#VALUE!</v>
      </c>
      <c r="J56" s="865">
        <f>SUM($H$19:$H56)</f>
        <v>0</v>
      </c>
    </row>
    <row r="57" spans="1:10">
      <c r="A57" s="863" t="str">
        <f t="shared" si="4"/>
        <v/>
      </c>
      <c r="B57" s="864" t="str">
        <f t="shared" si="0"/>
        <v/>
      </c>
      <c r="C57" s="865" t="str">
        <f t="shared" si="5"/>
        <v/>
      </c>
      <c r="D57" s="865" t="str">
        <f t="shared" si="8"/>
        <v/>
      </c>
      <c r="E57" s="866" t="e">
        <f t="shared" si="1"/>
        <v>#VALUE!</v>
      </c>
      <c r="F57" s="865" t="e">
        <f t="shared" si="2"/>
        <v>#VALUE!</v>
      </c>
      <c r="G57" s="865" t="str">
        <f t="shared" si="6"/>
        <v/>
      </c>
      <c r="H57" s="865" t="str">
        <f t="shared" si="7"/>
        <v/>
      </c>
      <c r="I57" s="865" t="e">
        <f t="shared" si="3"/>
        <v>#VALUE!</v>
      </c>
      <c r="J57" s="865">
        <f>SUM($H$19:$H57)</f>
        <v>0</v>
      </c>
    </row>
    <row r="58" spans="1:10">
      <c r="A58" s="863" t="str">
        <f t="shared" si="4"/>
        <v/>
      </c>
      <c r="B58" s="864" t="str">
        <f t="shared" si="0"/>
        <v/>
      </c>
      <c r="C58" s="865" t="str">
        <f t="shared" si="5"/>
        <v/>
      </c>
      <c r="D58" s="865" t="str">
        <f t="shared" si="8"/>
        <v/>
      </c>
      <c r="E58" s="866" t="e">
        <f t="shared" si="1"/>
        <v>#VALUE!</v>
      </c>
      <c r="F58" s="865" t="e">
        <f t="shared" si="2"/>
        <v>#VALUE!</v>
      </c>
      <c r="G58" s="865" t="str">
        <f t="shared" si="6"/>
        <v/>
      </c>
      <c r="H58" s="865" t="str">
        <f t="shared" si="7"/>
        <v/>
      </c>
      <c r="I58" s="865" t="e">
        <f t="shared" si="3"/>
        <v>#VALUE!</v>
      </c>
      <c r="J58" s="865">
        <f>SUM($H$19:$H58)</f>
        <v>0</v>
      </c>
    </row>
    <row r="59" spans="1:10">
      <c r="A59" s="863" t="str">
        <f t="shared" si="4"/>
        <v/>
      </c>
      <c r="B59" s="864" t="str">
        <f t="shared" si="0"/>
        <v/>
      </c>
      <c r="C59" s="865" t="str">
        <f t="shared" si="5"/>
        <v/>
      </c>
      <c r="D59" s="865" t="str">
        <f t="shared" si="8"/>
        <v/>
      </c>
      <c r="E59" s="866" t="e">
        <f t="shared" si="1"/>
        <v>#VALUE!</v>
      </c>
      <c r="F59" s="865" t="e">
        <f t="shared" si="2"/>
        <v>#VALUE!</v>
      </c>
      <c r="G59" s="865" t="str">
        <f t="shared" si="6"/>
        <v/>
      </c>
      <c r="H59" s="865" t="str">
        <f t="shared" si="7"/>
        <v/>
      </c>
      <c r="I59" s="865" t="e">
        <f t="shared" si="3"/>
        <v>#VALUE!</v>
      </c>
      <c r="J59" s="865">
        <f>SUM($H$19:$H59)</f>
        <v>0</v>
      </c>
    </row>
    <row r="60" spans="1:10">
      <c r="A60" s="863" t="str">
        <f t="shared" si="4"/>
        <v/>
      </c>
      <c r="B60" s="864" t="str">
        <f t="shared" si="0"/>
        <v/>
      </c>
      <c r="C60" s="865" t="str">
        <f t="shared" si="5"/>
        <v/>
      </c>
      <c r="D60" s="865" t="str">
        <f t="shared" si="8"/>
        <v/>
      </c>
      <c r="E60" s="866" t="e">
        <f t="shared" si="1"/>
        <v>#VALUE!</v>
      </c>
      <c r="F60" s="865" t="e">
        <f t="shared" si="2"/>
        <v>#VALUE!</v>
      </c>
      <c r="G60" s="865" t="str">
        <f t="shared" si="6"/>
        <v/>
      </c>
      <c r="H60" s="865" t="str">
        <f t="shared" si="7"/>
        <v/>
      </c>
      <c r="I60" s="865" t="e">
        <f t="shared" si="3"/>
        <v>#VALUE!</v>
      </c>
      <c r="J60" s="865">
        <f>SUM($H$19:$H60)</f>
        <v>0</v>
      </c>
    </row>
    <row r="61" spans="1:10">
      <c r="A61" s="863" t="str">
        <f t="shared" si="4"/>
        <v/>
      </c>
      <c r="B61" s="864" t="str">
        <f t="shared" si="0"/>
        <v/>
      </c>
      <c r="C61" s="865" t="str">
        <f t="shared" si="5"/>
        <v/>
      </c>
      <c r="D61" s="865" t="str">
        <f t="shared" si="8"/>
        <v/>
      </c>
      <c r="E61" s="866" t="e">
        <f t="shared" si="1"/>
        <v>#VALUE!</v>
      </c>
      <c r="F61" s="865" t="e">
        <f t="shared" si="2"/>
        <v>#VALUE!</v>
      </c>
      <c r="G61" s="865" t="str">
        <f t="shared" si="6"/>
        <v/>
      </c>
      <c r="H61" s="865" t="str">
        <f t="shared" si="7"/>
        <v/>
      </c>
      <c r="I61" s="865" t="e">
        <f t="shared" si="3"/>
        <v>#VALUE!</v>
      </c>
      <c r="J61" s="865">
        <f>SUM($H$19:$H61)</f>
        <v>0</v>
      </c>
    </row>
    <row r="62" spans="1:10">
      <c r="A62" s="863" t="str">
        <f t="shared" si="4"/>
        <v/>
      </c>
      <c r="B62" s="864" t="str">
        <f t="shared" si="0"/>
        <v/>
      </c>
      <c r="C62" s="865" t="str">
        <f t="shared" si="5"/>
        <v/>
      </c>
      <c r="D62" s="865" t="str">
        <f t="shared" si="8"/>
        <v/>
      </c>
      <c r="E62" s="866" t="e">
        <f t="shared" si="1"/>
        <v>#VALUE!</v>
      </c>
      <c r="F62" s="865" t="e">
        <f t="shared" si="2"/>
        <v>#VALUE!</v>
      </c>
      <c r="G62" s="865" t="str">
        <f t="shared" si="6"/>
        <v/>
      </c>
      <c r="H62" s="865" t="str">
        <f t="shared" si="7"/>
        <v/>
      </c>
      <c r="I62" s="865" t="e">
        <f t="shared" si="3"/>
        <v>#VALUE!</v>
      </c>
      <c r="J62" s="865">
        <f>SUM($H$19:$H62)</f>
        <v>0</v>
      </c>
    </row>
    <row r="63" spans="1:10">
      <c r="A63" s="863" t="str">
        <f t="shared" si="4"/>
        <v/>
      </c>
      <c r="B63" s="864" t="str">
        <f t="shared" si="0"/>
        <v/>
      </c>
      <c r="C63" s="865" t="str">
        <f t="shared" si="5"/>
        <v/>
      </c>
      <c r="D63" s="865" t="str">
        <f t="shared" si="8"/>
        <v/>
      </c>
      <c r="E63" s="866" t="e">
        <f t="shared" si="1"/>
        <v>#VALUE!</v>
      </c>
      <c r="F63" s="865" t="e">
        <f t="shared" si="2"/>
        <v>#VALUE!</v>
      </c>
      <c r="G63" s="865" t="str">
        <f t="shared" si="6"/>
        <v/>
      </c>
      <c r="H63" s="865" t="str">
        <f t="shared" si="7"/>
        <v/>
      </c>
      <c r="I63" s="865" t="e">
        <f t="shared" si="3"/>
        <v>#VALUE!</v>
      </c>
      <c r="J63" s="865">
        <f>SUM($H$19:$H63)</f>
        <v>0</v>
      </c>
    </row>
    <row r="64" spans="1:10">
      <c r="A64" s="863" t="str">
        <f t="shared" si="4"/>
        <v/>
      </c>
      <c r="B64" s="864" t="str">
        <f t="shared" si="0"/>
        <v/>
      </c>
      <c r="C64" s="865" t="str">
        <f t="shared" si="5"/>
        <v/>
      </c>
      <c r="D64" s="865" t="str">
        <f t="shared" si="8"/>
        <v/>
      </c>
      <c r="E64" s="866" t="e">
        <f t="shared" si="1"/>
        <v>#VALUE!</v>
      </c>
      <c r="F64" s="865" t="e">
        <f t="shared" si="2"/>
        <v>#VALUE!</v>
      </c>
      <c r="G64" s="865" t="str">
        <f t="shared" si="6"/>
        <v/>
      </c>
      <c r="H64" s="865" t="str">
        <f t="shared" si="7"/>
        <v/>
      </c>
      <c r="I64" s="865" t="e">
        <f t="shared" si="3"/>
        <v>#VALUE!</v>
      </c>
      <c r="J64" s="865">
        <f>SUM($H$19:$H64)</f>
        <v>0</v>
      </c>
    </row>
    <row r="65" spans="1:10">
      <c r="A65" s="863" t="str">
        <f t="shared" si="4"/>
        <v/>
      </c>
      <c r="B65" s="864" t="str">
        <f t="shared" si="0"/>
        <v/>
      </c>
      <c r="C65" s="865" t="str">
        <f t="shared" si="5"/>
        <v/>
      </c>
      <c r="D65" s="865" t="str">
        <f t="shared" si="8"/>
        <v/>
      </c>
      <c r="E65" s="866" t="e">
        <f t="shared" si="1"/>
        <v>#VALUE!</v>
      </c>
      <c r="F65" s="865" t="e">
        <f t="shared" si="2"/>
        <v>#VALUE!</v>
      </c>
      <c r="G65" s="865" t="str">
        <f t="shared" si="6"/>
        <v/>
      </c>
      <c r="H65" s="865" t="str">
        <f t="shared" si="7"/>
        <v/>
      </c>
      <c r="I65" s="865" t="e">
        <f t="shared" si="3"/>
        <v>#VALUE!</v>
      </c>
      <c r="J65" s="865">
        <f>SUM($H$19:$H65)</f>
        <v>0</v>
      </c>
    </row>
    <row r="66" spans="1:10">
      <c r="A66" s="863" t="str">
        <f t="shared" si="4"/>
        <v/>
      </c>
      <c r="B66" s="864" t="str">
        <f t="shared" si="0"/>
        <v/>
      </c>
      <c r="C66" s="865" t="str">
        <f t="shared" si="5"/>
        <v/>
      </c>
      <c r="D66" s="865" t="str">
        <f t="shared" si="8"/>
        <v/>
      </c>
      <c r="E66" s="866" t="e">
        <f t="shared" si="1"/>
        <v>#VALUE!</v>
      </c>
      <c r="F66" s="865" t="e">
        <f t="shared" si="2"/>
        <v>#VALUE!</v>
      </c>
      <c r="G66" s="865" t="str">
        <f t="shared" si="6"/>
        <v/>
      </c>
      <c r="H66" s="865" t="str">
        <f t="shared" si="7"/>
        <v/>
      </c>
      <c r="I66" s="865" t="e">
        <f t="shared" si="3"/>
        <v>#VALUE!</v>
      </c>
      <c r="J66" s="865">
        <f>SUM($H$19:$H66)</f>
        <v>0</v>
      </c>
    </row>
    <row r="67" spans="1:10">
      <c r="A67" s="863" t="str">
        <f t="shared" si="4"/>
        <v/>
      </c>
      <c r="B67" s="864" t="str">
        <f t="shared" si="0"/>
        <v/>
      </c>
      <c r="C67" s="865" t="str">
        <f t="shared" si="5"/>
        <v/>
      </c>
      <c r="D67" s="865" t="str">
        <f t="shared" si="8"/>
        <v/>
      </c>
      <c r="E67" s="866" t="e">
        <f t="shared" si="1"/>
        <v>#VALUE!</v>
      </c>
      <c r="F67" s="865" t="e">
        <f t="shared" si="2"/>
        <v>#VALUE!</v>
      </c>
      <c r="G67" s="865" t="str">
        <f t="shared" si="6"/>
        <v/>
      </c>
      <c r="H67" s="865" t="str">
        <f t="shared" si="7"/>
        <v/>
      </c>
      <c r="I67" s="865" t="e">
        <f t="shared" si="3"/>
        <v>#VALUE!</v>
      </c>
      <c r="J67" s="865">
        <f>SUM($H$19:$H67)</f>
        <v>0</v>
      </c>
    </row>
    <row r="68" spans="1:10">
      <c r="A68" s="863" t="str">
        <f t="shared" si="4"/>
        <v/>
      </c>
      <c r="B68" s="864" t="str">
        <f t="shared" si="0"/>
        <v/>
      </c>
      <c r="C68" s="865" t="str">
        <f t="shared" si="5"/>
        <v/>
      </c>
      <c r="D68" s="865" t="str">
        <f t="shared" si="8"/>
        <v/>
      </c>
      <c r="E68" s="866" t="e">
        <f t="shared" si="1"/>
        <v>#VALUE!</v>
      </c>
      <c r="F68" s="865" t="e">
        <f t="shared" si="2"/>
        <v>#VALUE!</v>
      </c>
      <c r="G68" s="865" t="str">
        <f t="shared" si="6"/>
        <v/>
      </c>
      <c r="H68" s="865" t="str">
        <f t="shared" si="7"/>
        <v/>
      </c>
      <c r="I68" s="865" t="e">
        <f t="shared" si="3"/>
        <v>#VALUE!</v>
      </c>
      <c r="J68" s="865">
        <f>SUM($H$19:$H68)</f>
        <v>0</v>
      </c>
    </row>
    <row r="69" spans="1:10">
      <c r="A69" s="863" t="str">
        <f t="shared" si="4"/>
        <v/>
      </c>
      <c r="B69" s="864" t="str">
        <f t="shared" si="0"/>
        <v/>
      </c>
      <c r="C69" s="865" t="str">
        <f t="shared" si="5"/>
        <v/>
      </c>
      <c r="D69" s="865" t="str">
        <f t="shared" si="8"/>
        <v/>
      </c>
      <c r="E69" s="866" t="e">
        <f t="shared" si="1"/>
        <v>#VALUE!</v>
      </c>
      <c r="F69" s="865" t="e">
        <f t="shared" si="2"/>
        <v>#VALUE!</v>
      </c>
      <c r="G69" s="865" t="str">
        <f t="shared" si="6"/>
        <v/>
      </c>
      <c r="H69" s="865" t="str">
        <f t="shared" si="7"/>
        <v/>
      </c>
      <c r="I69" s="865" t="e">
        <f t="shared" si="3"/>
        <v>#VALUE!</v>
      </c>
      <c r="J69" s="865">
        <f>SUM($H$19:$H69)</f>
        <v>0</v>
      </c>
    </row>
    <row r="70" spans="1:10">
      <c r="A70" s="863" t="str">
        <f t="shared" si="4"/>
        <v/>
      </c>
      <c r="B70" s="864" t="str">
        <f t="shared" si="0"/>
        <v/>
      </c>
      <c r="C70" s="865" t="str">
        <f t="shared" si="5"/>
        <v/>
      </c>
      <c r="D70" s="865" t="str">
        <f t="shared" si="8"/>
        <v/>
      </c>
      <c r="E70" s="866" t="e">
        <f t="shared" si="1"/>
        <v>#VALUE!</v>
      </c>
      <c r="F70" s="865" t="e">
        <f t="shared" si="2"/>
        <v>#VALUE!</v>
      </c>
      <c r="G70" s="865" t="str">
        <f t="shared" si="6"/>
        <v/>
      </c>
      <c r="H70" s="865" t="str">
        <f t="shared" si="7"/>
        <v/>
      </c>
      <c r="I70" s="865" t="e">
        <f t="shared" si="3"/>
        <v>#VALUE!</v>
      </c>
      <c r="J70" s="865">
        <f>SUM($H$19:$H70)</f>
        <v>0</v>
      </c>
    </row>
    <row r="71" spans="1:10">
      <c r="A71" s="863" t="str">
        <f t="shared" si="4"/>
        <v/>
      </c>
      <c r="B71" s="864" t="str">
        <f t="shared" si="0"/>
        <v/>
      </c>
      <c r="C71" s="865" t="str">
        <f t="shared" si="5"/>
        <v/>
      </c>
      <c r="D71" s="865" t="str">
        <f t="shared" si="8"/>
        <v/>
      </c>
      <c r="E71" s="866" t="e">
        <f t="shared" si="1"/>
        <v>#VALUE!</v>
      </c>
      <c r="F71" s="865" t="e">
        <f t="shared" si="2"/>
        <v>#VALUE!</v>
      </c>
      <c r="G71" s="865" t="str">
        <f t="shared" si="6"/>
        <v/>
      </c>
      <c r="H71" s="865" t="str">
        <f t="shared" si="7"/>
        <v/>
      </c>
      <c r="I71" s="865" t="e">
        <f t="shared" si="3"/>
        <v>#VALUE!</v>
      </c>
      <c r="J71" s="865">
        <f>SUM($H$19:$H71)</f>
        <v>0</v>
      </c>
    </row>
    <row r="72" spans="1:10">
      <c r="A72" s="863" t="str">
        <f t="shared" si="4"/>
        <v/>
      </c>
      <c r="B72" s="864" t="str">
        <f t="shared" si="0"/>
        <v/>
      </c>
      <c r="C72" s="865" t="str">
        <f t="shared" si="5"/>
        <v/>
      </c>
      <c r="D72" s="865" t="str">
        <f t="shared" si="8"/>
        <v/>
      </c>
      <c r="E72" s="866" t="e">
        <f t="shared" si="1"/>
        <v>#VALUE!</v>
      </c>
      <c r="F72" s="865" t="e">
        <f t="shared" si="2"/>
        <v>#VALUE!</v>
      </c>
      <c r="G72" s="865" t="str">
        <f t="shared" si="6"/>
        <v/>
      </c>
      <c r="H72" s="865" t="str">
        <f t="shared" si="7"/>
        <v/>
      </c>
      <c r="I72" s="865" t="e">
        <f t="shared" si="3"/>
        <v>#VALUE!</v>
      </c>
      <c r="J72" s="865">
        <f>SUM($H$19:$H72)</f>
        <v>0</v>
      </c>
    </row>
    <row r="73" spans="1:10">
      <c r="A73" s="863" t="str">
        <f t="shared" si="4"/>
        <v/>
      </c>
      <c r="B73" s="864" t="str">
        <f t="shared" si="0"/>
        <v/>
      </c>
      <c r="C73" s="865" t="str">
        <f t="shared" si="5"/>
        <v/>
      </c>
      <c r="D73" s="865" t="str">
        <f t="shared" si="8"/>
        <v/>
      </c>
      <c r="E73" s="866" t="e">
        <f t="shared" si="1"/>
        <v>#VALUE!</v>
      </c>
      <c r="F73" s="865" t="e">
        <f t="shared" si="2"/>
        <v>#VALUE!</v>
      </c>
      <c r="G73" s="865" t="str">
        <f t="shared" si="6"/>
        <v/>
      </c>
      <c r="H73" s="865" t="str">
        <f t="shared" si="7"/>
        <v/>
      </c>
      <c r="I73" s="865" t="e">
        <f t="shared" si="3"/>
        <v>#VALUE!</v>
      </c>
      <c r="J73" s="865">
        <f>SUM($H$19:$H73)</f>
        <v>0</v>
      </c>
    </row>
    <row r="74" spans="1:10">
      <c r="A74" s="863" t="str">
        <f t="shared" si="4"/>
        <v/>
      </c>
      <c r="B74" s="864" t="str">
        <f t="shared" si="0"/>
        <v/>
      </c>
      <c r="C74" s="865" t="str">
        <f t="shared" si="5"/>
        <v/>
      </c>
      <c r="D74" s="865" t="str">
        <f t="shared" si="8"/>
        <v/>
      </c>
      <c r="E74" s="866" t="e">
        <f t="shared" si="1"/>
        <v>#VALUE!</v>
      </c>
      <c r="F74" s="865" t="e">
        <f t="shared" si="2"/>
        <v>#VALUE!</v>
      </c>
      <c r="G74" s="865" t="str">
        <f t="shared" si="6"/>
        <v/>
      </c>
      <c r="H74" s="865" t="str">
        <f t="shared" si="7"/>
        <v/>
      </c>
      <c r="I74" s="865" t="e">
        <f t="shared" si="3"/>
        <v>#VALUE!</v>
      </c>
      <c r="J74" s="865">
        <f>SUM($H$19:$H74)</f>
        <v>0</v>
      </c>
    </row>
    <row r="75" spans="1:10">
      <c r="A75" s="863" t="str">
        <f t="shared" si="4"/>
        <v/>
      </c>
      <c r="B75" s="864" t="str">
        <f t="shared" si="0"/>
        <v/>
      </c>
      <c r="C75" s="865" t="str">
        <f t="shared" si="5"/>
        <v/>
      </c>
      <c r="D75" s="865" t="str">
        <f t="shared" si="8"/>
        <v/>
      </c>
      <c r="E75" s="866" t="e">
        <f t="shared" si="1"/>
        <v>#VALUE!</v>
      </c>
      <c r="F75" s="865" t="e">
        <f t="shared" si="2"/>
        <v>#VALUE!</v>
      </c>
      <c r="G75" s="865" t="str">
        <f t="shared" si="6"/>
        <v/>
      </c>
      <c r="H75" s="865" t="str">
        <f t="shared" si="7"/>
        <v/>
      </c>
      <c r="I75" s="865" t="e">
        <f t="shared" si="3"/>
        <v>#VALUE!</v>
      </c>
      <c r="J75" s="865">
        <f>SUM($H$19:$H75)</f>
        <v>0</v>
      </c>
    </row>
    <row r="76" spans="1:10">
      <c r="A76" s="863" t="str">
        <f t="shared" si="4"/>
        <v/>
      </c>
      <c r="B76" s="864" t="str">
        <f t="shared" si="0"/>
        <v/>
      </c>
      <c r="C76" s="865" t="str">
        <f t="shared" si="5"/>
        <v/>
      </c>
      <c r="D76" s="865" t="str">
        <f t="shared" si="8"/>
        <v/>
      </c>
      <c r="E76" s="866" t="e">
        <f t="shared" si="1"/>
        <v>#VALUE!</v>
      </c>
      <c r="F76" s="865" t="e">
        <f t="shared" si="2"/>
        <v>#VALUE!</v>
      </c>
      <c r="G76" s="865" t="str">
        <f t="shared" si="6"/>
        <v/>
      </c>
      <c r="H76" s="865" t="str">
        <f t="shared" si="7"/>
        <v/>
      </c>
      <c r="I76" s="865" t="e">
        <f t="shared" si="3"/>
        <v>#VALUE!</v>
      </c>
      <c r="J76" s="865">
        <f>SUM($H$19:$H76)</f>
        <v>0</v>
      </c>
    </row>
    <row r="77" spans="1:10">
      <c r="A77" s="863" t="str">
        <f t="shared" si="4"/>
        <v/>
      </c>
      <c r="B77" s="864" t="str">
        <f t="shared" si="0"/>
        <v/>
      </c>
      <c r="C77" s="865" t="str">
        <f t="shared" si="5"/>
        <v/>
      </c>
      <c r="D77" s="865" t="str">
        <f t="shared" si="8"/>
        <v/>
      </c>
      <c r="E77" s="866" t="e">
        <f t="shared" si="1"/>
        <v>#VALUE!</v>
      </c>
      <c r="F77" s="865" t="e">
        <f t="shared" si="2"/>
        <v>#VALUE!</v>
      </c>
      <c r="G77" s="865" t="str">
        <f t="shared" si="6"/>
        <v/>
      </c>
      <c r="H77" s="865" t="str">
        <f t="shared" si="7"/>
        <v/>
      </c>
      <c r="I77" s="865" t="e">
        <f t="shared" si="3"/>
        <v>#VALUE!</v>
      </c>
      <c r="J77" s="865">
        <f>SUM($H$19:$H77)</f>
        <v>0</v>
      </c>
    </row>
    <row r="78" spans="1:10">
      <c r="A78" s="863" t="str">
        <f t="shared" si="4"/>
        <v/>
      </c>
      <c r="B78" s="864" t="str">
        <f t="shared" si="0"/>
        <v/>
      </c>
      <c r="C78" s="865" t="str">
        <f t="shared" si="5"/>
        <v/>
      </c>
      <c r="D78" s="865" t="str">
        <f t="shared" si="8"/>
        <v/>
      </c>
      <c r="E78" s="866" t="e">
        <f t="shared" si="1"/>
        <v>#VALUE!</v>
      </c>
      <c r="F78" s="865" t="e">
        <f t="shared" si="2"/>
        <v>#VALUE!</v>
      </c>
      <c r="G78" s="865" t="str">
        <f t="shared" si="6"/>
        <v/>
      </c>
      <c r="H78" s="865" t="str">
        <f t="shared" si="7"/>
        <v/>
      </c>
      <c r="I78" s="865" t="e">
        <f t="shared" si="3"/>
        <v>#VALUE!</v>
      </c>
      <c r="J78" s="865">
        <f>SUM($H$19:$H78)</f>
        <v>0</v>
      </c>
    </row>
    <row r="79" spans="1:10">
      <c r="A79" s="863" t="str">
        <f t="shared" si="4"/>
        <v/>
      </c>
      <c r="B79" s="864" t="str">
        <f t="shared" si="0"/>
        <v/>
      </c>
      <c r="C79" s="865" t="str">
        <f t="shared" si="5"/>
        <v/>
      </c>
      <c r="D79" s="865" t="str">
        <f t="shared" si="8"/>
        <v/>
      </c>
      <c r="E79" s="866" t="e">
        <f t="shared" si="1"/>
        <v>#VALUE!</v>
      </c>
      <c r="F79" s="865" t="e">
        <f t="shared" si="2"/>
        <v>#VALUE!</v>
      </c>
      <c r="G79" s="865" t="str">
        <f t="shared" si="6"/>
        <v/>
      </c>
      <c r="H79" s="865" t="str">
        <f t="shared" si="7"/>
        <v/>
      </c>
      <c r="I79" s="865" t="e">
        <f t="shared" si="3"/>
        <v>#VALUE!</v>
      </c>
      <c r="J79" s="865">
        <f>SUM($H$19:$H79)</f>
        <v>0</v>
      </c>
    </row>
    <row r="80" spans="1:10">
      <c r="A80" s="863" t="str">
        <f t="shared" si="4"/>
        <v/>
      </c>
      <c r="B80" s="864" t="str">
        <f t="shared" si="0"/>
        <v/>
      </c>
      <c r="C80" s="865" t="str">
        <f t="shared" si="5"/>
        <v/>
      </c>
      <c r="D80" s="865" t="str">
        <f t="shared" si="8"/>
        <v/>
      </c>
      <c r="E80" s="866" t="e">
        <f t="shared" si="1"/>
        <v>#VALUE!</v>
      </c>
      <c r="F80" s="865" t="e">
        <f t="shared" si="2"/>
        <v>#VALUE!</v>
      </c>
      <c r="G80" s="865" t="str">
        <f t="shared" si="6"/>
        <v/>
      </c>
      <c r="H80" s="865" t="str">
        <f t="shared" si="7"/>
        <v/>
      </c>
      <c r="I80" s="865" t="e">
        <f t="shared" si="3"/>
        <v>#VALUE!</v>
      </c>
      <c r="J80" s="865">
        <f>SUM($H$19:$H80)</f>
        <v>0</v>
      </c>
    </row>
    <row r="81" spans="1:10">
      <c r="A81" s="863" t="str">
        <f t="shared" si="4"/>
        <v/>
      </c>
      <c r="B81" s="864" t="str">
        <f t="shared" si="0"/>
        <v/>
      </c>
      <c r="C81" s="865" t="str">
        <f t="shared" si="5"/>
        <v/>
      </c>
      <c r="D81" s="865" t="str">
        <f t="shared" si="8"/>
        <v/>
      </c>
      <c r="E81" s="866" t="e">
        <f t="shared" si="1"/>
        <v>#VALUE!</v>
      </c>
      <c r="F81" s="865" t="e">
        <f t="shared" si="2"/>
        <v>#VALUE!</v>
      </c>
      <c r="G81" s="865" t="str">
        <f t="shared" si="6"/>
        <v/>
      </c>
      <c r="H81" s="865" t="str">
        <f t="shared" si="7"/>
        <v/>
      </c>
      <c r="I81" s="865" t="e">
        <f t="shared" si="3"/>
        <v>#VALUE!</v>
      </c>
      <c r="J81" s="865">
        <f>SUM($H$19:$H81)</f>
        <v>0</v>
      </c>
    </row>
    <row r="82" spans="1:10">
      <c r="A82" s="863" t="str">
        <f t="shared" si="4"/>
        <v/>
      </c>
      <c r="B82" s="864" t="str">
        <f t="shared" si="0"/>
        <v/>
      </c>
      <c r="C82" s="865" t="str">
        <f t="shared" si="5"/>
        <v/>
      </c>
      <c r="D82" s="865" t="str">
        <f t="shared" si="8"/>
        <v/>
      </c>
      <c r="E82" s="866" t="e">
        <f t="shared" si="1"/>
        <v>#VALUE!</v>
      </c>
      <c r="F82" s="865" t="e">
        <f t="shared" si="2"/>
        <v>#VALUE!</v>
      </c>
      <c r="G82" s="865" t="str">
        <f t="shared" si="6"/>
        <v/>
      </c>
      <c r="H82" s="865" t="str">
        <f t="shared" si="7"/>
        <v/>
      </c>
      <c r="I82" s="865" t="e">
        <f t="shared" si="3"/>
        <v>#VALUE!</v>
      </c>
      <c r="J82" s="865">
        <f>SUM($H$19:$H82)</f>
        <v>0</v>
      </c>
    </row>
    <row r="83" spans="1:10">
      <c r="A83" s="863" t="str">
        <f t="shared" si="4"/>
        <v/>
      </c>
      <c r="B83" s="864" t="str">
        <f t="shared" ref="B83:B146" si="9">IF(Pay_Num&lt;&gt;"",DATE(YEAR(Loan_Start),MONTH(Loan_Start)+(Pay_Num)*12/Num_Pmt_Per_Year,DAY(Loan_Start)),"")</f>
        <v/>
      </c>
      <c r="C83" s="865" t="str">
        <f t="shared" si="5"/>
        <v/>
      </c>
      <c r="D83" s="865" t="str">
        <f t="shared" si="8"/>
        <v/>
      </c>
      <c r="E83" s="866" t="e">
        <f t="shared" ref="E83:E146" si="10">IF(AND(Pay_Num&lt;&gt;"",Sched_Pay+Scheduled_Extra_Payments&lt;Beg_Bal),Scheduled_Extra_Payments,IF(AND(Pay_Num&lt;&gt;"",Beg_Bal-Sched_Pay&gt;0),Beg_Bal-Sched_Pay,IF(Pay_Num&lt;&gt;"",0,"")))</f>
        <v>#VALUE!</v>
      </c>
      <c r="F83" s="865" t="e">
        <f t="shared" ref="F83:F146" si="11">IF(AND(Pay_Num&lt;&gt;"",Sched_Pay+Extra_Pay&lt;Beg_Bal),Sched_Pay+Extra_Pay,IF(Pay_Num&lt;&gt;"",Beg_Bal,""))</f>
        <v>#VALUE!</v>
      </c>
      <c r="G83" s="865" t="str">
        <f t="shared" si="6"/>
        <v/>
      </c>
      <c r="H83" s="865" t="str">
        <f t="shared" si="7"/>
        <v/>
      </c>
      <c r="I83" s="865" t="e">
        <f t="shared" ref="I83:I146" si="12">IF(AND(Pay_Num&lt;&gt;"",Sched_Pay+Extra_Pay&lt;Beg_Bal),Beg_Bal-Princ,IF(Pay_Num&lt;&gt;"",0,""))</f>
        <v>#VALUE!</v>
      </c>
      <c r="J83" s="865">
        <f>SUM($H$19:$H83)</f>
        <v>0</v>
      </c>
    </row>
    <row r="84" spans="1:10">
      <c r="A84" s="863" t="str">
        <f t="shared" ref="A84:A147" si="13">IF(Values_Entered,A83+1,"")</f>
        <v/>
      </c>
      <c r="B84" s="864" t="str">
        <f t="shared" si="9"/>
        <v/>
      </c>
      <c r="C84" s="865" t="str">
        <f t="shared" ref="C84:C147" si="14">IF(Pay_Num&lt;&gt;"",I83,"")</f>
        <v/>
      </c>
      <c r="D84" s="865" t="str">
        <f t="shared" si="8"/>
        <v/>
      </c>
      <c r="E84" s="866" t="e">
        <f t="shared" si="10"/>
        <v>#VALUE!</v>
      </c>
      <c r="F84" s="865" t="e">
        <f t="shared" si="11"/>
        <v>#VALUE!</v>
      </c>
      <c r="G84" s="865" t="str">
        <f t="shared" ref="G84:G147" si="15">IF(Pay_Num&lt;&gt;"",Total_Pay-Int,"")</f>
        <v/>
      </c>
      <c r="H84" s="865" t="str">
        <f t="shared" ref="H84:H147" si="16">IF(Pay_Num&lt;&gt;"",Beg_Bal*Interest_Rate/Num_Pmt_Per_Year,"")</f>
        <v/>
      </c>
      <c r="I84" s="865" t="e">
        <f t="shared" si="12"/>
        <v>#VALUE!</v>
      </c>
      <c r="J84" s="865">
        <f>SUM($H$19:$H84)</f>
        <v>0</v>
      </c>
    </row>
    <row r="85" spans="1:10">
      <c r="A85" s="863" t="str">
        <f t="shared" si="13"/>
        <v/>
      </c>
      <c r="B85" s="864" t="str">
        <f t="shared" si="9"/>
        <v/>
      </c>
      <c r="C85" s="865" t="str">
        <f t="shared" si="14"/>
        <v/>
      </c>
      <c r="D85" s="865" t="str">
        <f t="shared" ref="D85:D148" si="17">IF(Pay_Num&lt;&gt;"",Scheduled_Monthly_Payment,"")</f>
        <v/>
      </c>
      <c r="E85" s="866" t="e">
        <f t="shared" si="10"/>
        <v>#VALUE!</v>
      </c>
      <c r="F85" s="865" t="e">
        <f t="shared" si="11"/>
        <v>#VALUE!</v>
      </c>
      <c r="G85" s="865" t="str">
        <f t="shared" si="15"/>
        <v/>
      </c>
      <c r="H85" s="865" t="str">
        <f t="shared" si="16"/>
        <v/>
      </c>
      <c r="I85" s="865" t="e">
        <f t="shared" si="12"/>
        <v>#VALUE!</v>
      </c>
      <c r="J85" s="865">
        <f>SUM($H$19:$H85)</f>
        <v>0</v>
      </c>
    </row>
    <row r="86" spans="1:10">
      <c r="A86" s="863" t="str">
        <f t="shared" si="13"/>
        <v/>
      </c>
      <c r="B86" s="864" t="str">
        <f t="shared" si="9"/>
        <v/>
      </c>
      <c r="C86" s="865" t="str">
        <f t="shared" si="14"/>
        <v/>
      </c>
      <c r="D86" s="865" t="str">
        <f t="shared" si="17"/>
        <v/>
      </c>
      <c r="E86" s="866" t="e">
        <f t="shared" si="10"/>
        <v>#VALUE!</v>
      </c>
      <c r="F86" s="865" t="e">
        <f t="shared" si="11"/>
        <v>#VALUE!</v>
      </c>
      <c r="G86" s="865" t="str">
        <f t="shared" si="15"/>
        <v/>
      </c>
      <c r="H86" s="865" t="str">
        <f t="shared" si="16"/>
        <v/>
      </c>
      <c r="I86" s="865" t="e">
        <f t="shared" si="12"/>
        <v>#VALUE!</v>
      </c>
      <c r="J86" s="865">
        <f>SUM($H$19:$H86)</f>
        <v>0</v>
      </c>
    </row>
    <row r="87" spans="1:10">
      <c r="A87" s="863" t="str">
        <f t="shared" si="13"/>
        <v/>
      </c>
      <c r="B87" s="864" t="str">
        <f t="shared" si="9"/>
        <v/>
      </c>
      <c r="C87" s="865" t="str">
        <f t="shared" si="14"/>
        <v/>
      </c>
      <c r="D87" s="865" t="str">
        <f t="shared" si="17"/>
        <v/>
      </c>
      <c r="E87" s="866" t="e">
        <f t="shared" si="10"/>
        <v>#VALUE!</v>
      </c>
      <c r="F87" s="865" t="e">
        <f t="shared" si="11"/>
        <v>#VALUE!</v>
      </c>
      <c r="G87" s="865" t="str">
        <f t="shared" si="15"/>
        <v/>
      </c>
      <c r="H87" s="865" t="str">
        <f t="shared" si="16"/>
        <v/>
      </c>
      <c r="I87" s="865" t="e">
        <f t="shared" si="12"/>
        <v>#VALUE!</v>
      </c>
      <c r="J87" s="865">
        <f>SUM($H$19:$H87)</f>
        <v>0</v>
      </c>
    </row>
    <row r="88" spans="1:10">
      <c r="A88" s="863" t="str">
        <f t="shared" si="13"/>
        <v/>
      </c>
      <c r="B88" s="864" t="str">
        <f t="shared" si="9"/>
        <v/>
      </c>
      <c r="C88" s="865" t="str">
        <f t="shared" si="14"/>
        <v/>
      </c>
      <c r="D88" s="865" t="str">
        <f t="shared" si="17"/>
        <v/>
      </c>
      <c r="E88" s="866" t="e">
        <f t="shared" si="10"/>
        <v>#VALUE!</v>
      </c>
      <c r="F88" s="865" t="e">
        <f t="shared" si="11"/>
        <v>#VALUE!</v>
      </c>
      <c r="G88" s="865" t="str">
        <f t="shared" si="15"/>
        <v/>
      </c>
      <c r="H88" s="865" t="str">
        <f t="shared" si="16"/>
        <v/>
      </c>
      <c r="I88" s="865" t="e">
        <f t="shared" si="12"/>
        <v>#VALUE!</v>
      </c>
      <c r="J88" s="865">
        <f>SUM($H$19:$H88)</f>
        <v>0</v>
      </c>
    </row>
    <row r="89" spans="1:10">
      <c r="A89" s="863" t="str">
        <f t="shared" si="13"/>
        <v/>
      </c>
      <c r="B89" s="864" t="str">
        <f t="shared" si="9"/>
        <v/>
      </c>
      <c r="C89" s="865" t="str">
        <f t="shared" si="14"/>
        <v/>
      </c>
      <c r="D89" s="865" t="str">
        <f t="shared" si="17"/>
        <v/>
      </c>
      <c r="E89" s="866" t="e">
        <f t="shared" si="10"/>
        <v>#VALUE!</v>
      </c>
      <c r="F89" s="865" t="e">
        <f t="shared" si="11"/>
        <v>#VALUE!</v>
      </c>
      <c r="G89" s="865" t="str">
        <f t="shared" si="15"/>
        <v/>
      </c>
      <c r="H89" s="865" t="str">
        <f t="shared" si="16"/>
        <v/>
      </c>
      <c r="I89" s="865" t="e">
        <f t="shared" si="12"/>
        <v>#VALUE!</v>
      </c>
      <c r="J89" s="865">
        <f>SUM($H$19:$H89)</f>
        <v>0</v>
      </c>
    </row>
    <row r="90" spans="1:10">
      <c r="A90" s="863" t="str">
        <f t="shared" si="13"/>
        <v/>
      </c>
      <c r="B90" s="864" t="str">
        <f t="shared" si="9"/>
        <v/>
      </c>
      <c r="C90" s="865" t="str">
        <f t="shared" si="14"/>
        <v/>
      </c>
      <c r="D90" s="865" t="str">
        <f t="shared" si="17"/>
        <v/>
      </c>
      <c r="E90" s="866" t="e">
        <f t="shared" si="10"/>
        <v>#VALUE!</v>
      </c>
      <c r="F90" s="865" t="e">
        <f t="shared" si="11"/>
        <v>#VALUE!</v>
      </c>
      <c r="G90" s="865" t="str">
        <f t="shared" si="15"/>
        <v/>
      </c>
      <c r="H90" s="865" t="str">
        <f t="shared" si="16"/>
        <v/>
      </c>
      <c r="I90" s="865" t="e">
        <f t="shared" si="12"/>
        <v>#VALUE!</v>
      </c>
      <c r="J90" s="865">
        <f>SUM($H$19:$H90)</f>
        <v>0</v>
      </c>
    </row>
    <row r="91" spans="1:10">
      <c r="A91" s="863" t="str">
        <f t="shared" si="13"/>
        <v/>
      </c>
      <c r="B91" s="864" t="str">
        <f t="shared" si="9"/>
        <v/>
      </c>
      <c r="C91" s="865" t="str">
        <f t="shared" si="14"/>
        <v/>
      </c>
      <c r="D91" s="865" t="str">
        <f t="shared" si="17"/>
        <v/>
      </c>
      <c r="E91" s="866" t="e">
        <f t="shared" si="10"/>
        <v>#VALUE!</v>
      </c>
      <c r="F91" s="865" t="e">
        <f t="shared" si="11"/>
        <v>#VALUE!</v>
      </c>
      <c r="G91" s="865" t="str">
        <f t="shared" si="15"/>
        <v/>
      </c>
      <c r="H91" s="865" t="str">
        <f t="shared" si="16"/>
        <v/>
      </c>
      <c r="I91" s="865" t="e">
        <f t="shared" si="12"/>
        <v>#VALUE!</v>
      </c>
      <c r="J91" s="865">
        <f>SUM($H$19:$H91)</f>
        <v>0</v>
      </c>
    </row>
    <row r="92" spans="1:10">
      <c r="A92" s="863" t="str">
        <f t="shared" si="13"/>
        <v/>
      </c>
      <c r="B92" s="864" t="str">
        <f t="shared" si="9"/>
        <v/>
      </c>
      <c r="C92" s="865" t="str">
        <f t="shared" si="14"/>
        <v/>
      </c>
      <c r="D92" s="865" t="str">
        <f t="shared" si="17"/>
        <v/>
      </c>
      <c r="E92" s="866" t="e">
        <f t="shared" si="10"/>
        <v>#VALUE!</v>
      </c>
      <c r="F92" s="865" t="e">
        <f t="shared" si="11"/>
        <v>#VALUE!</v>
      </c>
      <c r="G92" s="865" t="str">
        <f t="shared" si="15"/>
        <v/>
      </c>
      <c r="H92" s="865" t="str">
        <f t="shared" si="16"/>
        <v/>
      </c>
      <c r="I92" s="865" t="e">
        <f t="shared" si="12"/>
        <v>#VALUE!</v>
      </c>
      <c r="J92" s="865">
        <f>SUM($H$19:$H92)</f>
        <v>0</v>
      </c>
    </row>
    <row r="93" spans="1:10">
      <c r="A93" s="863" t="str">
        <f t="shared" si="13"/>
        <v/>
      </c>
      <c r="B93" s="864" t="str">
        <f t="shared" si="9"/>
        <v/>
      </c>
      <c r="C93" s="865" t="str">
        <f t="shared" si="14"/>
        <v/>
      </c>
      <c r="D93" s="865" t="str">
        <f t="shared" si="17"/>
        <v/>
      </c>
      <c r="E93" s="866" t="e">
        <f t="shared" si="10"/>
        <v>#VALUE!</v>
      </c>
      <c r="F93" s="865" t="e">
        <f t="shared" si="11"/>
        <v>#VALUE!</v>
      </c>
      <c r="G93" s="865" t="str">
        <f t="shared" si="15"/>
        <v/>
      </c>
      <c r="H93" s="865" t="str">
        <f t="shared" si="16"/>
        <v/>
      </c>
      <c r="I93" s="865" t="e">
        <f t="shared" si="12"/>
        <v>#VALUE!</v>
      </c>
      <c r="J93" s="865">
        <f>SUM($H$19:$H93)</f>
        <v>0</v>
      </c>
    </row>
    <row r="94" spans="1:10">
      <c r="A94" s="863" t="str">
        <f t="shared" si="13"/>
        <v/>
      </c>
      <c r="B94" s="864" t="str">
        <f t="shared" si="9"/>
        <v/>
      </c>
      <c r="C94" s="865" t="str">
        <f t="shared" si="14"/>
        <v/>
      </c>
      <c r="D94" s="865" t="str">
        <f t="shared" si="17"/>
        <v/>
      </c>
      <c r="E94" s="866" t="e">
        <f t="shared" si="10"/>
        <v>#VALUE!</v>
      </c>
      <c r="F94" s="865" t="e">
        <f t="shared" si="11"/>
        <v>#VALUE!</v>
      </c>
      <c r="G94" s="865" t="str">
        <f t="shared" si="15"/>
        <v/>
      </c>
      <c r="H94" s="865" t="str">
        <f t="shared" si="16"/>
        <v/>
      </c>
      <c r="I94" s="865" t="e">
        <f t="shared" si="12"/>
        <v>#VALUE!</v>
      </c>
      <c r="J94" s="865">
        <f>SUM($H$19:$H94)</f>
        <v>0</v>
      </c>
    </row>
    <row r="95" spans="1:10">
      <c r="A95" s="863" t="str">
        <f t="shared" si="13"/>
        <v/>
      </c>
      <c r="B95" s="864" t="str">
        <f t="shared" si="9"/>
        <v/>
      </c>
      <c r="C95" s="865" t="str">
        <f t="shared" si="14"/>
        <v/>
      </c>
      <c r="D95" s="865" t="str">
        <f t="shared" si="17"/>
        <v/>
      </c>
      <c r="E95" s="866" t="e">
        <f t="shared" si="10"/>
        <v>#VALUE!</v>
      </c>
      <c r="F95" s="865" t="e">
        <f t="shared" si="11"/>
        <v>#VALUE!</v>
      </c>
      <c r="G95" s="865" t="str">
        <f t="shared" si="15"/>
        <v/>
      </c>
      <c r="H95" s="865" t="str">
        <f t="shared" si="16"/>
        <v/>
      </c>
      <c r="I95" s="865" t="e">
        <f t="shared" si="12"/>
        <v>#VALUE!</v>
      </c>
      <c r="J95" s="865">
        <f>SUM($H$19:$H95)</f>
        <v>0</v>
      </c>
    </row>
    <row r="96" spans="1:10">
      <c r="A96" s="863" t="str">
        <f t="shared" si="13"/>
        <v/>
      </c>
      <c r="B96" s="864" t="str">
        <f t="shared" si="9"/>
        <v/>
      </c>
      <c r="C96" s="865" t="str">
        <f t="shared" si="14"/>
        <v/>
      </c>
      <c r="D96" s="865" t="str">
        <f t="shared" si="17"/>
        <v/>
      </c>
      <c r="E96" s="866" t="e">
        <f t="shared" si="10"/>
        <v>#VALUE!</v>
      </c>
      <c r="F96" s="865" t="e">
        <f t="shared" si="11"/>
        <v>#VALUE!</v>
      </c>
      <c r="G96" s="865" t="str">
        <f t="shared" si="15"/>
        <v/>
      </c>
      <c r="H96" s="865" t="str">
        <f t="shared" si="16"/>
        <v/>
      </c>
      <c r="I96" s="865" t="e">
        <f t="shared" si="12"/>
        <v>#VALUE!</v>
      </c>
      <c r="J96" s="865">
        <f>SUM($H$19:$H96)</f>
        <v>0</v>
      </c>
    </row>
    <row r="97" spans="1:10">
      <c r="A97" s="863" t="str">
        <f t="shared" si="13"/>
        <v/>
      </c>
      <c r="B97" s="864" t="str">
        <f t="shared" si="9"/>
        <v/>
      </c>
      <c r="C97" s="865" t="str">
        <f t="shared" si="14"/>
        <v/>
      </c>
      <c r="D97" s="865" t="str">
        <f t="shared" si="17"/>
        <v/>
      </c>
      <c r="E97" s="866" t="e">
        <f t="shared" si="10"/>
        <v>#VALUE!</v>
      </c>
      <c r="F97" s="865" t="e">
        <f t="shared" si="11"/>
        <v>#VALUE!</v>
      </c>
      <c r="G97" s="865" t="str">
        <f t="shared" si="15"/>
        <v/>
      </c>
      <c r="H97" s="865" t="str">
        <f t="shared" si="16"/>
        <v/>
      </c>
      <c r="I97" s="865" t="e">
        <f t="shared" si="12"/>
        <v>#VALUE!</v>
      </c>
      <c r="J97" s="865">
        <f>SUM($H$19:$H97)</f>
        <v>0</v>
      </c>
    </row>
    <row r="98" spans="1:10">
      <c r="A98" s="863" t="str">
        <f t="shared" si="13"/>
        <v/>
      </c>
      <c r="B98" s="864" t="str">
        <f t="shared" si="9"/>
        <v/>
      </c>
      <c r="C98" s="865" t="str">
        <f t="shared" si="14"/>
        <v/>
      </c>
      <c r="D98" s="865" t="str">
        <f t="shared" si="17"/>
        <v/>
      </c>
      <c r="E98" s="866" t="e">
        <f t="shared" si="10"/>
        <v>#VALUE!</v>
      </c>
      <c r="F98" s="865" t="e">
        <f t="shared" si="11"/>
        <v>#VALUE!</v>
      </c>
      <c r="G98" s="865" t="str">
        <f t="shared" si="15"/>
        <v/>
      </c>
      <c r="H98" s="865" t="str">
        <f t="shared" si="16"/>
        <v/>
      </c>
      <c r="I98" s="865" t="e">
        <f t="shared" si="12"/>
        <v>#VALUE!</v>
      </c>
      <c r="J98" s="865">
        <f>SUM($H$19:$H98)</f>
        <v>0</v>
      </c>
    </row>
    <row r="99" spans="1:10">
      <c r="A99" s="863" t="str">
        <f t="shared" si="13"/>
        <v/>
      </c>
      <c r="B99" s="864" t="str">
        <f t="shared" si="9"/>
        <v/>
      </c>
      <c r="C99" s="865" t="str">
        <f t="shared" si="14"/>
        <v/>
      </c>
      <c r="D99" s="865" t="str">
        <f t="shared" si="17"/>
        <v/>
      </c>
      <c r="E99" s="866" t="e">
        <f t="shared" si="10"/>
        <v>#VALUE!</v>
      </c>
      <c r="F99" s="865" t="e">
        <f t="shared" si="11"/>
        <v>#VALUE!</v>
      </c>
      <c r="G99" s="865" t="str">
        <f t="shared" si="15"/>
        <v/>
      </c>
      <c r="H99" s="865" t="str">
        <f t="shared" si="16"/>
        <v/>
      </c>
      <c r="I99" s="865" t="e">
        <f t="shared" si="12"/>
        <v>#VALUE!</v>
      </c>
      <c r="J99" s="865">
        <f>SUM($H$19:$H99)</f>
        <v>0</v>
      </c>
    </row>
    <row r="100" spans="1:10">
      <c r="A100" s="863" t="str">
        <f t="shared" si="13"/>
        <v/>
      </c>
      <c r="B100" s="864" t="str">
        <f t="shared" si="9"/>
        <v/>
      </c>
      <c r="C100" s="865" t="str">
        <f t="shared" si="14"/>
        <v/>
      </c>
      <c r="D100" s="865" t="str">
        <f t="shared" si="17"/>
        <v/>
      </c>
      <c r="E100" s="866" t="e">
        <f t="shared" si="10"/>
        <v>#VALUE!</v>
      </c>
      <c r="F100" s="865" t="e">
        <f t="shared" si="11"/>
        <v>#VALUE!</v>
      </c>
      <c r="G100" s="865" t="str">
        <f t="shared" si="15"/>
        <v/>
      </c>
      <c r="H100" s="865" t="str">
        <f t="shared" si="16"/>
        <v/>
      </c>
      <c r="I100" s="865" t="e">
        <f t="shared" si="12"/>
        <v>#VALUE!</v>
      </c>
      <c r="J100" s="865">
        <f>SUM($H$19:$H100)</f>
        <v>0</v>
      </c>
    </row>
    <row r="101" spans="1:10">
      <c r="A101" s="863" t="str">
        <f t="shared" si="13"/>
        <v/>
      </c>
      <c r="B101" s="864" t="str">
        <f t="shared" si="9"/>
        <v/>
      </c>
      <c r="C101" s="865" t="str">
        <f t="shared" si="14"/>
        <v/>
      </c>
      <c r="D101" s="865" t="str">
        <f t="shared" si="17"/>
        <v/>
      </c>
      <c r="E101" s="866" t="e">
        <f t="shared" si="10"/>
        <v>#VALUE!</v>
      </c>
      <c r="F101" s="865" t="e">
        <f t="shared" si="11"/>
        <v>#VALUE!</v>
      </c>
      <c r="G101" s="865" t="str">
        <f t="shared" si="15"/>
        <v/>
      </c>
      <c r="H101" s="865" t="str">
        <f t="shared" si="16"/>
        <v/>
      </c>
      <c r="I101" s="865" t="e">
        <f t="shared" si="12"/>
        <v>#VALUE!</v>
      </c>
      <c r="J101" s="865">
        <f>SUM($H$19:$H101)</f>
        <v>0</v>
      </c>
    </row>
    <row r="102" spans="1:10">
      <c r="A102" s="863" t="str">
        <f t="shared" si="13"/>
        <v/>
      </c>
      <c r="B102" s="864" t="str">
        <f t="shared" si="9"/>
        <v/>
      </c>
      <c r="C102" s="865" t="str">
        <f t="shared" si="14"/>
        <v/>
      </c>
      <c r="D102" s="865" t="str">
        <f t="shared" si="17"/>
        <v/>
      </c>
      <c r="E102" s="866" t="e">
        <f t="shared" si="10"/>
        <v>#VALUE!</v>
      </c>
      <c r="F102" s="865" t="e">
        <f t="shared" si="11"/>
        <v>#VALUE!</v>
      </c>
      <c r="G102" s="865" t="str">
        <f t="shared" si="15"/>
        <v/>
      </c>
      <c r="H102" s="865" t="str">
        <f t="shared" si="16"/>
        <v/>
      </c>
      <c r="I102" s="865" t="e">
        <f t="shared" si="12"/>
        <v>#VALUE!</v>
      </c>
      <c r="J102" s="865">
        <f>SUM($H$19:$H102)</f>
        <v>0</v>
      </c>
    </row>
    <row r="103" spans="1:10">
      <c r="A103" s="863" t="str">
        <f t="shared" si="13"/>
        <v/>
      </c>
      <c r="B103" s="864" t="str">
        <f t="shared" si="9"/>
        <v/>
      </c>
      <c r="C103" s="865" t="str">
        <f t="shared" si="14"/>
        <v/>
      </c>
      <c r="D103" s="865" t="str">
        <f t="shared" si="17"/>
        <v/>
      </c>
      <c r="E103" s="866" t="e">
        <f t="shared" si="10"/>
        <v>#VALUE!</v>
      </c>
      <c r="F103" s="865" t="e">
        <f t="shared" si="11"/>
        <v>#VALUE!</v>
      </c>
      <c r="G103" s="865" t="str">
        <f t="shared" si="15"/>
        <v/>
      </c>
      <c r="H103" s="865" t="str">
        <f t="shared" si="16"/>
        <v/>
      </c>
      <c r="I103" s="865" t="e">
        <f t="shared" si="12"/>
        <v>#VALUE!</v>
      </c>
      <c r="J103" s="865">
        <f>SUM($H$19:$H103)</f>
        <v>0</v>
      </c>
    </row>
    <row r="104" spans="1:10">
      <c r="A104" s="863" t="str">
        <f t="shared" si="13"/>
        <v/>
      </c>
      <c r="B104" s="864" t="str">
        <f t="shared" si="9"/>
        <v/>
      </c>
      <c r="C104" s="865" t="str">
        <f t="shared" si="14"/>
        <v/>
      </c>
      <c r="D104" s="865" t="str">
        <f t="shared" si="17"/>
        <v/>
      </c>
      <c r="E104" s="866" t="e">
        <f t="shared" si="10"/>
        <v>#VALUE!</v>
      </c>
      <c r="F104" s="865" t="e">
        <f t="shared" si="11"/>
        <v>#VALUE!</v>
      </c>
      <c r="G104" s="865" t="str">
        <f t="shared" si="15"/>
        <v/>
      </c>
      <c r="H104" s="865" t="str">
        <f t="shared" si="16"/>
        <v/>
      </c>
      <c r="I104" s="865" t="e">
        <f t="shared" si="12"/>
        <v>#VALUE!</v>
      </c>
      <c r="J104" s="865">
        <f>SUM($H$19:$H104)</f>
        <v>0</v>
      </c>
    </row>
    <row r="105" spans="1:10">
      <c r="A105" s="863" t="str">
        <f t="shared" si="13"/>
        <v/>
      </c>
      <c r="B105" s="864" t="str">
        <f t="shared" si="9"/>
        <v/>
      </c>
      <c r="C105" s="865" t="str">
        <f t="shared" si="14"/>
        <v/>
      </c>
      <c r="D105" s="865" t="str">
        <f t="shared" si="17"/>
        <v/>
      </c>
      <c r="E105" s="866" t="e">
        <f t="shared" si="10"/>
        <v>#VALUE!</v>
      </c>
      <c r="F105" s="865" t="e">
        <f t="shared" si="11"/>
        <v>#VALUE!</v>
      </c>
      <c r="G105" s="865" t="str">
        <f t="shared" si="15"/>
        <v/>
      </c>
      <c r="H105" s="865" t="str">
        <f t="shared" si="16"/>
        <v/>
      </c>
      <c r="I105" s="865" t="e">
        <f t="shared" si="12"/>
        <v>#VALUE!</v>
      </c>
      <c r="J105" s="865">
        <f>SUM($H$19:$H105)</f>
        <v>0</v>
      </c>
    </row>
    <row r="106" spans="1:10">
      <c r="A106" s="863" t="str">
        <f t="shared" si="13"/>
        <v/>
      </c>
      <c r="B106" s="864" t="str">
        <f t="shared" si="9"/>
        <v/>
      </c>
      <c r="C106" s="865" t="str">
        <f t="shared" si="14"/>
        <v/>
      </c>
      <c r="D106" s="865" t="str">
        <f t="shared" si="17"/>
        <v/>
      </c>
      <c r="E106" s="866" t="e">
        <f t="shared" si="10"/>
        <v>#VALUE!</v>
      </c>
      <c r="F106" s="865" t="e">
        <f t="shared" si="11"/>
        <v>#VALUE!</v>
      </c>
      <c r="G106" s="865" t="str">
        <f t="shared" si="15"/>
        <v/>
      </c>
      <c r="H106" s="865" t="str">
        <f t="shared" si="16"/>
        <v/>
      </c>
      <c r="I106" s="865" t="e">
        <f t="shared" si="12"/>
        <v>#VALUE!</v>
      </c>
      <c r="J106" s="865">
        <f>SUM($H$19:$H106)</f>
        <v>0</v>
      </c>
    </row>
    <row r="107" spans="1:10">
      <c r="A107" s="863" t="str">
        <f t="shared" si="13"/>
        <v/>
      </c>
      <c r="B107" s="864" t="str">
        <f t="shared" si="9"/>
        <v/>
      </c>
      <c r="C107" s="865" t="str">
        <f t="shared" si="14"/>
        <v/>
      </c>
      <c r="D107" s="865" t="str">
        <f t="shared" si="17"/>
        <v/>
      </c>
      <c r="E107" s="866" t="e">
        <f t="shared" si="10"/>
        <v>#VALUE!</v>
      </c>
      <c r="F107" s="865" t="e">
        <f t="shared" si="11"/>
        <v>#VALUE!</v>
      </c>
      <c r="G107" s="865" t="str">
        <f t="shared" si="15"/>
        <v/>
      </c>
      <c r="H107" s="865" t="str">
        <f t="shared" si="16"/>
        <v/>
      </c>
      <c r="I107" s="865" t="e">
        <f t="shared" si="12"/>
        <v>#VALUE!</v>
      </c>
      <c r="J107" s="865">
        <f>SUM($H$19:$H107)</f>
        <v>0</v>
      </c>
    </row>
    <row r="108" spans="1:10">
      <c r="A108" s="863" t="str">
        <f t="shared" si="13"/>
        <v/>
      </c>
      <c r="B108" s="864" t="str">
        <f t="shared" si="9"/>
        <v/>
      </c>
      <c r="C108" s="865" t="str">
        <f t="shared" si="14"/>
        <v/>
      </c>
      <c r="D108" s="865" t="str">
        <f t="shared" si="17"/>
        <v/>
      </c>
      <c r="E108" s="866" t="e">
        <f t="shared" si="10"/>
        <v>#VALUE!</v>
      </c>
      <c r="F108" s="865" t="e">
        <f t="shared" si="11"/>
        <v>#VALUE!</v>
      </c>
      <c r="G108" s="865" t="str">
        <f t="shared" si="15"/>
        <v/>
      </c>
      <c r="H108" s="865" t="str">
        <f t="shared" si="16"/>
        <v/>
      </c>
      <c r="I108" s="865" t="e">
        <f t="shared" si="12"/>
        <v>#VALUE!</v>
      </c>
      <c r="J108" s="865">
        <f>SUM($H$19:$H108)</f>
        <v>0</v>
      </c>
    </row>
    <row r="109" spans="1:10">
      <c r="A109" s="863" t="str">
        <f t="shared" si="13"/>
        <v/>
      </c>
      <c r="B109" s="864" t="str">
        <f t="shared" si="9"/>
        <v/>
      </c>
      <c r="C109" s="865" t="str">
        <f t="shared" si="14"/>
        <v/>
      </c>
      <c r="D109" s="865" t="str">
        <f t="shared" si="17"/>
        <v/>
      </c>
      <c r="E109" s="866" t="e">
        <f t="shared" si="10"/>
        <v>#VALUE!</v>
      </c>
      <c r="F109" s="865" t="e">
        <f t="shared" si="11"/>
        <v>#VALUE!</v>
      </c>
      <c r="G109" s="865" t="str">
        <f t="shared" si="15"/>
        <v/>
      </c>
      <c r="H109" s="865" t="str">
        <f t="shared" si="16"/>
        <v/>
      </c>
      <c r="I109" s="865" t="e">
        <f t="shared" si="12"/>
        <v>#VALUE!</v>
      </c>
      <c r="J109" s="865">
        <f>SUM($H$19:$H109)</f>
        <v>0</v>
      </c>
    </row>
    <row r="110" spans="1:10">
      <c r="A110" s="863" t="str">
        <f t="shared" si="13"/>
        <v/>
      </c>
      <c r="B110" s="864" t="str">
        <f t="shared" si="9"/>
        <v/>
      </c>
      <c r="C110" s="865" t="str">
        <f t="shared" si="14"/>
        <v/>
      </c>
      <c r="D110" s="865" t="str">
        <f t="shared" si="17"/>
        <v/>
      </c>
      <c r="E110" s="866" t="e">
        <f t="shared" si="10"/>
        <v>#VALUE!</v>
      </c>
      <c r="F110" s="865" t="e">
        <f t="shared" si="11"/>
        <v>#VALUE!</v>
      </c>
      <c r="G110" s="865" t="str">
        <f t="shared" si="15"/>
        <v/>
      </c>
      <c r="H110" s="865" t="str">
        <f t="shared" si="16"/>
        <v/>
      </c>
      <c r="I110" s="865" t="e">
        <f t="shared" si="12"/>
        <v>#VALUE!</v>
      </c>
      <c r="J110" s="865">
        <f>SUM($H$19:$H110)</f>
        <v>0</v>
      </c>
    </row>
    <row r="111" spans="1:10">
      <c r="A111" s="863" t="str">
        <f t="shared" si="13"/>
        <v/>
      </c>
      <c r="B111" s="864" t="str">
        <f t="shared" si="9"/>
        <v/>
      </c>
      <c r="C111" s="865" t="str">
        <f t="shared" si="14"/>
        <v/>
      </c>
      <c r="D111" s="865" t="str">
        <f t="shared" si="17"/>
        <v/>
      </c>
      <c r="E111" s="866" t="e">
        <f t="shared" si="10"/>
        <v>#VALUE!</v>
      </c>
      <c r="F111" s="865" t="e">
        <f t="shared" si="11"/>
        <v>#VALUE!</v>
      </c>
      <c r="G111" s="865" t="str">
        <f t="shared" si="15"/>
        <v/>
      </c>
      <c r="H111" s="865" t="str">
        <f t="shared" si="16"/>
        <v/>
      </c>
      <c r="I111" s="865" t="e">
        <f t="shared" si="12"/>
        <v>#VALUE!</v>
      </c>
      <c r="J111" s="865">
        <f>SUM($H$19:$H111)</f>
        <v>0</v>
      </c>
    </row>
    <row r="112" spans="1:10">
      <c r="A112" s="863" t="str">
        <f t="shared" si="13"/>
        <v/>
      </c>
      <c r="B112" s="864" t="str">
        <f t="shared" si="9"/>
        <v/>
      </c>
      <c r="C112" s="865" t="str">
        <f t="shared" si="14"/>
        <v/>
      </c>
      <c r="D112" s="865" t="str">
        <f t="shared" si="17"/>
        <v/>
      </c>
      <c r="E112" s="866" t="e">
        <f t="shared" si="10"/>
        <v>#VALUE!</v>
      </c>
      <c r="F112" s="865" t="e">
        <f t="shared" si="11"/>
        <v>#VALUE!</v>
      </c>
      <c r="G112" s="865" t="str">
        <f t="shared" si="15"/>
        <v/>
      </c>
      <c r="H112" s="865" t="str">
        <f t="shared" si="16"/>
        <v/>
      </c>
      <c r="I112" s="865" t="e">
        <f t="shared" si="12"/>
        <v>#VALUE!</v>
      </c>
      <c r="J112" s="865">
        <f>SUM($H$19:$H112)</f>
        <v>0</v>
      </c>
    </row>
    <row r="113" spans="1:10">
      <c r="A113" s="863" t="str">
        <f t="shared" si="13"/>
        <v/>
      </c>
      <c r="B113" s="864" t="str">
        <f t="shared" si="9"/>
        <v/>
      </c>
      <c r="C113" s="865" t="str">
        <f t="shared" si="14"/>
        <v/>
      </c>
      <c r="D113" s="865" t="str">
        <f t="shared" si="17"/>
        <v/>
      </c>
      <c r="E113" s="866" t="e">
        <f t="shared" si="10"/>
        <v>#VALUE!</v>
      </c>
      <c r="F113" s="865" t="e">
        <f t="shared" si="11"/>
        <v>#VALUE!</v>
      </c>
      <c r="G113" s="865" t="str">
        <f t="shared" si="15"/>
        <v/>
      </c>
      <c r="H113" s="865" t="str">
        <f t="shared" si="16"/>
        <v/>
      </c>
      <c r="I113" s="865" t="e">
        <f t="shared" si="12"/>
        <v>#VALUE!</v>
      </c>
      <c r="J113" s="865">
        <f>SUM($H$19:$H113)</f>
        <v>0</v>
      </c>
    </row>
    <row r="114" spans="1:10">
      <c r="A114" s="863" t="str">
        <f t="shared" si="13"/>
        <v/>
      </c>
      <c r="B114" s="864" t="str">
        <f t="shared" si="9"/>
        <v/>
      </c>
      <c r="C114" s="865" t="str">
        <f t="shared" si="14"/>
        <v/>
      </c>
      <c r="D114" s="865" t="str">
        <f t="shared" si="17"/>
        <v/>
      </c>
      <c r="E114" s="866" t="e">
        <f t="shared" si="10"/>
        <v>#VALUE!</v>
      </c>
      <c r="F114" s="865" t="e">
        <f t="shared" si="11"/>
        <v>#VALUE!</v>
      </c>
      <c r="G114" s="865" t="str">
        <f t="shared" si="15"/>
        <v/>
      </c>
      <c r="H114" s="865" t="str">
        <f t="shared" si="16"/>
        <v/>
      </c>
      <c r="I114" s="865" t="e">
        <f t="shared" si="12"/>
        <v>#VALUE!</v>
      </c>
      <c r="J114" s="865">
        <f>SUM($H$19:$H114)</f>
        <v>0</v>
      </c>
    </row>
    <row r="115" spans="1:10">
      <c r="A115" s="863" t="str">
        <f t="shared" si="13"/>
        <v/>
      </c>
      <c r="B115" s="864" t="str">
        <f t="shared" si="9"/>
        <v/>
      </c>
      <c r="C115" s="865" t="str">
        <f t="shared" si="14"/>
        <v/>
      </c>
      <c r="D115" s="865" t="str">
        <f t="shared" si="17"/>
        <v/>
      </c>
      <c r="E115" s="866" t="e">
        <f t="shared" si="10"/>
        <v>#VALUE!</v>
      </c>
      <c r="F115" s="865" t="e">
        <f t="shared" si="11"/>
        <v>#VALUE!</v>
      </c>
      <c r="G115" s="865" t="str">
        <f t="shared" si="15"/>
        <v/>
      </c>
      <c r="H115" s="865" t="str">
        <f t="shared" si="16"/>
        <v/>
      </c>
      <c r="I115" s="865" t="e">
        <f t="shared" si="12"/>
        <v>#VALUE!</v>
      </c>
      <c r="J115" s="865">
        <f>SUM($H$19:$H115)</f>
        <v>0</v>
      </c>
    </row>
    <row r="116" spans="1:10">
      <c r="A116" s="863" t="str">
        <f t="shared" si="13"/>
        <v/>
      </c>
      <c r="B116" s="864" t="str">
        <f t="shared" si="9"/>
        <v/>
      </c>
      <c r="C116" s="865" t="str">
        <f t="shared" si="14"/>
        <v/>
      </c>
      <c r="D116" s="865" t="str">
        <f t="shared" si="17"/>
        <v/>
      </c>
      <c r="E116" s="866" t="e">
        <f t="shared" si="10"/>
        <v>#VALUE!</v>
      </c>
      <c r="F116" s="865" t="e">
        <f t="shared" si="11"/>
        <v>#VALUE!</v>
      </c>
      <c r="G116" s="865" t="str">
        <f t="shared" si="15"/>
        <v/>
      </c>
      <c r="H116" s="865" t="str">
        <f t="shared" si="16"/>
        <v/>
      </c>
      <c r="I116" s="865" t="e">
        <f t="shared" si="12"/>
        <v>#VALUE!</v>
      </c>
      <c r="J116" s="865">
        <f>SUM($H$19:$H116)</f>
        <v>0</v>
      </c>
    </row>
    <row r="117" spans="1:10">
      <c r="A117" s="863" t="str">
        <f t="shared" si="13"/>
        <v/>
      </c>
      <c r="B117" s="864" t="str">
        <f t="shared" si="9"/>
        <v/>
      </c>
      <c r="C117" s="865" t="str">
        <f t="shared" si="14"/>
        <v/>
      </c>
      <c r="D117" s="865" t="str">
        <f t="shared" si="17"/>
        <v/>
      </c>
      <c r="E117" s="866" t="e">
        <f t="shared" si="10"/>
        <v>#VALUE!</v>
      </c>
      <c r="F117" s="865" t="e">
        <f t="shared" si="11"/>
        <v>#VALUE!</v>
      </c>
      <c r="G117" s="865" t="str">
        <f t="shared" si="15"/>
        <v/>
      </c>
      <c r="H117" s="865" t="str">
        <f t="shared" si="16"/>
        <v/>
      </c>
      <c r="I117" s="865" t="e">
        <f t="shared" si="12"/>
        <v>#VALUE!</v>
      </c>
      <c r="J117" s="865">
        <f>SUM($H$19:$H117)</f>
        <v>0</v>
      </c>
    </row>
    <row r="118" spans="1:10">
      <c r="A118" s="863" t="str">
        <f t="shared" si="13"/>
        <v/>
      </c>
      <c r="B118" s="864" t="str">
        <f t="shared" si="9"/>
        <v/>
      </c>
      <c r="C118" s="865" t="str">
        <f t="shared" si="14"/>
        <v/>
      </c>
      <c r="D118" s="865" t="str">
        <f t="shared" si="17"/>
        <v/>
      </c>
      <c r="E118" s="866" t="e">
        <f t="shared" si="10"/>
        <v>#VALUE!</v>
      </c>
      <c r="F118" s="865" t="e">
        <f t="shared" si="11"/>
        <v>#VALUE!</v>
      </c>
      <c r="G118" s="865" t="str">
        <f t="shared" si="15"/>
        <v/>
      </c>
      <c r="H118" s="865" t="str">
        <f t="shared" si="16"/>
        <v/>
      </c>
      <c r="I118" s="865" t="e">
        <f t="shared" si="12"/>
        <v>#VALUE!</v>
      </c>
      <c r="J118" s="865">
        <f>SUM($H$19:$H118)</f>
        <v>0</v>
      </c>
    </row>
    <row r="119" spans="1:10">
      <c r="A119" s="863" t="str">
        <f t="shared" si="13"/>
        <v/>
      </c>
      <c r="B119" s="864" t="str">
        <f t="shared" si="9"/>
        <v/>
      </c>
      <c r="C119" s="865" t="str">
        <f t="shared" si="14"/>
        <v/>
      </c>
      <c r="D119" s="865" t="str">
        <f t="shared" si="17"/>
        <v/>
      </c>
      <c r="E119" s="866" t="e">
        <f t="shared" si="10"/>
        <v>#VALUE!</v>
      </c>
      <c r="F119" s="865" t="e">
        <f t="shared" si="11"/>
        <v>#VALUE!</v>
      </c>
      <c r="G119" s="865" t="str">
        <f t="shared" si="15"/>
        <v/>
      </c>
      <c r="H119" s="865" t="str">
        <f t="shared" si="16"/>
        <v/>
      </c>
      <c r="I119" s="865" t="e">
        <f t="shared" si="12"/>
        <v>#VALUE!</v>
      </c>
      <c r="J119" s="865">
        <f>SUM($H$19:$H119)</f>
        <v>0</v>
      </c>
    </row>
    <row r="120" spans="1:10">
      <c r="A120" s="863" t="str">
        <f t="shared" si="13"/>
        <v/>
      </c>
      <c r="B120" s="864" t="str">
        <f t="shared" si="9"/>
        <v/>
      </c>
      <c r="C120" s="865" t="str">
        <f t="shared" si="14"/>
        <v/>
      </c>
      <c r="D120" s="865" t="str">
        <f t="shared" si="17"/>
        <v/>
      </c>
      <c r="E120" s="866" t="e">
        <f t="shared" si="10"/>
        <v>#VALUE!</v>
      </c>
      <c r="F120" s="865" t="e">
        <f t="shared" si="11"/>
        <v>#VALUE!</v>
      </c>
      <c r="G120" s="865" t="str">
        <f t="shared" si="15"/>
        <v/>
      </c>
      <c r="H120" s="865" t="str">
        <f t="shared" si="16"/>
        <v/>
      </c>
      <c r="I120" s="865" t="e">
        <f t="shared" si="12"/>
        <v>#VALUE!</v>
      </c>
      <c r="J120" s="865">
        <f>SUM($H$19:$H120)</f>
        <v>0</v>
      </c>
    </row>
    <row r="121" spans="1:10">
      <c r="A121" s="863" t="str">
        <f t="shared" si="13"/>
        <v/>
      </c>
      <c r="B121" s="864" t="str">
        <f t="shared" si="9"/>
        <v/>
      </c>
      <c r="C121" s="865" t="str">
        <f t="shared" si="14"/>
        <v/>
      </c>
      <c r="D121" s="865" t="str">
        <f t="shared" si="17"/>
        <v/>
      </c>
      <c r="E121" s="866" t="e">
        <f t="shared" si="10"/>
        <v>#VALUE!</v>
      </c>
      <c r="F121" s="865" t="e">
        <f t="shared" si="11"/>
        <v>#VALUE!</v>
      </c>
      <c r="G121" s="865" t="str">
        <f t="shared" si="15"/>
        <v/>
      </c>
      <c r="H121" s="865" t="str">
        <f t="shared" si="16"/>
        <v/>
      </c>
      <c r="I121" s="865" t="e">
        <f t="shared" si="12"/>
        <v>#VALUE!</v>
      </c>
      <c r="J121" s="865">
        <f>SUM($H$19:$H121)</f>
        <v>0</v>
      </c>
    </row>
    <row r="122" spans="1:10">
      <c r="A122" s="863" t="str">
        <f t="shared" si="13"/>
        <v/>
      </c>
      <c r="B122" s="864" t="str">
        <f t="shared" si="9"/>
        <v/>
      </c>
      <c r="C122" s="865" t="str">
        <f t="shared" si="14"/>
        <v/>
      </c>
      <c r="D122" s="865" t="str">
        <f t="shared" si="17"/>
        <v/>
      </c>
      <c r="E122" s="866" t="e">
        <f t="shared" si="10"/>
        <v>#VALUE!</v>
      </c>
      <c r="F122" s="865" t="e">
        <f t="shared" si="11"/>
        <v>#VALUE!</v>
      </c>
      <c r="G122" s="865" t="str">
        <f t="shared" si="15"/>
        <v/>
      </c>
      <c r="H122" s="865" t="str">
        <f t="shared" si="16"/>
        <v/>
      </c>
      <c r="I122" s="865" t="e">
        <f t="shared" si="12"/>
        <v>#VALUE!</v>
      </c>
      <c r="J122" s="865">
        <f>SUM($H$19:$H122)</f>
        <v>0</v>
      </c>
    </row>
    <row r="123" spans="1:10">
      <c r="A123" s="863" t="str">
        <f t="shared" si="13"/>
        <v/>
      </c>
      <c r="B123" s="864" t="str">
        <f t="shared" si="9"/>
        <v/>
      </c>
      <c r="C123" s="865" t="str">
        <f t="shared" si="14"/>
        <v/>
      </c>
      <c r="D123" s="865" t="str">
        <f t="shared" si="17"/>
        <v/>
      </c>
      <c r="E123" s="866" t="e">
        <f t="shared" si="10"/>
        <v>#VALUE!</v>
      </c>
      <c r="F123" s="865" t="e">
        <f t="shared" si="11"/>
        <v>#VALUE!</v>
      </c>
      <c r="G123" s="865" t="str">
        <f t="shared" si="15"/>
        <v/>
      </c>
      <c r="H123" s="865" t="str">
        <f t="shared" si="16"/>
        <v/>
      </c>
      <c r="I123" s="865" t="e">
        <f t="shared" si="12"/>
        <v>#VALUE!</v>
      </c>
      <c r="J123" s="865">
        <f>SUM($H$19:$H123)</f>
        <v>0</v>
      </c>
    </row>
    <row r="124" spans="1:10">
      <c r="A124" s="863" t="str">
        <f t="shared" si="13"/>
        <v/>
      </c>
      <c r="B124" s="864" t="str">
        <f t="shared" si="9"/>
        <v/>
      </c>
      <c r="C124" s="865" t="str">
        <f t="shared" si="14"/>
        <v/>
      </c>
      <c r="D124" s="865" t="str">
        <f t="shared" si="17"/>
        <v/>
      </c>
      <c r="E124" s="866" t="e">
        <f t="shared" si="10"/>
        <v>#VALUE!</v>
      </c>
      <c r="F124" s="865" t="e">
        <f t="shared" si="11"/>
        <v>#VALUE!</v>
      </c>
      <c r="G124" s="865" t="str">
        <f t="shared" si="15"/>
        <v/>
      </c>
      <c r="H124" s="865" t="str">
        <f t="shared" si="16"/>
        <v/>
      </c>
      <c r="I124" s="865" t="e">
        <f t="shared" si="12"/>
        <v>#VALUE!</v>
      </c>
      <c r="J124" s="865">
        <f>SUM($H$19:$H124)</f>
        <v>0</v>
      </c>
    </row>
    <row r="125" spans="1:10">
      <c r="A125" s="863" t="str">
        <f t="shared" si="13"/>
        <v/>
      </c>
      <c r="B125" s="864" t="str">
        <f t="shared" si="9"/>
        <v/>
      </c>
      <c r="C125" s="865" t="str">
        <f t="shared" si="14"/>
        <v/>
      </c>
      <c r="D125" s="865" t="str">
        <f t="shared" si="17"/>
        <v/>
      </c>
      <c r="E125" s="866" t="e">
        <f t="shared" si="10"/>
        <v>#VALUE!</v>
      </c>
      <c r="F125" s="865" t="e">
        <f t="shared" si="11"/>
        <v>#VALUE!</v>
      </c>
      <c r="G125" s="865" t="str">
        <f t="shared" si="15"/>
        <v/>
      </c>
      <c r="H125" s="865" t="str">
        <f t="shared" si="16"/>
        <v/>
      </c>
      <c r="I125" s="865" t="e">
        <f t="shared" si="12"/>
        <v>#VALUE!</v>
      </c>
      <c r="J125" s="865">
        <f>SUM($H$19:$H125)</f>
        <v>0</v>
      </c>
    </row>
    <row r="126" spans="1:10">
      <c r="A126" s="863" t="str">
        <f t="shared" si="13"/>
        <v/>
      </c>
      <c r="B126" s="864" t="str">
        <f t="shared" si="9"/>
        <v/>
      </c>
      <c r="C126" s="865" t="str">
        <f t="shared" si="14"/>
        <v/>
      </c>
      <c r="D126" s="865" t="str">
        <f t="shared" si="17"/>
        <v/>
      </c>
      <c r="E126" s="866" t="e">
        <f t="shared" si="10"/>
        <v>#VALUE!</v>
      </c>
      <c r="F126" s="865" t="e">
        <f t="shared" si="11"/>
        <v>#VALUE!</v>
      </c>
      <c r="G126" s="865" t="str">
        <f t="shared" si="15"/>
        <v/>
      </c>
      <c r="H126" s="865" t="str">
        <f t="shared" si="16"/>
        <v/>
      </c>
      <c r="I126" s="865" t="e">
        <f t="shared" si="12"/>
        <v>#VALUE!</v>
      </c>
      <c r="J126" s="865">
        <f>SUM($H$19:$H126)</f>
        <v>0</v>
      </c>
    </row>
    <row r="127" spans="1:10">
      <c r="A127" s="863" t="str">
        <f t="shared" si="13"/>
        <v/>
      </c>
      <c r="B127" s="864" t="str">
        <f t="shared" si="9"/>
        <v/>
      </c>
      <c r="C127" s="865" t="str">
        <f t="shared" si="14"/>
        <v/>
      </c>
      <c r="D127" s="865" t="str">
        <f t="shared" si="17"/>
        <v/>
      </c>
      <c r="E127" s="866" t="e">
        <f t="shared" si="10"/>
        <v>#VALUE!</v>
      </c>
      <c r="F127" s="865" t="e">
        <f t="shared" si="11"/>
        <v>#VALUE!</v>
      </c>
      <c r="G127" s="865" t="str">
        <f t="shared" si="15"/>
        <v/>
      </c>
      <c r="H127" s="865" t="str">
        <f t="shared" si="16"/>
        <v/>
      </c>
      <c r="I127" s="865" t="e">
        <f t="shared" si="12"/>
        <v>#VALUE!</v>
      </c>
      <c r="J127" s="865">
        <f>SUM($H$19:$H127)</f>
        <v>0</v>
      </c>
    </row>
    <row r="128" spans="1:10">
      <c r="A128" s="863" t="str">
        <f t="shared" si="13"/>
        <v/>
      </c>
      <c r="B128" s="864" t="str">
        <f t="shared" si="9"/>
        <v/>
      </c>
      <c r="C128" s="865" t="str">
        <f t="shared" si="14"/>
        <v/>
      </c>
      <c r="D128" s="865" t="str">
        <f t="shared" si="17"/>
        <v/>
      </c>
      <c r="E128" s="866" t="e">
        <f t="shared" si="10"/>
        <v>#VALUE!</v>
      </c>
      <c r="F128" s="865" t="e">
        <f t="shared" si="11"/>
        <v>#VALUE!</v>
      </c>
      <c r="G128" s="865" t="str">
        <f t="shared" si="15"/>
        <v/>
      </c>
      <c r="H128" s="865" t="str">
        <f t="shared" si="16"/>
        <v/>
      </c>
      <c r="I128" s="865" t="e">
        <f t="shared" si="12"/>
        <v>#VALUE!</v>
      </c>
      <c r="J128" s="865">
        <f>SUM($H$19:$H128)</f>
        <v>0</v>
      </c>
    </row>
    <row r="129" spans="1:10">
      <c r="A129" s="863" t="str">
        <f t="shared" si="13"/>
        <v/>
      </c>
      <c r="B129" s="864" t="str">
        <f t="shared" si="9"/>
        <v/>
      </c>
      <c r="C129" s="865" t="str">
        <f t="shared" si="14"/>
        <v/>
      </c>
      <c r="D129" s="865" t="str">
        <f t="shared" si="17"/>
        <v/>
      </c>
      <c r="E129" s="866" t="e">
        <f t="shared" si="10"/>
        <v>#VALUE!</v>
      </c>
      <c r="F129" s="865" t="e">
        <f t="shared" si="11"/>
        <v>#VALUE!</v>
      </c>
      <c r="G129" s="865" t="str">
        <f t="shared" si="15"/>
        <v/>
      </c>
      <c r="H129" s="865" t="str">
        <f t="shared" si="16"/>
        <v/>
      </c>
      <c r="I129" s="865" t="e">
        <f t="shared" si="12"/>
        <v>#VALUE!</v>
      </c>
      <c r="J129" s="865">
        <f>SUM($H$19:$H129)</f>
        <v>0</v>
      </c>
    </row>
    <row r="130" spans="1:10">
      <c r="A130" s="863" t="str">
        <f t="shared" si="13"/>
        <v/>
      </c>
      <c r="B130" s="864" t="str">
        <f t="shared" si="9"/>
        <v/>
      </c>
      <c r="C130" s="865" t="str">
        <f t="shared" si="14"/>
        <v/>
      </c>
      <c r="D130" s="865" t="str">
        <f t="shared" si="17"/>
        <v/>
      </c>
      <c r="E130" s="866" t="e">
        <f t="shared" si="10"/>
        <v>#VALUE!</v>
      </c>
      <c r="F130" s="865" t="e">
        <f t="shared" si="11"/>
        <v>#VALUE!</v>
      </c>
      <c r="G130" s="865" t="str">
        <f t="shared" si="15"/>
        <v/>
      </c>
      <c r="H130" s="865" t="str">
        <f t="shared" si="16"/>
        <v/>
      </c>
      <c r="I130" s="865" t="e">
        <f t="shared" si="12"/>
        <v>#VALUE!</v>
      </c>
      <c r="J130" s="865">
        <f>SUM($H$19:$H130)</f>
        <v>0</v>
      </c>
    </row>
    <row r="131" spans="1:10">
      <c r="A131" s="863" t="str">
        <f t="shared" si="13"/>
        <v/>
      </c>
      <c r="B131" s="864" t="str">
        <f t="shared" si="9"/>
        <v/>
      </c>
      <c r="C131" s="865" t="str">
        <f t="shared" si="14"/>
        <v/>
      </c>
      <c r="D131" s="865" t="str">
        <f t="shared" si="17"/>
        <v/>
      </c>
      <c r="E131" s="866" t="e">
        <f t="shared" si="10"/>
        <v>#VALUE!</v>
      </c>
      <c r="F131" s="865" t="e">
        <f t="shared" si="11"/>
        <v>#VALUE!</v>
      </c>
      <c r="G131" s="865" t="str">
        <f t="shared" si="15"/>
        <v/>
      </c>
      <c r="H131" s="865" t="str">
        <f t="shared" si="16"/>
        <v/>
      </c>
      <c r="I131" s="865" t="e">
        <f t="shared" si="12"/>
        <v>#VALUE!</v>
      </c>
      <c r="J131" s="865">
        <f>SUM($H$19:$H131)</f>
        <v>0</v>
      </c>
    </row>
    <row r="132" spans="1:10">
      <c r="A132" s="863" t="str">
        <f t="shared" si="13"/>
        <v/>
      </c>
      <c r="B132" s="864" t="str">
        <f t="shared" si="9"/>
        <v/>
      </c>
      <c r="C132" s="865" t="str">
        <f t="shared" si="14"/>
        <v/>
      </c>
      <c r="D132" s="865" t="str">
        <f t="shared" si="17"/>
        <v/>
      </c>
      <c r="E132" s="866" t="e">
        <f t="shared" si="10"/>
        <v>#VALUE!</v>
      </c>
      <c r="F132" s="865" t="e">
        <f t="shared" si="11"/>
        <v>#VALUE!</v>
      </c>
      <c r="G132" s="865" t="str">
        <f t="shared" si="15"/>
        <v/>
      </c>
      <c r="H132" s="865" t="str">
        <f t="shared" si="16"/>
        <v/>
      </c>
      <c r="I132" s="865" t="e">
        <f t="shared" si="12"/>
        <v>#VALUE!</v>
      </c>
      <c r="J132" s="865">
        <f>SUM($H$19:$H132)</f>
        <v>0</v>
      </c>
    </row>
    <row r="133" spans="1:10">
      <c r="A133" s="863" t="str">
        <f t="shared" si="13"/>
        <v/>
      </c>
      <c r="B133" s="864" t="str">
        <f t="shared" si="9"/>
        <v/>
      </c>
      <c r="C133" s="865" t="str">
        <f t="shared" si="14"/>
        <v/>
      </c>
      <c r="D133" s="865" t="str">
        <f t="shared" si="17"/>
        <v/>
      </c>
      <c r="E133" s="866" t="e">
        <f t="shared" si="10"/>
        <v>#VALUE!</v>
      </c>
      <c r="F133" s="865" t="e">
        <f t="shared" si="11"/>
        <v>#VALUE!</v>
      </c>
      <c r="G133" s="865" t="str">
        <f t="shared" si="15"/>
        <v/>
      </c>
      <c r="H133" s="865" t="str">
        <f t="shared" si="16"/>
        <v/>
      </c>
      <c r="I133" s="865" t="e">
        <f t="shared" si="12"/>
        <v>#VALUE!</v>
      </c>
      <c r="J133" s="865">
        <f>SUM($H$19:$H133)</f>
        <v>0</v>
      </c>
    </row>
    <row r="134" spans="1:10">
      <c r="A134" s="863" t="str">
        <f t="shared" si="13"/>
        <v/>
      </c>
      <c r="B134" s="864" t="str">
        <f t="shared" si="9"/>
        <v/>
      </c>
      <c r="C134" s="865" t="str">
        <f t="shared" si="14"/>
        <v/>
      </c>
      <c r="D134" s="865" t="str">
        <f t="shared" si="17"/>
        <v/>
      </c>
      <c r="E134" s="866" t="e">
        <f t="shared" si="10"/>
        <v>#VALUE!</v>
      </c>
      <c r="F134" s="865" t="e">
        <f t="shared" si="11"/>
        <v>#VALUE!</v>
      </c>
      <c r="G134" s="865" t="str">
        <f t="shared" si="15"/>
        <v/>
      </c>
      <c r="H134" s="865" t="str">
        <f t="shared" si="16"/>
        <v/>
      </c>
      <c r="I134" s="865" t="e">
        <f t="shared" si="12"/>
        <v>#VALUE!</v>
      </c>
      <c r="J134" s="865">
        <f>SUM($H$19:$H134)</f>
        <v>0</v>
      </c>
    </row>
    <row r="135" spans="1:10">
      <c r="A135" s="863" t="str">
        <f t="shared" si="13"/>
        <v/>
      </c>
      <c r="B135" s="864" t="str">
        <f t="shared" si="9"/>
        <v/>
      </c>
      <c r="C135" s="865" t="str">
        <f t="shared" si="14"/>
        <v/>
      </c>
      <c r="D135" s="865" t="str">
        <f t="shared" si="17"/>
        <v/>
      </c>
      <c r="E135" s="866" t="e">
        <f t="shared" si="10"/>
        <v>#VALUE!</v>
      </c>
      <c r="F135" s="865" t="e">
        <f t="shared" si="11"/>
        <v>#VALUE!</v>
      </c>
      <c r="G135" s="865" t="str">
        <f t="shared" si="15"/>
        <v/>
      </c>
      <c r="H135" s="865" t="str">
        <f t="shared" si="16"/>
        <v/>
      </c>
      <c r="I135" s="865" t="e">
        <f t="shared" si="12"/>
        <v>#VALUE!</v>
      </c>
      <c r="J135" s="865">
        <f>SUM($H$19:$H135)</f>
        <v>0</v>
      </c>
    </row>
    <row r="136" spans="1:10">
      <c r="A136" s="863" t="str">
        <f t="shared" si="13"/>
        <v/>
      </c>
      <c r="B136" s="864" t="str">
        <f t="shared" si="9"/>
        <v/>
      </c>
      <c r="C136" s="865" t="str">
        <f t="shared" si="14"/>
        <v/>
      </c>
      <c r="D136" s="865" t="str">
        <f t="shared" si="17"/>
        <v/>
      </c>
      <c r="E136" s="866" t="e">
        <f t="shared" si="10"/>
        <v>#VALUE!</v>
      </c>
      <c r="F136" s="865" t="e">
        <f t="shared" si="11"/>
        <v>#VALUE!</v>
      </c>
      <c r="G136" s="865" t="str">
        <f t="shared" si="15"/>
        <v/>
      </c>
      <c r="H136" s="865" t="str">
        <f t="shared" si="16"/>
        <v/>
      </c>
      <c r="I136" s="865" t="e">
        <f t="shared" si="12"/>
        <v>#VALUE!</v>
      </c>
      <c r="J136" s="865">
        <f>SUM($H$19:$H136)</f>
        <v>0</v>
      </c>
    </row>
    <row r="137" spans="1:10">
      <c r="A137" s="863" t="str">
        <f t="shared" si="13"/>
        <v/>
      </c>
      <c r="B137" s="864" t="str">
        <f t="shared" si="9"/>
        <v/>
      </c>
      <c r="C137" s="865" t="str">
        <f t="shared" si="14"/>
        <v/>
      </c>
      <c r="D137" s="865" t="str">
        <f t="shared" si="17"/>
        <v/>
      </c>
      <c r="E137" s="866" t="e">
        <f t="shared" si="10"/>
        <v>#VALUE!</v>
      </c>
      <c r="F137" s="865" t="e">
        <f t="shared" si="11"/>
        <v>#VALUE!</v>
      </c>
      <c r="G137" s="865" t="str">
        <f t="shared" si="15"/>
        <v/>
      </c>
      <c r="H137" s="865" t="str">
        <f t="shared" si="16"/>
        <v/>
      </c>
      <c r="I137" s="865" t="e">
        <f t="shared" si="12"/>
        <v>#VALUE!</v>
      </c>
      <c r="J137" s="865">
        <f>SUM($H$19:$H137)</f>
        <v>0</v>
      </c>
    </row>
    <row r="138" spans="1:10">
      <c r="A138" s="863" t="str">
        <f t="shared" si="13"/>
        <v/>
      </c>
      <c r="B138" s="864" t="str">
        <f t="shared" si="9"/>
        <v/>
      </c>
      <c r="C138" s="865" t="str">
        <f t="shared" si="14"/>
        <v/>
      </c>
      <c r="D138" s="865" t="str">
        <f t="shared" si="17"/>
        <v/>
      </c>
      <c r="E138" s="866" t="e">
        <f t="shared" si="10"/>
        <v>#VALUE!</v>
      </c>
      <c r="F138" s="865" t="e">
        <f t="shared" si="11"/>
        <v>#VALUE!</v>
      </c>
      <c r="G138" s="865" t="str">
        <f t="shared" si="15"/>
        <v/>
      </c>
      <c r="H138" s="865" t="str">
        <f t="shared" si="16"/>
        <v/>
      </c>
      <c r="I138" s="865" t="e">
        <f t="shared" si="12"/>
        <v>#VALUE!</v>
      </c>
      <c r="J138" s="865">
        <f>SUM($H$19:$H138)</f>
        <v>0</v>
      </c>
    </row>
    <row r="139" spans="1:10">
      <c r="A139" s="863" t="str">
        <f t="shared" si="13"/>
        <v/>
      </c>
      <c r="B139" s="864" t="str">
        <f t="shared" si="9"/>
        <v/>
      </c>
      <c r="C139" s="865" t="str">
        <f t="shared" si="14"/>
        <v/>
      </c>
      <c r="D139" s="865" t="str">
        <f t="shared" si="17"/>
        <v/>
      </c>
      <c r="E139" s="866" t="e">
        <f t="shared" si="10"/>
        <v>#VALUE!</v>
      </c>
      <c r="F139" s="865" t="e">
        <f t="shared" si="11"/>
        <v>#VALUE!</v>
      </c>
      <c r="G139" s="865" t="str">
        <f t="shared" si="15"/>
        <v/>
      </c>
      <c r="H139" s="865" t="str">
        <f t="shared" si="16"/>
        <v/>
      </c>
      <c r="I139" s="865" t="e">
        <f t="shared" si="12"/>
        <v>#VALUE!</v>
      </c>
      <c r="J139" s="865">
        <f>SUM($H$19:$H139)</f>
        <v>0</v>
      </c>
    </row>
    <row r="140" spans="1:10">
      <c r="A140" s="863" t="str">
        <f t="shared" si="13"/>
        <v/>
      </c>
      <c r="B140" s="864" t="str">
        <f t="shared" si="9"/>
        <v/>
      </c>
      <c r="C140" s="865" t="str">
        <f t="shared" si="14"/>
        <v/>
      </c>
      <c r="D140" s="865" t="str">
        <f t="shared" si="17"/>
        <v/>
      </c>
      <c r="E140" s="866" t="e">
        <f t="shared" si="10"/>
        <v>#VALUE!</v>
      </c>
      <c r="F140" s="865" t="e">
        <f t="shared" si="11"/>
        <v>#VALUE!</v>
      </c>
      <c r="G140" s="865" t="str">
        <f t="shared" si="15"/>
        <v/>
      </c>
      <c r="H140" s="865" t="str">
        <f t="shared" si="16"/>
        <v/>
      </c>
      <c r="I140" s="865" t="e">
        <f t="shared" si="12"/>
        <v>#VALUE!</v>
      </c>
      <c r="J140" s="865">
        <f>SUM($H$19:$H140)</f>
        <v>0</v>
      </c>
    </row>
    <row r="141" spans="1:10">
      <c r="A141" s="863" t="str">
        <f t="shared" si="13"/>
        <v/>
      </c>
      <c r="B141" s="864" t="str">
        <f t="shared" si="9"/>
        <v/>
      </c>
      <c r="C141" s="865" t="str">
        <f t="shared" si="14"/>
        <v/>
      </c>
      <c r="D141" s="865" t="str">
        <f t="shared" si="17"/>
        <v/>
      </c>
      <c r="E141" s="866" t="e">
        <f t="shared" si="10"/>
        <v>#VALUE!</v>
      </c>
      <c r="F141" s="865" t="e">
        <f t="shared" si="11"/>
        <v>#VALUE!</v>
      </c>
      <c r="G141" s="865" t="str">
        <f t="shared" si="15"/>
        <v/>
      </c>
      <c r="H141" s="865" t="str">
        <f t="shared" si="16"/>
        <v/>
      </c>
      <c r="I141" s="865" t="e">
        <f t="shared" si="12"/>
        <v>#VALUE!</v>
      </c>
      <c r="J141" s="865">
        <f>SUM($H$19:$H141)</f>
        <v>0</v>
      </c>
    </row>
    <row r="142" spans="1:10">
      <c r="A142" s="863" t="str">
        <f t="shared" si="13"/>
        <v/>
      </c>
      <c r="B142" s="864" t="str">
        <f t="shared" si="9"/>
        <v/>
      </c>
      <c r="C142" s="865" t="str">
        <f t="shared" si="14"/>
        <v/>
      </c>
      <c r="D142" s="865" t="str">
        <f t="shared" si="17"/>
        <v/>
      </c>
      <c r="E142" s="866" t="e">
        <f t="shared" si="10"/>
        <v>#VALUE!</v>
      </c>
      <c r="F142" s="865" t="e">
        <f t="shared" si="11"/>
        <v>#VALUE!</v>
      </c>
      <c r="G142" s="865" t="str">
        <f t="shared" si="15"/>
        <v/>
      </c>
      <c r="H142" s="865" t="str">
        <f t="shared" si="16"/>
        <v/>
      </c>
      <c r="I142" s="865" t="e">
        <f t="shared" si="12"/>
        <v>#VALUE!</v>
      </c>
      <c r="J142" s="865">
        <f>SUM($H$19:$H142)</f>
        <v>0</v>
      </c>
    </row>
    <row r="143" spans="1:10">
      <c r="A143" s="863" t="str">
        <f t="shared" si="13"/>
        <v/>
      </c>
      <c r="B143" s="864" t="str">
        <f t="shared" si="9"/>
        <v/>
      </c>
      <c r="C143" s="865" t="str">
        <f t="shared" si="14"/>
        <v/>
      </c>
      <c r="D143" s="865" t="str">
        <f t="shared" si="17"/>
        <v/>
      </c>
      <c r="E143" s="866" t="e">
        <f t="shared" si="10"/>
        <v>#VALUE!</v>
      </c>
      <c r="F143" s="865" t="e">
        <f t="shared" si="11"/>
        <v>#VALUE!</v>
      </c>
      <c r="G143" s="865" t="str">
        <f t="shared" si="15"/>
        <v/>
      </c>
      <c r="H143" s="865" t="str">
        <f t="shared" si="16"/>
        <v/>
      </c>
      <c r="I143" s="865" t="e">
        <f t="shared" si="12"/>
        <v>#VALUE!</v>
      </c>
      <c r="J143" s="865">
        <f>SUM($H$19:$H143)</f>
        <v>0</v>
      </c>
    </row>
    <row r="144" spans="1:10">
      <c r="A144" s="863" t="str">
        <f t="shared" si="13"/>
        <v/>
      </c>
      <c r="B144" s="864" t="str">
        <f t="shared" si="9"/>
        <v/>
      </c>
      <c r="C144" s="865" t="str">
        <f t="shared" si="14"/>
        <v/>
      </c>
      <c r="D144" s="865" t="str">
        <f t="shared" si="17"/>
        <v/>
      </c>
      <c r="E144" s="866" t="e">
        <f t="shared" si="10"/>
        <v>#VALUE!</v>
      </c>
      <c r="F144" s="865" t="e">
        <f t="shared" si="11"/>
        <v>#VALUE!</v>
      </c>
      <c r="G144" s="865" t="str">
        <f t="shared" si="15"/>
        <v/>
      </c>
      <c r="H144" s="865" t="str">
        <f t="shared" si="16"/>
        <v/>
      </c>
      <c r="I144" s="865" t="e">
        <f t="shared" si="12"/>
        <v>#VALUE!</v>
      </c>
      <c r="J144" s="865">
        <f>SUM($H$19:$H144)</f>
        <v>0</v>
      </c>
    </row>
    <row r="145" spans="1:10">
      <c r="A145" s="863" t="str">
        <f t="shared" si="13"/>
        <v/>
      </c>
      <c r="B145" s="864" t="str">
        <f t="shared" si="9"/>
        <v/>
      </c>
      <c r="C145" s="865" t="str">
        <f t="shared" si="14"/>
        <v/>
      </c>
      <c r="D145" s="865" t="str">
        <f t="shared" si="17"/>
        <v/>
      </c>
      <c r="E145" s="866" t="e">
        <f t="shared" si="10"/>
        <v>#VALUE!</v>
      </c>
      <c r="F145" s="865" t="e">
        <f t="shared" si="11"/>
        <v>#VALUE!</v>
      </c>
      <c r="G145" s="865" t="str">
        <f t="shared" si="15"/>
        <v/>
      </c>
      <c r="H145" s="865" t="str">
        <f t="shared" si="16"/>
        <v/>
      </c>
      <c r="I145" s="865" t="e">
        <f t="shared" si="12"/>
        <v>#VALUE!</v>
      </c>
      <c r="J145" s="865">
        <f>SUM($H$19:$H145)</f>
        <v>0</v>
      </c>
    </row>
    <row r="146" spans="1:10">
      <c r="A146" s="863" t="str">
        <f t="shared" si="13"/>
        <v/>
      </c>
      <c r="B146" s="864" t="str">
        <f t="shared" si="9"/>
        <v/>
      </c>
      <c r="C146" s="865" t="str">
        <f t="shared" si="14"/>
        <v/>
      </c>
      <c r="D146" s="865" t="str">
        <f t="shared" si="17"/>
        <v/>
      </c>
      <c r="E146" s="866" t="e">
        <f t="shared" si="10"/>
        <v>#VALUE!</v>
      </c>
      <c r="F146" s="865" t="e">
        <f t="shared" si="11"/>
        <v>#VALUE!</v>
      </c>
      <c r="G146" s="865" t="str">
        <f t="shared" si="15"/>
        <v/>
      </c>
      <c r="H146" s="865" t="str">
        <f t="shared" si="16"/>
        <v/>
      </c>
      <c r="I146" s="865" t="e">
        <f t="shared" si="12"/>
        <v>#VALUE!</v>
      </c>
      <c r="J146" s="865">
        <f>SUM($H$19:$H146)</f>
        <v>0</v>
      </c>
    </row>
    <row r="147" spans="1:10">
      <c r="A147" s="863" t="str">
        <f t="shared" si="13"/>
        <v/>
      </c>
      <c r="B147" s="864" t="str">
        <f t="shared" ref="B147:B210" si="18">IF(Pay_Num&lt;&gt;"",DATE(YEAR(Loan_Start),MONTH(Loan_Start)+(Pay_Num)*12/Num_Pmt_Per_Year,DAY(Loan_Start)),"")</f>
        <v/>
      </c>
      <c r="C147" s="865" t="str">
        <f t="shared" si="14"/>
        <v/>
      </c>
      <c r="D147" s="865" t="str">
        <f t="shared" si="17"/>
        <v/>
      </c>
      <c r="E147" s="866" t="e">
        <f t="shared" ref="E147:E210" si="19">IF(AND(Pay_Num&lt;&gt;"",Sched_Pay+Scheduled_Extra_Payments&lt;Beg_Bal),Scheduled_Extra_Payments,IF(AND(Pay_Num&lt;&gt;"",Beg_Bal-Sched_Pay&gt;0),Beg_Bal-Sched_Pay,IF(Pay_Num&lt;&gt;"",0,"")))</f>
        <v>#VALUE!</v>
      </c>
      <c r="F147" s="865" t="e">
        <f t="shared" ref="F147:F210" si="20">IF(AND(Pay_Num&lt;&gt;"",Sched_Pay+Extra_Pay&lt;Beg_Bal),Sched_Pay+Extra_Pay,IF(Pay_Num&lt;&gt;"",Beg_Bal,""))</f>
        <v>#VALUE!</v>
      </c>
      <c r="G147" s="865" t="str">
        <f t="shared" si="15"/>
        <v/>
      </c>
      <c r="H147" s="865" t="str">
        <f t="shared" si="16"/>
        <v/>
      </c>
      <c r="I147" s="865" t="e">
        <f t="shared" ref="I147:I210" si="21">IF(AND(Pay_Num&lt;&gt;"",Sched_Pay+Extra_Pay&lt;Beg_Bal),Beg_Bal-Princ,IF(Pay_Num&lt;&gt;"",0,""))</f>
        <v>#VALUE!</v>
      </c>
      <c r="J147" s="865">
        <f>SUM($H$19:$H147)</f>
        <v>0</v>
      </c>
    </row>
    <row r="148" spans="1:10">
      <c r="A148" s="863" t="str">
        <f t="shared" ref="A148:A211" si="22">IF(Values_Entered,A147+1,"")</f>
        <v/>
      </c>
      <c r="B148" s="864" t="str">
        <f t="shared" si="18"/>
        <v/>
      </c>
      <c r="C148" s="865" t="str">
        <f t="shared" ref="C148:C211" si="23">IF(Pay_Num&lt;&gt;"",I147,"")</f>
        <v/>
      </c>
      <c r="D148" s="865" t="str">
        <f t="shared" si="17"/>
        <v/>
      </c>
      <c r="E148" s="866" t="e">
        <f t="shared" si="19"/>
        <v>#VALUE!</v>
      </c>
      <c r="F148" s="865" t="e">
        <f t="shared" si="20"/>
        <v>#VALUE!</v>
      </c>
      <c r="G148" s="865" t="str">
        <f t="shared" ref="G148:G211" si="24">IF(Pay_Num&lt;&gt;"",Total_Pay-Int,"")</f>
        <v/>
      </c>
      <c r="H148" s="865" t="str">
        <f t="shared" ref="H148:H211" si="25">IF(Pay_Num&lt;&gt;"",Beg_Bal*Interest_Rate/Num_Pmt_Per_Year,"")</f>
        <v/>
      </c>
      <c r="I148" s="865" t="e">
        <f t="shared" si="21"/>
        <v>#VALUE!</v>
      </c>
      <c r="J148" s="865">
        <f>SUM($H$19:$H148)</f>
        <v>0</v>
      </c>
    </row>
    <row r="149" spans="1:10">
      <c r="A149" s="863" t="str">
        <f t="shared" si="22"/>
        <v/>
      </c>
      <c r="B149" s="864" t="str">
        <f t="shared" si="18"/>
        <v/>
      </c>
      <c r="C149" s="865" t="str">
        <f t="shared" si="23"/>
        <v/>
      </c>
      <c r="D149" s="865" t="str">
        <f t="shared" ref="D149:D212" si="26">IF(Pay_Num&lt;&gt;"",Scheduled_Monthly_Payment,"")</f>
        <v/>
      </c>
      <c r="E149" s="866" t="e">
        <f t="shared" si="19"/>
        <v>#VALUE!</v>
      </c>
      <c r="F149" s="865" t="e">
        <f t="shared" si="20"/>
        <v>#VALUE!</v>
      </c>
      <c r="G149" s="865" t="str">
        <f t="shared" si="24"/>
        <v/>
      </c>
      <c r="H149" s="865" t="str">
        <f t="shared" si="25"/>
        <v/>
      </c>
      <c r="I149" s="865" t="e">
        <f t="shared" si="21"/>
        <v>#VALUE!</v>
      </c>
      <c r="J149" s="865">
        <f>SUM($H$19:$H149)</f>
        <v>0</v>
      </c>
    </row>
    <row r="150" spans="1:10">
      <c r="A150" s="863" t="str">
        <f t="shared" si="22"/>
        <v/>
      </c>
      <c r="B150" s="864" t="str">
        <f t="shared" si="18"/>
        <v/>
      </c>
      <c r="C150" s="865" t="str">
        <f t="shared" si="23"/>
        <v/>
      </c>
      <c r="D150" s="865" t="str">
        <f t="shared" si="26"/>
        <v/>
      </c>
      <c r="E150" s="866" t="e">
        <f t="shared" si="19"/>
        <v>#VALUE!</v>
      </c>
      <c r="F150" s="865" t="e">
        <f t="shared" si="20"/>
        <v>#VALUE!</v>
      </c>
      <c r="G150" s="865" t="str">
        <f t="shared" si="24"/>
        <v/>
      </c>
      <c r="H150" s="865" t="str">
        <f t="shared" si="25"/>
        <v/>
      </c>
      <c r="I150" s="865" t="e">
        <f t="shared" si="21"/>
        <v>#VALUE!</v>
      </c>
      <c r="J150" s="865">
        <f>SUM($H$19:$H150)</f>
        <v>0</v>
      </c>
    </row>
    <row r="151" spans="1:10">
      <c r="A151" s="863" t="str">
        <f t="shared" si="22"/>
        <v/>
      </c>
      <c r="B151" s="864" t="str">
        <f t="shared" si="18"/>
        <v/>
      </c>
      <c r="C151" s="865" t="str">
        <f t="shared" si="23"/>
        <v/>
      </c>
      <c r="D151" s="865" t="str">
        <f t="shared" si="26"/>
        <v/>
      </c>
      <c r="E151" s="866" t="e">
        <f t="shared" si="19"/>
        <v>#VALUE!</v>
      </c>
      <c r="F151" s="865" t="e">
        <f t="shared" si="20"/>
        <v>#VALUE!</v>
      </c>
      <c r="G151" s="865" t="str">
        <f t="shared" si="24"/>
        <v/>
      </c>
      <c r="H151" s="865" t="str">
        <f t="shared" si="25"/>
        <v/>
      </c>
      <c r="I151" s="865" t="e">
        <f t="shared" si="21"/>
        <v>#VALUE!</v>
      </c>
      <c r="J151" s="865">
        <f>SUM($H$19:$H151)</f>
        <v>0</v>
      </c>
    </row>
    <row r="152" spans="1:10">
      <c r="A152" s="863" t="str">
        <f t="shared" si="22"/>
        <v/>
      </c>
      <c r="B152" s="864" t="str">
        <f t="shared" si="18"/>
        <v/>
      </c>
      <c r="C152" s="865" t="str">
        <f t="shared" si="23"/>
        <v/>
      </c>
      <c r="D152" s="865" t="str">
        <f t="shared" si="26"/>
        <v/>
      </c>
      <c r="E152" s="866" t="e">
        <f t="shared" si="19"/>
        <v>#VALUE!</v>
      </c>
      <c r="F152" s="865" t="e">
        <f t="shared" si="20"/>
        <v>#VALUE!</v>
      </c>
      <c r="G152" s="865" t="str">
        <f t="shared" si="24"/>
        <v/>
      </c>
      <c r="H152" s="865" t="str">
        <f t="shared" si="25"/>
        <v/>
      </c>
      <c r="I152" s="865" t="e">
        <f t="shared" si="21"/>
        <v>#VALUE!</v>
      </c>
      <c r="J152" s="865">
        <f>SUM($H$19:$H152)</f>
        <v>0</v>
      </c>
    </row>
    <row r="153" spans="1:10">
      <c r="A153" s="863" t="str">
        <f t="shared" si="22"/>
        <v/>
      </c>
      <c r="B153" s="864" t="str">
        <f t="shared" si="18"/>
        <v/>
      </c>
      <c r="C153" s="865" t="str">
        <f t="shared" si="23"/>
        <v/>
      </c>
      <c r="D153" s="865" t="str">
        <f t="shared" si="26"/>
        <v/>
      </c>
      <c r="E153" s="866" t="e">
        <f t="shared" si="19"/>
        <v>#VALUE!</v>
      </c>
      <c r="F153" s="865" t="e">
        <f t="shared" si="20"/>
        <v>#VALUE!</v>
      </c>
      <c r="G153" s="865" t="str">
        <f t="shared" si="24"/>
        <v/>
      </c>
      <c r="H153" s="865" t="str">
        <f t="shared" si="25"/>
        <v/>
      </c>
      <c r="I153" s="865" t="e">
        <f t="shared" si="21"/>
        <v>#VALUE!</v>
      </c>
      <c r="J153" s="865">
        <f>SUM($H$19:$H153)</f>
        <v>0</v>
      </c>
    </row>
    <row r="154" spans="1:10">
      <c r="A154" s="863" t="str">
        <f t="shared" si="22"/>
        <v/>
      </c>
      <c r="B154" s="864" t="str">
        <f t="shared" si="18"/>
        <v/>
      </c>
      <c r="C154" s="865" t="str">
        <f t="shared" si="23"/>
        <v/>
      </c>
      <c r="D154" s="865" t="str">
        <f t="shared" si="26"/>
        <v/>
      </c>
      <c r="E154" s="866" t="e">
        <f t="shared" si="19"/>
        <v>#VALUE!</v>
      </c>
      <c r="F154" s="865" t="e">
        <f t="shared" si="20"/>
        <v>#VALUE!</v>
      </c>
      <c r="G154" s="865" t="str">
        <f t="shared" si="24"/>
        <v/>
      </c>
      <c r="H154" s="865" t="str">
        <f t="shared" si="25"/>
        <v/>
      </c>
      <c r="I154" s="865" t="e">
        <f t="shared" si="21"/>
        <v>#VALUE!</v>
      </c>
      <c r="J154" s="865">
        <f>SUM($H$19:$H154)</f>
        <v>0</v>
      </c>
    </row>
    <row r="155" spans="1:10">
      <c r="A155" s="863" t="str">
        <f t="shared" si="22"/>
        <v/>
      </c>
      <c r="B155" s="864" t="str">
        <f t="shared" si="18"/>
        <v/>
      </c>
      <c r="C155" s="865" t="str">
        <f t="shared" si="23"/>
        <v/>
      </c>
      <c r="D155" s="865" t="str">
        <f t="shared" si="26"/>
        <v/>
      </c>
      <c r="E155" s="866" t="e">
        <f t="shared" si="19"/>
        <v>#VALUE!</v>
      </c>
      <c r="F155" s="865" t="e">
        <f t="shared" si="20"/>
        <v>#VALUE!</v>
      </c>
      <c r="G155" s="865" t="str">
        <f t="shared" si="24"/>
        <v/>
      </c>
      <c r="H155" s="865" t="str">
        <f t="shared" si="25"/>
        <v/>
      </c>
      <c r="I155" s="865" t="e">
        <f t="shared" si="21"/>
        <v>#VALUE!</v>
      </c>
      <c r="J155" s="865">
        <f>SUM($H$19:$H155)</f>
        <v>0</v>
      </c>
    </row>
    <row r="156" spans="1:10">
      <c r="A156" s="863" t="str">
        <f t="shared" si="22"/>
        <v/>
      </c>
      <c r="B156" s="864" t="str">
        <f t="shared" si="18"/>
        <v/>
      </c>
      <c r="C156" s="865" t="str">
        <f t="shared" si="23"/>
        <v/>
      </c>
      <c r="D156" s="865" t="str">
        <f t="shared" si="26"/>
        <v/>
      </c>
      <c r="E156" s="866" t="e">
        <f t="shared" si="19"/>
        <v>#VALUE!</v>
      </c>
      <c r="F156" s="865" t="e">
        <f t="shared" si="20"/>
        <v>#VALUE!</v>
      </c>
      <c r="G156" s="865" t="str">
        <f t="shared" si="24"/>
        <v/>
      </c>
      <c r="H156" s="865" t="str">
        <f t="shared" si="25"/>
        <v/>
      </c>
      <c r="I156" s="865" t="e">
        <f t="shared" si="21"/>
        <v>#VALUE!</v>
      </c>
      <c r="J156" s="865">
        <f>SUM($H$19:$H156)</f>
        <v>0</v>
      </c>
    </row>
    <row r="157" spans="1:10">
      <c r="A157" s="863" t="str">
        <f t="shared" si="22"/>
        <v/>
      </c>
      <c r="B157" s="864" t="str">
        <f t="shared" si="18"/>
        <v/>
      </c>
      <c r="C157" s="865" t="str">
        <f t="shared" si="23"/>
        <v/>
      </c>
      <c r="D157" s="865" t="str">
        <f t="shared" si="26"/>
        <v/>
      </c>
      <c r="E157" s="866" t="e">
        <f t="shared" si="19"/>
        <v>#VALUE!</v>
      </c>
      <c r="F157" s="865" t="e">
        <f t="shared" si="20"/>
        <v>#VALUE!</v>
      </c>
      <c r="G157" s="865" t="str">
        <f t="shared" si="24"/>
        <v/>
      </c>
      <c r="H157" s="865" t="str">
        <f t="shared" si="25"/>
        <v/>
      </c>
      <c r="I157" s="865" t="e">
        <f t="shared" si="21"/>
        <v>#VALUE!</v>
      </c>
      <c r="J157" s="865">
        <f>SUM($H$19:$H157)</f>
        <v>0</v>
      </c>
    </row>
    <row r="158" spans="1:10">
      <c r="A158" s="863" t="str">
        <f t="shared" si="22"/>
        <v/>
      </c>
      <c r="B158" s="864" t="str">
        <f t="shared" si="18"/>
        <v/>
      </c>
      <c r="C158" s="865" t="str">
        <f t="shared" si="23"/>
        <v/>
      </c>
      <c r="D158" s="865" t="str">
        <f t="shared" si="26"/>
        <v/>
      </c>
      <c r="E158" s="866" t="e">
        <f t="shared" si="19"/>
        <v>#VALUE!</v>
      </c>
      <c r="F158" s="865" t="e">
        <f t="shared" si="20"/>
        <v>#VALUE!</v>
      </c>
      <c r="G158" s="865" t="str">
        <f t="shared" si="24"/>
        <v/>
      </c>
      <c r="H158" s="865" t="str">
        <f t="shared" si="25"/>
        <v/>
      </c>
      <c r="I158" s="865" t="e">
        <f t="shared" si="21"/>
        <v>#VALUE!</v>
      </c>
      <c r="J158" s="865">
        <f>SUM($H$19:$H158)</f>
        <v>0</v>
      </c>
    </row>
    <row r="159" spans="1:10">
      <c r="A159" s="863" t="str">
        <f t="shared" si="22"/>
        <v/>
      </c>
      <c r="B159" s="864" t="str">
        <f t="shared" si="18"/>
        <v/>
      </c>
      <c r="C159" s="865" t="str">
        <f t="shared" si="23"/>
        <v/>
      </c>
      <c r="D159" s="865" t="str">
        <f t="shared" si="26"/>
        <v/>
      </c>
      <c r="E159" s="866" t="e">
        <f t="shared" si="19"/>
        <v>#VALUE!</v>
      </c>
      <c r="F159" s="865" t="e">
        <f t="shared" si="20"/>
        <v>#VALUE!</v>
      </c>
      <c r="G159" s="865" t="str">
        <f t="shared" si="24"/>
        <v/>
      </c>
      <c r="H159" s="865" t="str">
        <f t="shared" si="25"/>
        <v/>
      </c>
      <c r="I159" s="865" t="e">
        <f t="shared" si="21"/>
        <v>#VALUE!</v>
      </c>
      <c r="J159" s="865">
        <f>SUM($H$19:$H159)</f>
        <v>0</v>
      </c>
    </row>
    <row r="160" spans="1:10">
      <c r="A160" s="863" t="str">
        <f t="shared" si="22"/>
        <v/>
      </c>
      <c r="B160" s="864" t="str">
        <f t="shared" si="18"/>
        <v/>
      </c>
      <c r="C160" s="865" t="str">
        <f t="shared" si="23"/>
        <v/>
      </c>
      <c r="D160" s="865" t="str">
        <f t="shared" si="26"/>
        <v/>
      </c>
      <c r="E160" s="866" t="e">
        <f t="shared" si="19"/>
        <v>#VALUE!</v>
      </c>
      <c r="F160" s="865" t="e">
        <f t="shared" si="20"/>
        <v>#VALUE!</v>
      </c>
      <c r="G160" s="865" t="str">
        <f t="shared" si="24"/>
        <v/>
      </c>
      <c r="H160" s="865" t="str">
        <f t="shared" si="25"/>
        <v/>
      </c>
      <c r="I160" s="865" t="e">
        <f t="shared" si="21"/>
        <v>#VALUE!</v>
      </c>
      <c r="J160" s="865">
        <f>SUM($H$19:$H160)</f>
        <v>0</v>
      </c>
    </row>
    <row r="161" spans="1:10">
      <c r="A161" s="863" t="str">
        <f t="shared" si="22"/>
        <v/>
      </c>
      <c r="B161" s="864" t="str">
        <f t="shared" si="18"/>
        <v/>
      </c>
      <c r="C161" s="865" t="str">
        <f t="shared" si="23"/>
        <v/>
      </c>
      <c r="D161" s="865" t="str">
        <f t="shared" si="26"/>
        <v/>
      </c>
      <c r="E161" s="866" t="e">
        <f t="shared" si="19"/>
        <v>#VALUE!</v>
      </c>
      <c r="F161" s="865" t="e">
        <f t="shared" si="20"/>
        <v>#VALUE!</v>
      </c>
      <c r="G161" s="865" t="str">
        <f t="shared" si="24"/>
        <v/>
      </c>
      <c r="H161" s="865" t="str">
        <f t="shared" si="25"/>
        <v/>
      </c>
      <c r="I161" s="865" t="e">
        <f t="shared" si="21"/>
        <v>#VALUE!</v>
      </c>
      <c r="J161" s="865">
        <f>SUM($H$19:$H161)</f>
        <v>0</v>
      </c>
    </row>
    <row r="162" spans="1:10">
      <c r="A162" s="863" t="str">
        <f t="shared" si="22"/>
        <v/>
      </c>
      <c r="B162" s="864" t="str">
        <f t="shared" si="18"/>
        <v/>
      </c>
      <c r="C162" s="865" t="str">
        <f t="shared" si="23"/>
        <v/>
      </c>
      <c r="D162" s="865" t="str">
        <f t="shared" si="26"/>
        <v/>
      </c>
      <c r="E162" s="866" t="e">
        <f t="shared" si="19"/>
        <v>#VALUE!</v>
      </c>
      <c r="F162" s="865" t="e">
        <f t="shared" si="20"/>
        <v>#VALUE!</v>
      </c>
      <c r="G162" s="865" t="str">
        <f t="shared" si="24"/>
        <v/>
      </c>
      <c r="H162" s="865" t="str">
        <f t="shared" si="25"/>
        <v/>
      </c>
      <c r="I162" s="865" t="e">
        <f t="shared" si="21"/>
        <v>#VALUE!</v>
      </c>
      <c r="J162" s="865">
        <f>SUM($H$19:$H162)</f>
        <v>0</v>
      </c>
    </row>
    <row r="163" spans="1:10">
      <c r="A163" s="863" t="str">
        <f t="shared" si="22"/>
        <v/>
      </c>
      <c r="B163" s="864" t="str">
        <f t="shared" si="18"/>
        <v/>
      </c>
      <c r="C163" s="865" t="str">
        <f t="shared" si="23"/>
        <v/>
      </c>
      <c r="D163" s="865" t="str">
        <f t="shared" si="26"/>
        <v/>
      </c>
      <c r="E163" s="866" t="e">
        <f t="shared" si="19"/>
        <v>#VALUE!</v>
      </c>
      <c r="F163" s="865" t="e">
        <f t="shared" si="20"/>
        <v>#VALUE!</v>
      </c>
      <c r="G163" s="865" t="str">
        <f t="shared" si="24"/>
        <v/>
      </c>
      <c r="H163" s="865" t="str">
        <f t="shared" si="25"/>
        <v/>
      </c>
      <c r="I163" s="865" t="e">
        <f t="shared" si="21"/>
        <v>#VALUE!</v>
      </c>
      <c r="J163" s="865">
        <f>SUM($H$19:$H163)</f>
        <v>0</v>
      </c>
    </row>
    <row r="164" spans="1:10">
      <c r="A164" s="863" t="str">
        <f t="shared" si="22"/>
        <v/>
      </c>
      <c r="B164" s="864" t="str">
        <f t="shared" si="18"/>
        <v/>
      </c>
      <c r="C164" s="865" t="str">
        <f t="shared" si="23"/>
        <v/>
      </c>
      <c r="D164" s="865" t="str">
        <f t="shared" si="26"/>
        <v/>
      </c>
      <c r="E164" s="866" t="e">
        <f t="shared" si="19"/>
        <v>#VALUE!</v>
      </c>
      <c r="F164" s="865" t="e">
        <f t="shared" si="20"/>
        <v>#VALUE!</v>
      </c>
      <c r="G164" s="865" t="str">
        <f t="shared" si="24"/>
        <v/>
      </c>
      <c r="H164" s="865" t="str">
        <f t="shared" si="25"/>
        <v/>
      </c>
      <c r="I164" s="865" t="e">
        <f t="shared" si="21"/>
        <v>#VALUE!</v>
      </c>
      <c r="J164" s="865">
        <f>SUM($H$19:$H164)</f>
        <v>0</v>
      </c>
    </row>
    <row r="165" spans="1:10">
      <c r="A165" s="863" t="str">
        <f t="shared" si="22"/>
        <v/>
      </c>
      <c r="B165" s="864" t="str">
        <f t="shared" si="18"/>
        <v/>
      </c>
      <c r="C165" s="865" t="str">
        <f t="shared" si="23"/>
        <v/>
      </c>
      <c r="D165" s="865" t="str">
        <f t="shared" si="26"/>
        <v/>
      </c>
      <c r="E165" s="866" t="e">
        <f t="shared" si="19"/>
        <v>#VALUE!</v>
      </c>
      <c r="F165" s="865" t="e">
        <f t="shared" si="20"/>
        <v>#VALUE!</v>
      </c>
      <c r="G165" s="865" t="str">
        <f t="shared" si="24"/>
        <v/>
      </c>
      <c r="H165" s="865" t="str">
        <f t="shared" si="25"/>
        <v/>
      </c>
      <c r="I165" s="865" t="e">
        <f t="shared" si="21"/>
        <v>#VALUE!</v>
      </c>
      <c r="J165" s="865">
        <f>SUM($H$19:$H165)</f>
        <v>0</v>
      </c>
    </row>
    <row r="166" spans="1:10">
      <c r="A166" s="863" t="str">
        <f t="shared" si="22"/>
        <v/>
      </c>
      <c r="B166" s="864" t="str">
        <f t="shared" si="18"/>
        <v/>
      </c>
      <c r="C166" s="865" t="str">
        <f t="shared" si="23"/>
        <v/>
      </c>
      <c r="D166" s="865" t="str">
        <f t="shared" si="26"/>
        <v/>
      </c>
      <c r="E166" s="866" t="e">
        <f t="shared" si="19"/>
        <v>#VALUE!</v>
      </c>
      <c r="F166" s="865" t="e">
        <f t="shared" si="20"/>
        <v>#VALUE!</v>
      </c>
      <c r="G166" s="865" t="str">
        <f t="shared" si="24"/>
        <v/>
      </c>
      <c r="H166" s="865" t="str">
        <f t="shared" si="25"/>
        <v/>
      </c>
      <c r="I166" s="865" t="e">
        <f t="shared" si="21"/>
        <v>#VALUE!</v>
      </c>
      <c r="J166" s="865">
        <f>SUM($H$19:$H166)</f>
        <v>0</v>
      </c>
    </row>
    <row r="167" spans="1:10">
      <c r="A167" s="863" t="str">
        <f t="shared" si="22"/>
        <v/>
      </c>
      <c r="B167" s="864" t="str">
        <f t="shared" si="18"/>
        <v/>
      </c>
      <c r="C167" s="865" t="str">
        <f t="shared" si="23"/>
        <v/>
      </c>
      <c r="D167" s="865" t="str">
        <f t="shared" si="26"/>
        <v/>
      </c>
      <c r="E167" s="866" t="e">
        <f t="shared" si="19"/>
        <v>#VALUE!</v>
      </c>
      <c r="F167" s="865" t="e">
        <f t="shared" si="20"/>
        <v>#VALUE!</v>
      </c>
      <c r="G167" s="865" t="str">
        <f t="shared" si="24"/>
        <v/>
      </c>
      <c r="H167" s="865" t="str">
        <f t="shared" si="25"/>
        <v/>
      </c>
      <c r="I167" s="865" t="e">
        <f t="shared" si="21"/>
        <v>#VALUE!</v>
      </c>
      <c r="J167" s="865">
        <f>SUM($H$19:$H167)</f>
        <v>0</v>
      </c>
    </row>
    <row r="168" spans="1:10">
      <c r="A168" s="863" t="str">
        <f t="shared" si="22"/>
        <v/>
      </c>
      <c r="B168" s="864" t="str">
        <f t="shared" si="18"/>
        <v/>
      </c>
      <c r="C168" s="865" t="str">
        <f t="shared" si="23"/>
        <v/>
      </c>
      <c r="D168" s="865" t="str">
        <f t="shared" si="26"/>
        <v/>
      </c>
      <c r="E168" s="866" t="e">
        <f t="shared" si="19"/>
        <v>#VALUE!</v>
      </c>
      <c r="F168" s="865" t="e">
        <f t="shared" si="20"/>
        <v>#VALUE!</v>
      </c>
      <c r="G168" s="865" t="str">
        <f t="shared" si="24"/>
        <v/>
      </c>
      <c r="H168" s="865" t="str">
        <f t="shared" si="25"/>
        <v/>
      </c>
      <c r="I168" s="865" t="e">
        <f t="shared" si="21"/>
        <v>#VALUE!</v>
      </c>
      <c r="J168" s="865">
        <f>SUM($H$19:$H168)</f>
        <v>0</v>
      </c>
    </row>
    <row r="169" spans="1:10">
      <c r="A169" s="863" t="str">
        <f t="shared" si="22"/>
        <v/>
      </c>
      <c r="B169" s="864" t="str">
        <f t="shared" si="18"/>
        <v/>
      </c>
      <c r="C169" s="865" t="str">
        <f t="shared" si="23"/>
        <v/>
      </c>
      <c r="D169" s="865" t="str">
        <f t="shared" si="26"/>
        <v/>
      </c>
      <c r="E169" s="866" t="e">
        <f t="shared" si="19"/>
        <v>#VALUE!</v>
      </c>
      <c r="F169" s="865" t="e">
        <f t="shared" si="20"/>
        <v>#VALUE!</v>
      </c>
      <c r="G169" s="865" t="str">
        <f t="shared" si="24"/>
        <v/>
      </c>
      <c r="H169" s="865" t="str">
        <f t="shared" si="25"/>
        <v/>
      </c>
      <c r="I169" s="865" t="e">
        <f t="shared" si="21"/>
        <v>#VALUE!</v>
      </c>
      <c r="J169" s="865">
        <f>SUM($H$19:$H169)</f>
        <v>0</v>
      </c>
    </row>
    <row r="170" spans="1:10">
      <c r="A170" s="863" t="str">
        <f t="shared" si="22"/>
        <v/>
      </c>
      <c r="B170" s="864" t="str">
        <f t="shared" si="18"/>
        <v/>
      </c>
      <c r="C170" s="865" t="str">
        <f t="shared" si="23"/>
        <v/>
      </c>
      <c r="D170" s="865" t="str">
        <f t="shared" si="26"/>
        <v/>
      </c>
      <c r="E170" s="866" t="e">
        <f t="shared" si="19"/>
        <v>#VALUE!</v>
      </c>
      <c r="F170" s="865" t="e">
        <f t="shared" si="20"/>
        <v>#VALUE!</v>
      </c>
      <c r="G170" s="865" t="str">
        <f t="shared" si="24"/>
        <v/>
      </c>
      <c r="H170" s="865" t="str">
        <f t="shared" si="25"/>
        <v/>
      </c>
      <c r="I170" s="865" t="e">
        <f t="shared" si="21"/>
        <v>#VALUE!</v>
      </c>
      <c r="J170" s="865">
        <f>SUM($H$19:$H170)</f>
        <v>0</v>
      </c>
    </row>
    <row r="171" spans="1:10">
      <c r="A171" s="863" t="str">
        <f t="shared" si="22"/>
        <v/>
      </c>
      <c r="B171" s="864" t="str">
        <f t="shared" si="18"/>
        <v/>
      </c>
      <c r="C171" s="865" t="str">
        <f t="shared" si="23"/>
        <v/>
      </c>
      <c r="D171" s="865" t="str">
        <f t="shared" si="26"/>
        <v/>
      </c>
      <c r="E171" s="866" t="e">
        <f t="shared" si="19"/>
        <v>#VALUE!</v>
      </c>
      <c r="F171" s="865" t="e">
        <f t="shared" si="20"/>
        <v>#VALUE!</v>
      </c>
      <c r="G171" s="865" t="str">
        <f t="shared" si="24"/>
        <v/>
      </c>
      <c r="H171" s="865" t="str">
        <f t="shared" si="25"/>
        <v/>
      </c>
      <c r="I171" s="865" t="e">
        <f t="shared" si="21"/>
        <v>#VALUE!</v>
      </c>
      <c r="J171" s="865">
        <f>SUM($H$19:$H171)</f>
        <v>0</v>
      </c>
    </row>
    <row r="172" spans="1:10">
      <c r="A172" s="863" t="str">
        <f t="shared" si="22"/>
        <v/>
      </c>
      <c r="B172" s="864" t="str">
        <f t="shared" si="18"/>
        <v/>
      </c>
      <c r="C172" s="865" t="str">
        <f t="shared" si="23"/>
        <v/>
      </c>
      <c r="D172" s="865" t="str">
        <f t="shared" si="26"/>
        <v/>
      </c>
      <c r="E172" s="866" t="e">
        <f t="shared" si="19"/>
        <v>#VALUE!</v>
      </c>
      <c r="F172" s="865" t="e">
        <f t="shared" si="20"/>
        <v>#VALUE!</v>
      </c>
      <c r="G172" s="865" t="str">
        <f t="shared" si="24"/>
        <v/>
      </c>
      <c r="H172" s="865" t="str">
        <f t="shared" si="25"/>
        <v/>
      </c>
      <c r="I172" s="865" t="e">
        <f t="shared" si="21"/>
        <v>#VALUE!</v>
      </c>
      <c r="J172" s="865">
        <f>SUM($H$19:$H172)</f>
        <v>0</v>
      </c>
    </row>
    <row r="173" spans="1:10">
      <c r="A173" s="863" t="str">
        <f t="shared" si="22"/>
        <v/>
      </c>
      <c r="B173" s="864" t="str">
        <f t="shared" si="18"/>
        <v/>
      </c>
      <c r="C173" s="865" t="str">
        <f t="shared" si="23"/>
        <v/>
      </c>
      <c r="D173" s="865" t="str">
        <f t="shared" si="26"/>
        <v/>
      </c>
      <c r="E173" s="866" t="e">
        <f t="shared" si="19"/>
        <v>#VALUE!</v>
      </c>
      <c r="F173" s="865" t="e">
        <f t="shared" si="20"/>
        <v>#VALUE!</v>
      </c>
      <c r="G173" s="865" t="str">
        <f t="shared" si="24"/>
        <v/>
      </c>
      <c r="H173" s="865" t="str">
        <f t="shared" si="25"/>
        <v/>
      </c>
      <c r="I173" s="865" t="e">
        <f t="shared" si="21"/>
        <v>#VALUE!</v>
      </c>
      <c r="J173" s="865">
        <f>SUM($H$19:$H173)</f>
        <v>0</v>
      </c>
    </row>
    <row r="174" spans="1:10">
      <c r="A174" s="863" t="str">
        <f t="shared" si="22"/>
        <v/>
      </c>
      <c r="B174" s="864" t="str">
        <f t="shared" si="18"/>
        <v/>
      </c>
      <c r="C174" s="865" t="str">
        <f t="shared" si="23"/>
        <v/>
      </c>
      <c r="D174" s="865" t="str">
        <f t="shared" si="26"/>
        <v/>
      </c>
      <c r="E174" s="866" t="e">
        <f t="shared" si="19"/>
        <v>#VALUE!</v>
      </c>
      <c r="F174" s="865" t="e">
        <f t="shared" si="20"/>
        <v>#VALUE!</v>
      </c>
      <c r="G174" s="865" t="str">
        <f t="shared" si="24"/>
        <v/>
      </c>
      <c r="H174" s="865" t="str">
        <f t="shared" si="25"/>
        <v/>
      </c>
      <c r="I174" s="865" t="e">
        <f t="shared" si="21"/>
        <v>#VALUE!</v>
      </c>
      <c r="J174" s="865">
        <f>SUM($H$19:$H174)</f>
        <v>0</v>
      </c>
    </row>
    <row r="175" spans="1:10">
      <c r="A175" s="863" t="str">
        <f t="shared" si="22"/>
        <v/>
      </c>
      <c r="B175" s="864" t="str">
        <f t="shared" si="18"/>
        <v/>
      </c>
      <c r="C175" s="865" t="str">
        <f t="shared" si="23"/>
        <v/>
      </c>
      <c r="D175" s="865" t="str">
        <f t="shared" si="26"/>
        <v/>
      </c>
      <c r="E175" s="866" t="e">
        <f t="shared" si="19"/>
        <v>#VALUE!</v>
      </c>
      <c r="F175" s="865" t="e">
        <f t="shared" si="20"/>
        <v>#VALUE!</v>
      </c>
      <c r="G175" s="865" t="str">
        <f t="shared" si="24"/>
        <v/>
      </c>
      <c r="H175" s="865" t="str">
        <f t="shared" si="25"/>
        <v/>
      </c>
      <c r="I175" s="865" t="e">
        <f t="shared" si="21"/>
        <v>#VALUE!</v>
      </c>
      <c r="J175" s="865">
        <f>SUM($H$19:$H175)</f>
        <v>0</v>
      </c>
    </row>
    <row r="176" spans="1:10">
      <c r="A176" s="863" t="str">
        <f t="shared" si="22"/>
        <v/>
      </c>
      <c r="B176" s="864" t="str">
        <f t="shared" si="18"/>
        <v/>
      </c>
      <c r="C176" s="865" t="str">
        <f t="shared" si="23"/>
        <v/>
      </c>
      <c r="D176" s="865" t="str">
        <f t="shared" si="26"/>
        <v/>
      </c>
      <c r="E176" s="866" t="e">
        <f t="shared" si="19"/>
        <v>#VALUE!</v>
      </c>
      <c r="F176" s="865" t="e">
        <f t="shared" si="20"/>
        <v>#VALUE!</v>
      </c>
      <c r="G176" s="865" t="str">
        <f t="shared" si="24"/>
        <v/>
      </c>
      <c r="H176" s="865" t="str">
        <f t="shared" si="25"/>
        <v/>
      </c>
      <c r="I176" s="865" t="e">
        <f t="shared" si="21"/>
        <v>#VALUE!</v>
      </c>
      <c r="J176" s="865">
        <f>SUM($H$19:$H176)</f>
        <v>0</v>
      </c>
    </row>
    <row r="177" spans="1:10">
      <c r="A177" s="863" t="str">
        <f t="shared" si="22"/>
        <v/>
      </c>
      <c r="B177" s="864" t="str">
        <f t="shared" si="18"/>
        <v/>
      </c>
      <c r="C177" s="865" t="str">
        <f t="shared" si="23"/>
        <v/>
      </c>
      <c r="D177" s="865" t="str">
        <f t="shared" si="26"/>
        <v/>
      </c>
      <c r="E177" s="866" t="e">
        <f t="shared" si="19"/>
        <v>#VALUE!</v>
      </c>
      <c r="F177" s="865" t="e">
        <f t="shared" si="20"/>
        <v>#VALUE!</v>
      </c>
      <c r="G177" s="865" t="str">
        <f t="shared" si="24"/>
        <v/>
      </c>
      <c r="H177" s="865" t="str">
        <f t="shared" si="25"/>
        <v/>
      </c>
      <c r="I177" s="865" t="e">
        <f t="shared" si="21"/>
        <v>#VALUE!</v>
      </c>
      <c r="J177" s="865">
        <f>SUM($H$19:$H177)</f>
        <v>0</v>
      </c>
    </row>
    <row r="178" spans="1:10">
      <c r="A178" s="863" t="str">
        <f t="shared" si="22"/>
        <v/>
      </c>
      <c r="B178" s="864" t="str">
        <f t="shared" si="18"/>
        <v/>
      </c>
      <c r="C178" s="865" t="str">
        <f t="shared" si="23"/>
        <v/>
      </c>
      <c r="D178" s="865" t="str">
        <f t="shared" si="26"/>
        <v/>
      </c>
      <c r="E178" s="866" t="e">
        <f t="shared" si="19"/>
        <v>#VALUE!</v>
      </c>
      <c r="F178" s="865" t="e">
        <f t="shared" si="20"/>
        <v>#VALUE!</v>
      </c>
      <c r="G178" s="865" t="str">
        <f t="shared" si="24"/>
        <v/>
      </c>
      <c r="H178" s="865" t="str">
        <f t="shared" si="25"/>
        <v/>
      </c>
      <c r="I178" s="865" t="e">
        <f t="shared" si="21"/>
        <v>#VALUE!</v>
      </c>
      <c r="J178" s="865">
        <f>SUM($H$19:$H178)</f>
        <v>0</v>
      </c>
    </row>
    <row r="179" spans="1:10">
      <c r="A179" s="863" t="str">
        <f t="shared" si="22"/>
        <v/>
      </c>
      <c r="B179" s="864" t="str">
        <f t="shared" si="18"/>
        <v/>
      </c>
      <c r="C179" s="865" t="str">
        <f t="shared" si="23"/>
        <v/>
      </c>
      <c r="D179" s="865" t="str">
        <f t="shared" si="26"/>
        <v/>
      </c>
      <c r="E179" s="866" t="e">
        <f t="shared" si="19"/>
        <v>#VALUE!</v>
      </c>
      <c r="F179" s="865" t="e">
        <f t="shared" si="20"/>
        <v>#VALUE!</v>
      </c>
      <c r="G179" s="865" t="str">
        <f t="shared" si="24"/>
        <v/>
      </c>
      <c r="H179" s="865" t="str">
        <f t="shared" si="25"/>
        <v/>
      </c>
      <c r="I179" s="865" t="e">
        <f t="shared" si="21"/>
        <v>#VALUE!</v>
      </c>
      <c r="J179" s="865">
        <f>SUM($H$19:$H179)</f>
        <v>0</v>
      </c>
    </row>
    <row r="180" spans="1:10">
      <c r="A180" s="863" t="str">
        <f t="shared" si="22"/>
        <v/>
      </c>
      <c r="B180" s="864" t="str">
        <f t="shared" si="18"/>
        <v/>
      </c>
      <c r="C180" s="865" t="str">
        <f t="shared" si="23"/>
        <v/>
      </c>
      <c r="D180" s="865" t="str">
        <f t="shared" si="26"/>
        <v/>
      </c>
      <c r="E180" s="866" t="e">
        <f t="shared" si="19"/>
        <v>#VALUE!</v>
      </c>
      <c r="F180" s="865" t="e">
        <f t="shared" si="20"/>
        <v>#VALUE!</v>
      </c>
      <c r="G180" s="865" t="str">
        <f t="shared" si="24"/>
        <v/>
      </c>
      <c r="H180" s="865" t="str">
        <f t="shared" si="25"/>
        <v/>
      </c>
      <c r="I180" s="865" t="e">
        <f t="shared" si="21"/>
        <v>#VALUE!</v>
      </c>
      <c r="J180" s="865">
        <f>SUM($H$19:$H180)</f>
        <v>0</v>
      </c>
    </row>
    <row r="181" spans="1:10">
      <c r="A181" s="863" t="str">
        <f t="shared" si="22"/>
        <v/>
      </c>
      <c r="B181" s="864" t="str">
        <f t="shared" si="18"/>
        <v/>
      </c>
      <c r="C181" s="865" t="str">
        <f t="shared" si="23"/>
        <v/>
      </c>
      <c r="D181" s="865" t="str">
        <f t="shared" si="26"/>
        <v/>
      </c>
      <c r="E181" s="866" t="e">
        <f t="shared" si="19"/>
        <v>#VALUE!</v>
      </c>
      <c r="F181" s="865" t="e">
        <f t="shared" si="20"/>
        <v>#VALUE!</v>
      </c>
      <c r="G181" s="865" t="str">
        <f t="shared" si="24"/>
        <v/>
      </c>
      <c r="H181" s="865" t="str">
        <f t="shared" si="25"/>
        <v/>
      </c>
      <c r="I181" s="865" t="e">
        <f t="shared" si="21"/>
        <v>#VALUE!</v>
      </c>
      <c r="J181" s="865">
        <f>SUM($H$19:$H181)</f>
        <v>0</v>
      </c>
    </row>
    <row r="182" spans="1:10">
      <c r="A182" s="863" t="str">
        <f t="shared" si="22"/>
        <v/>
      </c>
      <c r="B182" s="864" t="str">
        <f t="shared" si="18"/>
        <v/>
      </c>
      <c r="C182" s="865" t="str">
        <f t="shared" si="23"/>
        <v/>
      </c>
      <c r="D182" s="865" t="str">
        <f t="shared" si="26"/>
        <v/>
      </c>
      <c r="E182" s="866" t="e">
        <f t="shared" si="19"/>
        <v>#VALUE!</v>
      </c>
      <c r="F182" s="865" t="e">
        <f t="shared" si="20"/>
        <v>#VALUE!</v>
      </c>
      <c r="G182" s="865" t="str">
        <f t="shared" si="24"/>
        <v/>
      </c>
      <c r="H182" s="865" t="str">
        <f t="shared" si="25"/>
        <v/>
      </c>
      <c r="I182" s="865" t="e">
        <f t="shared" si="21"/>
        <v>#VALUE!</v>
      </c>
      <c r="J182" s="865">
        <f>SUM($H$19:$H182)</f>
        <v>0</v>
      </c>
    </row>
    <row r="183" spans="1:10">
      <c r="A183" s="863" t="str">
        <f t="shared" si="22"/>
        <v/>
      </c>
      <c r="B183" s="864" t="str">
        <f t="shared" si="18"/>
        <v/>
      </c>
      <c r="C183" s="865" t="str">
        <f t="shared" si="23"/>
        <v/>
      </c>
      <c r="D183" s="865" t="str">
        <f t="shared" si="26"/>
        <v/>
      </c>
      <c r="E183" s="866" t="e">
        <f t="shared" si="19"/>
        <v>#VALUE!</v>
      </c>
      <c r="F183" s="865" t="e">
        <f t="shared" si="20"/>
        <v>#VALUE!</v>
      </c>
      <c r="G183" s="865" t="str">
        <f t="shared" si="24"/>
        <v/>
      </c>
      <c r="H183" s="865" t="str">
        <f t="shared" si="25"/>
        <v/>
      </c>
      <c r="I183" s="865" t="e">
        <f t="shared" si="21"/>
        <v>#VALUE!</v>
      </c>
      <c r="J183" s="865">
        <f>SUM($H$19:$H183)</f>
        <v>0</v>
      </c>
    </row>
    <row r="184" spans="1:10">
      <c r="A184" s="863" t="str">
        <f t="shared" si="22"/>
        <v/>
      </c>
      <c r="B184" s="864" t="str">
        <f t="shared" si="18"/>
        <v/>
      </c>
      <c r="C184" s="865" t="str">
        <f t="shared" si="23"/>
        <v/>
      </c>
      <c r="D184" s="865" t="str">
        <f t="shared" si="26"/>
        <v/>
      </c>
      <c r="E184" s="866" t="e">
        <f t="shared" si="19"/>
        <v>#VALUE!</v>
      </c>
      <c r="F184" s="865" t="e">
        <f t="shared" si="20"/>
        <v>#VALUE!</v>
      </c>
      <c r="G184" s="865" t="str">
        <f t="shared" si="24"/>
        <v/>
      </c>
      <c r="H184" s="865" t="str">
        <f t="shared" si="25"/>
        <v/>
      </c>
      <c r="I184" s="865" t="e">
        <f t="shared" si="21"/>
        <v>#VALUE!</v>
      </c>
      <c r="J184" s="865">
        <f>SUM($H$19:$H184)</f>
        <v>0</v>
      </c>
    </row>
    <row r="185" spans="1:10">
      <c r="A185" s="863" t="str">
        <f t="shared" si="22"/>
        <v/>
      </c>
      <c r="B185" s="864" t="str">
        <f t="shared" si="18"/>
        <v/>
      </c>
      <c r="C185" s="865" t="str">
        <f t="shared" si="23"/>
        <v/>
      </c>
      <c r="D185" s="865" t="str">
        <f t="shared" si="26"/>
        <v/>
      </c>
      <c r="E185" s="866" t="e">
        <f t="shared" si="19"/>
        <v>#VALUE!</v>
      </c>
      <c r="F185" s="865" t="e">
        <f t="shared" si="20"/>
        <v>#VALUE!</v>
      </c>
      <c r="G185" s="865" t="str">
        <f t="shared" si="24"/>
        <v/>
      </c>
      <c r="H185" s="865" t="str">
        <f t="shared" si="25"/>
        <v/>
      </c>
      <c r="I185" s="865" t="e">
        <f t="shared" si="21"/>
        <v>#VALUE!</v>
      </c>
      <c r="J185" s="865">
        <f>SUM($H$19:$H185)</f>
        <v>0</v>
      </c>
    </row>
    <row r="186" spans="1:10">
      <c r="A186" s="863" t="str">
        <f t="shared" si="22"/>
        <v/>
      </c>
      <c r="B186" s="864" t="str">
        <f t="shared" si="18"/>
        <v/>
      </c>
      <c r="C186" s="865" t="str">
        <f t="shared" si="23"/>
        <v/>
      </c>
      <c r="D186" s="865" t="str">
        <f t="shared" si="26"/>
        <v/>
      </c>
      <c r="E186" s="866" t="e">
        <f t="shared" si="19"/>
        <v>#VALUE!</v>
      </c>
      <c r="F186" s="865" t="e">
        <f t="shared" si="20"/>
        <v>#VALUE!</v>
      </c>
      <c r="G186" s="865" t="str">
        <f t="shared" si="24"/>
        <v/>
      </c>
      <c r="H186" s="865" t="str">
        <f t="shared" si="25"/>
        <v/>
      </c>
      <c r="I186" s="865" t="e">
        <f t="shared" si="21"/>
        <v>#VALUE!</v>
      </c>
      <c r="J186" s="865">
        <f>SUM($H$19:$H186)</f>
        <v>0</v>
      </c>
    </row>
    <row r="187" spans="1:10">
      <c r="A187" s="863" t="str">
        <f t="shared" si="22"/>
        <v/>
      </c>
      <c r="B187" s="864" t="str">
        <f t="shared" si="18"/>
        <v/>
      </c>
      <c r="C187" s="865" t="str">
        <f t="shared" si="23"/>
        <v/>
      </c>
      <c r="D187" s="865" t="str">
        <f t="shared" si="26"/>
        <v/>
      </c>
      <c r="E187" s="866" t="e">
        <f t="shared" si="19"/>
        <v>#VALUE!</v>
      </c>
      <c r="F187" s="865" t="e">
        <f t="shared" si="20"/>
        <v>#VALUE!</v>
      </c>
      <c r="G187" s="865" t="str">
        <f t="shared" si="24"/>
        <v/>
      </c>
      <c r="H187" s="865" t="str">
        <f t="shared" si="25"/>
        <v/>
      </c>
      <c r="I187" s="865" t="e">
        <f t="shared" si="21"/>
        <v>#VALUE!</v>
      </c>
      <c r="J187" s="865">
        <f>SUM($H$19:$H187)</f>
        <v>0</v>
      </c>
    </row>
    <row r="188" spans="1:10">
      <c r="A188" s="863" t="str">
        <f t="shared" si="22"/>
        <v/>
      </c>
      <c r="B188" s="864" t="str">
        <f t="shared" si="18"/>
        <v/>
      </c>
      <c r="C188" s="865" t="str">
        <f t="shared" si="23"/>
        <v/>
      </c>
      <c r="D188" s="865" t="str">
        <f t="shared" si="26"/>
        <v/>
      </c>
      <c r="E188" s="866" t="e">
        <f t="shared" si="19"/>
        <v>#VALUE!</v>
      </c>
      <c r="F188" s="865" t="e">
        <f t="shared" si="20"/>
        <v>#VALUE!</v>
      </c>
      <c r="G188" s="865" t="str">
        <f t="shared" si="24"/>
        <v/>
      </c>
      <c r="H188" s="865" t="str">
        <f t="shared" si="25"/>
        <v/>
      </c>
      <c r="I188" s="865" t="e">
        <f t="shared" si="21"/>
        <v>#VALUE!</v>
      </c>
      <c r="J188" s="865">
        <f>SUM($H$19:$H188)</f>
        <v>0</v>
      </c>
    </row>
    <row r="189" spans="1:10">
      <c r="A189" s="863" t="str">
        <f t="shared" si="22"/>
        <v/>
      </c>
      <c r="B189" s="864" t="str">
        <f t="shared" si="18"/>
        <v/>
      </c>
      <c r="C189" s="865" t="str">
        <f t="shared" si="23"/>
        <v/>
      </c>
      <c r="D189" s="865" t="str">
        <f t="shared" si="26"/>
        <v/>
      </c>
      <c r="E189" s="866" t="e">
        <f t="shared" si="19"/>
        <v>#VALUE!</v>
      </c>
      <c r="F189" s="865" t="e">
        <f t="shared" si="20"/>
        <v>#VALUE!</v>
      </c>
      <c r="G189" s="865" t="str">
        <f t="shared" si="24"/>
        <v/>
      </c>
      <c r="H189" s="865" t="str">
        <f t="shared" si="25"/>
        <v/>
      </c>
      <c r="I189" s="865" t="e">
        <f t="shared" si="21"/>
        <v>#VALUE!</v>
      </c>
      <c r="J189" s="865">
        <f>SUM($H$19:$H189)</f>
        <v>0</v>
      </c>
    </row>
    <row r="190" spans="1:10">
      <c r="A190" s="863" t="str">
        <f t="shared" si="22"/>
        <v/>
      </c>
      <c r="B190" s="864" t="str">
        <f t="shared" si="18"/>
        <v/>
      </c>
      <c r="C190" s="865" t="str">
        <f t="shared" si="23"/>
        <v/>
      </c>
      <c r="D190" s="865" t="str">
        <f t="shared" si="26"/>
        <v/>
      </c>
      <c r="E190" s="866" t="e">
        <f t="shared" si="19"/>
        <v>#VALUE!</v>
      </c>
      <c r="F190" s="865" t="e">
        <f t="shared" si="20"/>
        <v>#VALUE!</v>
      </c>
      <c r="G190" s="865" t="str">
        <f t="shared" si="24"/>
        <v/>
      </c>
      <c r="H190" s="865" t="str">
        <f t="shared" si="25"/>
        <v/>
      </c>
      <c r="I190" s="865" t="e">
        <f t="shared" si="21"/>
        <v>#VALUE!</v>
      </c>
      <c r="J190" s="865">
        <f>SUM($H$19:$H190)</f>
        <v>0</v>
      </c>
    </row>
    <row r="191" spans="1:10">
      <c r="A191" s="863" t="str">
        <f t="shared" si="22"/>
        <v/>
      </c>
      <c r="B191" s="864" t="str">
        <f t="shared" si="18"/>
        <v/>
      </c>
      <c r="C191" s="865" t="str">
        <f t="shared" si="23"/>
        <v/>
      </c>
      <c r="D191" s="865" t="str">
        <f t="shared" si="26"/>
        <v/>
      </c>
      <c r="E191" s="866" t="e">
        <f t="shared" si="19"/>
        <v>#VALUE!</v>
      </c>
      <c r="F191" s="865" t="e">
        <f t="shared" si="20"/>
        <v>#VALUE!</v>
      </c>
      <c r="G191" s="865" t="str">
        <f t="shared" si="24"/>
        <v/>
      </c>
      <c r="H191" s="865" t="str">
        <f t="shared" si="25"/>
        <v/>
      </c>
      <c r="I191" s="865" t="e">
        <f t="shared" si="21"/>
        <v>#VALUE!</v>
      </c>
      <c r="J191" s="865">
        <f>SUM($H$19:$H191)</f>
        <v>0</v>
      </c>
    </row>
    <row r="192" spans="1:10">
      <c r="A192" s="863" t="str">
        <f t="shared" si="22"/>
        <v/>
      </c>
      <c r="B192" s="864" t="str">
        <f t="shared" si="18"/>
        <v/>
      </c>
      <c r="C192" s="865" t="str">
        <f t="shared" si="23"/>
        <v/>
      </c>
      <c r="D192" s="865" t="str">
        <f t="shared" si="26"/>
        <v/>
      </c>
      <c r="E192" s="866" t="e">
        <f t="shared" si="19"/>
        <v>#VALUE!</v>
      </c>
      <c r="F192" s="865" t="e">
        <f t="shared" si="20"/>
        <v>#VALUE!</v>
      </c>
      <c r="G192" s="865" t="str">
        <f t="shared" si="24"/>
        <v/>
      </c>
      <c r="H192" s="865" t="str">
        <f t="shared" si="25"/>
        <v/>
      </c>
      <c r="I192" s="865" t="e">
        <f t="shared" si="21"/>
        <v>#VALUE!</v>
      </c>
      <c r="J192" s="865">
        <f>SUM($H$19:$H192)</f>
        <v>0</v>
      </c>
    </row>
    <row r="193" spans="1:10">
      <c r="A193" s="863" t="str">
        <f t="shared" si="22"/>
        <v/>
      </c>
      <c r="B193" s="864" t="str">
        <f t="shared" si="18"/>
        <v/>
      </c>
      <c r="C193" s="865" t="str">
        <f t="shared" si="23"/>
        <v/>
      </c>
      <c r="D193" s="865" t="str">
        <f t="shared" si="26"/>
        <v/>
      </c>
      <c r="E193" s="866" t="e">
        <f t="shared" si="19"/>
        <v>#VALUE!</v>
      </c>
      <c r="F193" s="865" t="e">
        <f t="shared" si="20"/>
        <v>#VALUE!</v>
      </c>
      <c r="G193" s="865" t="str">
        <f t="shared" si="24"/>
        <v/>
      </c>
      <c r="H193" s="865" t="str">
        <f t="shared" si="25"/>
        <v/>
      </c>
      <c r="I193" s="865" t="e">
        <f t="shared" si="21"/>
        <v>#VALUE!</v>
      </c>
      <c r="J193" s="865">
        <f>SUM($H$19:$H193)</f>
        <v>0</v>
      </c>
    </row>
    <row r="194" spans="1:10">
      <c r="A194" s="863" t="str">
        <f t="shared" si="22"/>
        <v/>
      </c>
      <c r="B194" s="864" t="str">
        <f t="shared" si="18"/>
        <v/>
      </c>
      <c r="C194" s="865" t="str">
        <f t="shared" si="23"/>
        <v/>
      </c>
      <c r="D194" s="865" t="str">
        <f t="shared" si="26"/>
        <v/>
      </c>
      <c r="E194" s="866" t="e">
        <f t="shared" si="19"/>
        <v>#VALUE!</v>
      </c>
      <c r="F194" s="865" t="e">
        <f t="shared" si="20"/>
        <v>#VALUE!</v>
      </c>
      <c r="G194" s="865" t="str">
        <f t="shared" si="24"/>
        <v/>
      </c>
      <c r="H194" s="865" t="str">
        <f t="shared" si="25"/>
        <v/>
      </c>
      <c r="I194" s="865" t="e">
        <f t="shared" si="21"/>
        <v>#VALUE!</v>
      </c>
      <c r="J194" s="865">
        <f>SUM($H$19:$H194)</f>
        <v>0</v>
      </c>
    </row>
    <row r="195" spans="1:10">
      <c r="A195" s="863" t="str">
        <f t="shared" si="22"/>
        <v/>
      </c>
      <c r="B195" s="864" t="str">
        <f t="shared" si="18"/>
        <v/>
      </c>
      <c r="C195" s="865" t="str">
        <f t="shared" si="23"/>
        <v/>
      </c>
      <c r="D195" s="865" t="str">
        <f t="shared" si="26"/>
        <v/>
      </c>
      <c r="E195" s="866" t="e">
        <f t="shared" si="19"/>
        <v>#VALUE!</v>
      </c>
      <c r="F195" s="865" t="e">
        <f t="shared" si="20"/>
        <v>#VALUE!</v>
      </c>
      <c r="G195" s="865" t="str">
        <f t="shared" si="24"/>
        <v/>
      </c>
      <c r="H195" s="865" t="str">
        <f t="shared" si="25"/>
        <v/>
      </c>
      <c r="I195" s="865" t="e">
        <f t="shared" si="21"/>
        <v>#VALUE!</v>
      </c>
      <c r="J195" s="865">
        <f>SUM($H$19:$H195)</f>
        <v>0</v>
      </c>
    </row>
    <row r="196" spans="1:10">
      <c r="A196" s="863" t="str">
        <f t="shared" si="22"/>
        <v/>
      </c>
      <c r="B196" s="864" t="str">
        <f t="shared" si="18"/>
        <v/>
      </c>
      <c r="C196" s="865" t="str">
        <f t="shared" si="23"/>
        <v/>
      </c>
      <c r="D196" s="865" t="str">
        <f t="shared" si="26"/>
        <v/>
      </c>
      <c r="E196" s="866" t="e">
        <f t="shared" si="19"/>
        <v>#VALUE!</v>
      </c>
      <c r="F196" s="865" t="e">
        <f t="shared" si="20"/>
        <v>#VALUE!</v>
      </c>
      <c r="G196" s="865" t="str">
        <f t="shared" si="24"/>
        <v/>
      </c>
      <c r="H196" s="865" t="str">
        <f t="shared" si="25"/>
        <v/>
      </c>
      <c r="I196" s="865" t="e">
        <f t="shared" si="21"/>
        <v>#VALUE!</v>
      </c>
      <c r="J196" s="865">
        <f>SUM($H$19:$H196)</f>
        <v>0</v>
      </c>
    </row>
    <row r="197" spans="1:10">
      <c r="A197" s="863" t="str">
        <f t="shared" si="22"/>
        <v/>
      </c>
      <c r="B197" s="864" t="str">
        <f t="shared" si="18"/>
        <v/>
      </c>
      <c r="C197" s="865" t="str">
        <f t="shared" si="23"/>
        <v/>
      </c>
      <c r="D197" s="865" t="str">
        <f t="shared" si="26"/>
        <v/>
      </c>
      <c r="E197" s="866" t="e">
        <f t="shared" si="19"/>
        <v>#VALUE!</v>
      </c>
      <c r="F197" s="865" t="e">
        <f t="shared" si="20"/>
        <v>#VALUE!</v>
      </c>
      <c r="G197" s="865" t="str">
        <f t="shared" si="24"/>
        <v/>
      </c>
      <c r="H197" s="865" t="str">
        <f t="shared" si="25"/>
        <v/>
      </c>
      <c r="I197" s="865" t="e">
        <f t="shared" si="21"/>
        <v>#VALUE!</v>
      </c>
      <c r="J197" s="865">
        <f>SUM($H$19:$H197)</f>
        <v>0</v>
      </c>
    </row>
    <row r="198" spans="1:10">
      <c r="A198" s="863" t="str">
        <f t="shared" si="22"/>
        <v/>
      </c>
      <c r="B198" s="864" t="str">
        <f t="shared" si="18"/>
        <v/>
      </c>
      <c r="C198" s="865" t="str">
        <f t="shared" si="23"/>
        <v/>
      </c>
      <c r="D198" s="865" t="str">
        <f t="shared" si="26"/>
        <v/>
      </c>
      <c r="E198" s="866" t="e">
        <f t="shared" si="19"/>
        <v>#VALUE!</v>
      </c>
      <c r="F198" s="865" t="e">
        <f t="shared" si="20"/>
        <v>#VALUE!</v>
      </c>
      <c r="G198" s="865" t="str">
        <f t="shared" si="24"/>
        <v/>
      </c>
      <c r="H198" s="865" t="str">
        <f t="shared" si="25"/>
        <v/>
      </c>
      <c r="I198" s="865" t="e">
        <f t="shared" si="21"/>
        <v>#VALUE!</v>
      </c>
      <c r="J198" s="865">
        <f>SUM($H$19:$H198)</f>
        <v>0</v>
      </c>
    </row>
    <row r="199" spans="1:10">
      <c r="A199" s="863" t="str">
        <f t="shared" si="22"/>
        <v/>
      </c>
      <c r="B199" s="864" t="str">
        <f t="shared" si="18"/>
        <v/>
      </c>
      <c r="C199" s="865" t="str">
        <f t="shared" si="23"/>
        <v/>
      </c>
      <c r="D199" s="865" t="str">
        <f t="shared" si="26"/>
        <v/>
      </c>
      <c r="E199" s="866" t="e">
        <f t="shared" si="19"/>
        <v>#VALUE!</v>
      </c>
      <c r="F199" s="865" t="e">
        <f t="shared" si="20"/>
        <v>#VALUE!</v>
      </c>
      <c r="G199" s="865" t="str">
        <f t="shared" si="24"/>
        <v/>
      </c>
      <c r="H199" s="865" t="str">
        <f t="shared" si="25"/>
        <v/>
      </c>
      <c r="I199" s="865" t="e">
        <f t="shared" si="21"/>
        <v>#VALUE!</v>
      </c>
      <c r="J199" s="865">
        <f>SUM($H$19:$H199)</f>
        <v>0</v>
      </c>
    </row>
    <row r="200" spans="1:10">
      <c r="A200" s="863" t="str">
        <f t="shared" si="22"/>
        <v/>
      </c>
      <c r="B200" s="864" t="str">
        <f t="shared" si="18"/>
        <v/>
      </c>
      <c r="C200" s="865" t="str">
        <f t="shared" si="23"/>
        <v/>
      </c>
      <c r="D200" s="865" t="str">
        <f t="shared" si="26"/>
        <v/>
      </c>
      <c r="E200" s="866" t="e">
        <f t="shared" si="19"/>
        <v>#VALUE!</v>
      </c>
      <c r="F200" s="865" t="e">
        <f t="shared" si="20"/>
        <v>#VALUE!</v>
      </c>
      <c r="G200" s="865" t="str">
        <f t="shared" si="24"/>
        <v/>
      </c>
      <c r="H200" s="865" t="str">
        <f t="shared" si="25"/>
        <v/>
      </c>
      <c r="I200" s="865" t="e">
        <f t="shared" si="21"/>
        <v>#VALUE!</v>
      </c>
      <c r="J200" s="865">
        <f>SUM($H$19:$H200)</f>
        <v>0</v>
      </c>
    </row>
    <row r="201" spans="1:10">
      <c r="A201" s="863" t="str">
        <f t="shared" si="22"/>
        <v/>
      </c>
      <c r="B201" s="864" t="str">
        <f t="shared" si="18"/>
        <v/>
      </c>
      <c r="C201" s="865" t="str">
        <f t="shared" si="23"/>
        <v/>
      </c>
      <c r="D201" s="865" t="str">
        <f t="shared" si="26"/>
        <v/>
      </c>
      <c r="E201" s="866" t="e">
        <f t="shared" si="19"/>
        <v>#VALUE!</v>
      </c>
      <c r="F201" s="865" t="e">
        <f t="shared" si="20"/>
        <v>#VALUE!</v>
      </c>
      <c r="G201" s="865" t="str">
        <f t="shared" si="24"/>
        <v/>
      </c>
      <c r="H201" s="865" t="str">
        <f t="shared" si="25"/>
        <v/>
      </c>
      <c r="I201" s="865" t="e">
        <f t="shared" si="21"/>
        <v>#VALUE!</v>
      </c>
      <c r="J201" s="865">
        <f>SUM($H$19:$H201)</f>
        <v>0</v>
      </c>
    </row>
    <row r="202" spans="1:10">
      <c r="A202" s="863" t="str">
        <f t="shared" si="22"/>
        <v/>
      </c>
      <c r="B202" s="864" t="str">
        <f t="shared" si="18"/>
        <v/>
      </c>
      <c r="C202" s="865" t="str">
        <f t="shared" si="23"/>
        <v/>
      </c>
      <c r="D202" s="865" t="str">
        <f t="shared" si="26"/>
        <v/>
      </c>
      <c r="E202" s="866" t="e">
        <f t="shared" si="19"/>
        <v>#VALUE!</v>
      </c>
      <c r="F202" s="865" t="e">
        <f t="shared" si="20"/>
        <v>#VALUE!</v>
      </c>
      <c r="G202" s="865" t="str">
        <f t="shared" si="24"/>
        <v/>
      </c>
      <c r="H202" s="865" t="str">
        <f t="shared" si="25"/>
        <v/>
      </c>
      <c r="I202" s="865" t="e">
        <f t="shared" si="21"/>
        <v>#VALUE!</v>
      </c>
      <c r="J202" s="865">
        <f>SUM($H$19:$H202)</f>
        <v>0</v>
      </c>
    </row>
    <row r="203" spans="1:10">
      <c r="A203" s="863" t="str">
        <f t="shared" si="22"/>
        <v/>
      </c>
      <c r="B203" s="864" t="str">
        <f t="shared" si="18"/>
        <v/>
      </c>
      <c r="C203" s="865" t="str">
        <f t="shared" si="23"/>
        <v/>
      </c>
      <c r="D203" s="865" t="str">
        <f t="shared" si="26"/>
        <v/>
      </c>
      <c r="E203" s="866" t="e">
        <f t="shared" si="19"/>
        <v>#VALUE!</v>
      </c>
      <c r="F203" s="865" t="e">
        <f t="shared" si="20"/>
        <v>#VALUE!</v>
      </c>
      <c r="G203" s="865" t="str">
        <f t="shared" si="24"/>
        <v/>
      </c>
      <c r="H203" s="865" t="str">
        <f t="shared" si="25"/>
        <v/>
      </c>
      <c r="I203" s="865" t="e">
        <f t="shared" si="21"/>
        <v>#VALUE!</v>
      </c>
      <c r="J203" s="865">
        <f>SUM($H$19:$H203)</f>
        <v>0</v>
      </c>
    </row>
    <row r="204" spans="1:10">
      <c r="A204" s="863" t="str">
        <f t="shared" si="22"/>
        <v/>
      </c>
      <c r="B204" s="864" t="str">
        <f t="shared" si="18"/>
        <v/>
      </c>
      <c r="C204" s="865" t="str">
        <f t="shared" si="23"/>
        <v/>
      </c>
      <c r="D204" s="865" t="str">
        <f t="shared" si="26"/>
        <v/>
      </c>
      <c r="E204" s="866" t="e">
        <f t="shared" si="19"/>
        <v>#VALUE!</v>
      </c>
      <c r="F204" s="865" t="e">
        <f t="shared" si="20"/>
        <v>#VALUE!</v>
      </c>
      <c r="G204" s="865" t="str">
        <f t="shared" si="24"/>
        <v/>
      </c>
      <c r="H204" s="865" t="str">
        <f t="shared" si="25"/>
        <v/>
      </c>
      <c r="I204" s="865" t="e">
        <f t="shared" si="21"/>
        <v>#VALUE!</v>
      </c>
      <c r="J204" s="865">
        <f>SUM($H$19:$H204)</f>
        <v>0</v>
      </c>
    </row>
    <row r="205" spans="1:10">
      <c r="A205" s="863" t="str">
        <f t="shared" si="22"/>
        <v/>
      </c>
      <c r="B205" s="864" t="str">
        <f t="shared" si="18"/>
        <v/>
      </c>
      <c r="C205" s="865" t="str">
        <f t="shared" si="23"/>
        <v/>
      </c>
      <c r="D205" s="865" t="str">
        <f t="shared" si="26"/>
        <v/>
      </c>
      <c r="E205" s="866" t="e">
        <f t="shared" si="19"/>
        <v>#VALUE!</v>
      </c>
      <c r="F205" s="865" t="e">
        <f t="shared" si="20"/>
        <v>#VALUE!</v>
      </c>
      <c r="G205" s="865" t="str">
        <f t="shared" si="24"/>
        <v/>
      </c>
      <c r="H205" s="865" t="str">
        <f t="shared" si="25"/>
        <v/>
      </c>
      <c r="I205" s="865" t="e">
        <f t="shared" si="21"/>
        <v>#VALUE!</v>
      </c>
      <c r="J205" s="865">
        <f>SUM($H$19:$H205)</f>
        <v>0</v>
      </c>
    </row>
    <row r="206" spans="1:10">
      <c r="A206" s="863" t="str">
        <f t="shared" si="22"/>
        <v/>
      </c>
      <c r="B206" s="864" t="str">
        <f t="shared" si="18"/>
        <v/>
      </c>
      <c r="C206" s="865" t="str">
        <f t="shared" si="23"/>
        <v/>
      </c>
      <c r="D206" s="865" t="str">
        <f t="shared" si="26"/>
        <v/>
      </c>
      <c r="E206" s="866" t="e">
        <f t="shared" si="19"/>
        <v>#VALUE!</v>
      </c>
      <c r="F206" s="865" t="e">
        <f t="shared" si="20"/>
        <v>#VALUE!</v>
      </c>
      <c r="G206" s="865" t="str">
        <f t="shared" si="24"/>
        <v/>
      </c>
      <c r="H206" s="865" t="str">
        <f t="shared" si="25"/>
        <v/>
      </c>
      <c r="I206" s="865" t="e">
        <f t="shared" si="21"/>
        <v>#VALUE!</v>
      </c>
      <c r="J206" s="865">
        <f>SUM($H$19:$H206)</f>
        <v>0</v>
      </c>
    </row>
    <row r="207" spans="1:10">
      <c r="A207" s="863" t="str">
        <f t="shared" si="22"/>
        <v/>
      </c>
      <c r="B207" s="864" t="str">
        <f t="shared" si="18"/>
        <v/>
      </c>
      <c r="C207" s="865" t="str">
        <f t="shared" si="23"/>
        <v/>
      </c>
      <c r="D207" s="865" t="str">
        <f t="shared" si="26"/>
        <v/>
      </c>
      <c r="E207" s="866" t="e">
        <f t="shared" si="19"/>
        <v>#VALUE!</v>
      </c>
      <c r="F207" s="865" t="e">
        <f t="shared" si="20"/>
        <v>#VALUE!</v>
      </c>
      <c r="G207" s="865" t="str">
        <f t="shared" si="24"/>
        <v/>
      </c>
      <c r="H207" s="865" t="str">
        <f t="shared" si="25"/>
        <v/>
      </c>
      <c r="I207" s="865" t="e">
        <f t="shared" si="21"/>
        <v>#VALUE!</v>
      </c>
      <c r="J207" s="865">
        <f>SUM($H$19:$H207)</f>
        <v>0</v>
      </c>
    </row>
    <row r="208" spans="1:10">
      <c r="A208" s="863" t="str">
        <f t="shared" si="22"/>
        <v/>
      </c>
      <c r="B208" s="864" t="str">
        <f t="shared" si="18"/>
        <v/>
      </c>
      <c r="C208" s="865" t="str">
        <f t="shared" si="23"/>
        <v/>
      </c>
      <c r="D208" s="865" t="str">
        <f t="shared" si="26"/>
        <v/>
      </c>
      <c r="E208" s="866" t="e">
        <f t="shared" si="19"/>
        <v>#VALUE!</v>
      </c>
      <c r="F208" s="865" t="e">
        <f t="shared" si="20"/>
        <v>#VALUE!</v>
      </c>
      <c r="G208" s="865" t="str">
        <f t="shared" si="24"/>
        <v/>
      </c>
      <c r="H208" s="865" t="str">
        <f t="shared" si="25"/>
        <v/>
      </c>
      <c r="I208" s="865" t="e">
        <f t="shared" si="21"/>
        <v>#VALUE!</v>
      </c>
      <c r="J208" s="865">
        <f>SUM($H$19:$H208)</f>
        <v>0</v>
      </c>
    </row>
    <row r="209" spans="1:10">
      <c r="A209" s="863" t="str">
        <f t="shared" si="22"/>
        <v/>
      </c>
      <c r="B209" s="864" t="str">
        <f t="shared" si="18"/>
        <v/>
      </c>
      <c r="C209" s="865" t="str">
        <f t="shared" si="23"/>
        <v/>
      </c>
      <c r="D209" s="865" t="str">
        <f t="shared" si="26"/>
        <v/>
      </c>
      <c r="E209" s="866" t="e">
        <f t="shared" si="19"/>
        <v>#VALUE!</v>
      </c>
      <c r="F209" s="865" t="e">
        <f t="shared" si="20"/>
        <v>#VALUE!</v>
      </c>
      <c r="G209" s="865" t="str">
        <f t="shared" si="24"/>
        <v/>
      </c>
      <c r="H209" s="865" t="str">
        <f t="shared" si="25"/>
        <v/>
      </c>
      <c r="I209" s="865" t="e">
        <f t="shared" si="21"/>
        <v>#VALUE!</v>
      </c>
      <c r="J209" s="865">
        <f>SUM($H$19:$H209)</f>
        <v>0</v>
      </c>
    </row>
    <row r="210" spans="1:10">
      <c r="A210" s="863" t="str">
        <f t="shared" si="22"/>
        <v/>
      </c>
      <c r="B210" s="864" t="str">
        <f t="shared" si="18"/>
        <v/>
      </c>
      <c r="C210" s="865" t="str">
        <f t="shared" si="23"/>
        <v/>
      </c>
      <c r="D210" s="865" t="str">
        <f t="shared" si="26"/>
        <v/>
      </c>
      <c r="E210" s="866" t="e">
        <f t="shared" si="19"/>
        <v>#VALUE!</v>
      </c>
      <c r="F210" s="865" t="e">
        <f t="shared" si="20"/>
        <v>#VALUE!</v>
      </c>
      <c r="G210" s="865" t="str">
        <f t="shared" si="24"/>
        <v/>
      </c>
      <c r="H210" s="865" t="str">
        <f t="shared" si="25"/>
        <v/>
      </c>
      <c r="I210" s="865" t="e">
        <f t="shared" si="21"/>
        <v>#VALUE!</v>
      </c>
      <c r="J210" s="865">
        <f>SUM($H$19:$H210)</f>
        <v>0</v>
      </c>
    </row>
    <row r="211" spans="1:10">
      <c r="A211" s="863" t="str">
        <f t="shared" si="22"/>
        <v/>
      </c>
      <c r="B211" s="864" t="str">
        <f t="shared" ref="B211:B274" si="27">IF(Pay_Num&lt;&gt;"",DATE(YEAR(Loan_Start),MONTH(Loan_Start)+(Pay_Num)*12/Num_Pmt_Per_Year,DAY(Loan_Start)),"")</f>
        <v/>
      </c>
      <c r="C211" s="865" t="str">
        <f t="shared" si="23"/>
        <v/>
      </c>
      <c r="D211" s="865" t="str">
        <f t="shared" si="26"/>
        <v/>
      </c>
      <c r="E211" s="866" t="e">
        <f t="shared" ref="E211:E274" si="28">IF(AND(Pay_Num&lt;&gt;"",Sched_Pay+Scheduled_Extra_Payments&lt;Beg_Bal),Scheduled_Extra_Payments,IF(AND(Pay_Num&lt;&gt;"",Beg_Bal-Sched_Pay&gt;0),Beg_Bal-Sched_Pay,IF(Pay_Num&lt;&gt;"",0,"")))</f>
        <v>#VALUE!</v>
      </c>
      <c r="F211" s="865" t="e">
        <f t="shared" ref="F211:F274" si="29">IF(AND(Pay_Num&lt;&gt;"",Sched_Pay+Extra_Pay&lt;Beg_Bal),Sched_Pay+Extra_Pay,IF(Pay_Num&lt;&gt;"",Beg_Bal,""))</f>
        <v>#VALUE!</v>
      </c>
      <c r="G211" s="865" t="str">
        <f t="shared" si="24"/>
        <v/>
      </c>
      <c r="H211" s="865" t="str">
        <f t="shared" si="25"/>
        <v/>
      </c>
      <c r="I211" s="865" t="e">
        <f t="shared" ref="I211:I274" si="30">IF(AND(Pay_Num&lt;&gt;"",Sched_Pay+Extra_Pay&lt;Beg_Bal),Beg_Bal-Princ,IF(Pay_Num&lt;&gt;"",0,""))</f>
        <v>#VALUE!</v>
      </c>
      <c r="J211" s="865">
        <f>SUM($H$19:$H211)</f>
        <v>0</v>
      </c>
    </row>
    <row r="212" spans="1:10">
      <c r="A212" s="863" t="str">
        <f t="shared" ref="A212:A275" si="31">IF(Values_Entered,A211+1,"")</f>
        <v/>
      </c>
      <c r="B212" s="864" t="str">
        <f t="shared" si="27"/>
        <v/>
      </c>
      <c r="C212" s="865" t="str">
        <f t="shared" ref="C212:C275" si="32">IF(Pay_Num&lt;&gt;"",I211,"")</f>
        <v/>
      </c>
      <c r="D212" s="865" t="str">
        <f t="shared" si="26"/>
        <v/>
      </c>
      <c r="E212" s="866" t="e">
        <f t="shared" si="28"/>
        <v>#VALUE!</v>
      </c>
      <c r="F212" s="865" t="e">
        <f t="shared" si="29"/>
        <v>#VALUE!</v>
      </c>
      <c r="G212" s="865" t="str">
        <f t="shared" ref="G212:G275" si="33">IF(Pay_Num&lt;&gt;"",Total_Pay-Int,"")</f>
        <v/>
      </c>
      <c r="H212" s="865" t="str">
        <f t="shared" ref="H212:H275" si="34">IF(Pay_Num&lt;&gt;"",Beg_Bal*Interest_Rate/Num_Pmt_Per_Year,"")</f>
        <v/>
      </c>
      <c r="I212" s="865" t="e">
        <f t="shared" si="30"/>
        <v>#VALUE!</v>
      </c>
      <c r="J212" s="865">
        <f>SUM($H$19:$H212)</f>
        <v>0</v>
      </c>
    </row>
    <row r="213" spans="1:10">
      <c r="A213" s="863" t="str">
        <f t="shared" si="31"/>
        <v/>
      </c>
      <c r="B213" s="864" t="str">
        <f t="shared" si="27"/>
        <v/>
      </c>
      <c r="C213" s="865" t="str">
        <f t="shared" si="32"/>
        <v/>
      </c>
      <c r="D213" s="865" t="str">
        <f t="shared" ref="D213:D276" si="35">IF(Pay_Num&lt;&gt;"",Scheduled_Monthly_Payment,"")</f>
        <v/>
      </c>
      <c r="E213" s="866" t="e">
        <f t="shared" si="28"/>
        <v>#VALUE!</v>
      </c>
      <c r="F213" s="865" t="e">
        <f t="shared" si="29"/>
        <v>#VALUE!</v>
      </c>
      <c r="G213" s="865" t="str">
        <f t="shared" si="33"/>
        <v/>
      </c>
      <c r="H213" s="865" t="str">
        <f t="shared" si="34"/>
        <v/>
      </c>
      <c r="I213" s="865" t="e">
        <f t="shared" si="30"/>
        <v>#VALUE!</v>
      </c>
      <c r="J213" s="865">
        <f>SUM($H$19:$H213)</f>
        <v>0</v>
      </c>
    </row>
    <row r="214" spans="1:10">
      <c r="A214" s="863" t="str">
        <f t="shared" si="31"/>
        <v/>
      </c>
      <c r="B214" s="864" t="str">
        <f t="shared" si="27"/>
        <v/>
      </c>
      <c r="C214" s="865" t="str">
        <f t="shared" si="32"/>
        <v/>
      </c>
      <c r="D214" s="865" t="str">
        <f t="shared" si="35"/>
        <v/>
      </c>
      <c r="E214" s="866" t="e">
        <f t="shared" si="28"/>
        <v>#VALUE!</v>
      </c>
      <c r="F214" s="865" t="e">
        <f t="shared" si="29"/>
        <v>#VALUE!</v>
      </c>
      <c r="G214" s="865" t="str">
        <f t="shared" si="33"/>
        <v/>
      </c>
      <c r="H214" s="865" t="str">
        <f t="shared" si="34"/>
        <v/>
      </c>
      <c r="I214" s="865" t="e">
        <f t="shared" si="30"/>
        <v>#VALUE!</v>
      </c>
      <c r="J214" s="865">
        <f>SUM($H$19:$H214)</f>
        <v>0</v>
      </c>
    </row>
    <row r="215" spans="1:10">
      <c r="A215" s="863" t="str">
        <f t="shared" si="31"/>
        <v/>
      </c>
      <c r="B215" s="864" t="str">
        <f t="shared" si="27"/>
        <v/>
      </c>
      <c r="C215" s="865" t="str">
        <f t="shared" si="32"/>
        <v/>
      </c>
      <c r="D215" s="865" t="str">
        <f t="shared" si="35"/>
        <v/>
      </c>
      <c r="E215" s="866" t="e">
        <f t="shared" si="28"/>
        <v>#VALUE!</v>
      </c>
      <c r="F215" s="865" t="e">
        <f t="shared" si="29"/>
        <v>#VALUE!</v>
      </c>
      <c r="G215" s="865" t="str">
        <f t="shared" si="33"/>
        <v/>
      </c>
      <c r="H215" s="865" t="str">
        <f t="shared" si="34"/>
        <v/>
      </c>
      <c r="I215" s="865" t="e">
        <f t="shared" si="30"/>
        <v>#VALUE!</v>
      </c>
      <c r="J215" s="865">
        <f>SUM($H$19:$H215)</f>
        <v>0</v>
      </c>
    </row>
    <row r="216" spans="1:10">
      <c r="A216" s="863" t="str">
        <f t="shared" si="31"/>
        <v/>
      </c>
      <c r="B216" s="864" t="str">
        <f t="shared" si="27"/>
        <v/>
      </c>
      <c r="C216" s="865" t="str">
        <f t="shared" si="32"/>
        <v/>
      </c>
      <c r="D216" s="865" t="str">
        <f t="shared" si="35"/>
        <v/>
      </c>
      <c r="E216" s="866" t="e">
        <f t="shared" si="28"/>
        <v>#VALUE!</v>
      </c>
      <c r="F216" s="865" t="e">
        <f t="shared" si="29"/>
        <v>#VALUE!</v>
      </c>
      <c r="G216" s="865" t="str">
        <f t="shared" si="33"/>
        <v/>
      </c>
      <c r="H216" s="865" t="str">
        <f t="shared" si="34"/>
        <v/>
      </c>
      <c r="I216" s="865" t="e">
        <f t="shared" si="30"/>
        <v>#VALUE!</v>
      </c>
      <c r="J216" s="865">
        <f>SUM($H$19:$H216)</f>
        <v>0</v>
      </c>
    </row>
    <row r="217" spans="1:10">
      <c r="A217" s="863" t="str">
        <f t="shared" si="31"/>
        <v/>
      </c>
      <c r="B217" s="864" t="str">
        <f t="shared" si="27"/>
        <v/>
      </c>
      <c r="C217" s="865" t="str">
        <f t="shared" si="32"/>
        <v/>
      </c>
      <c r="D217" s="865" t="str">
        <f t="shared" si="35"/>
        <v/>
      </c>
      <c r="E217" s="866" t="e">
        <f t="shared" si="28"/>
        <v>#VALUE!</v>
      </c>
      <c r="F217" s="865" t="e">
        <f t="shared" si="29"/>
        <v>#VALUE!</v>
      </c>
      <c r="G217" s="865" t="str">
        <f t="shared" si="33"/>
        <v/>
      </c>
      <c r="H217" s="865" t="str">
        <f t="shared" si="34"/>
        <v/>
      </c>
      <c r="I217" s="865" t="e">
        <f t="shared" si="30"/>
        <v>#VALUE!</v>
      </c>
      <c r="J217" s="865">
        <f>SUM($H$19:$H217)</f>
        <v>0</v>
      </c>
    </row>
    <row r="218" spans="1:10">
      <c r="A218" s="863" t="str">
        <f t="shared" si="31"/>
        <v/>
      </c>
      <c r="B218" s="864" t="str">
        <f t="shared" si="27"/>
        <v/>
      </c>
      <c r="C218" s="865" t="str">
        <f t="shared" si="32"/>
        <v/>
      </c>
      <c r="D218" s="865" t="str">
        <f t="shared" si="35"/>
        <v/>
      </c>
      <c r="E218" s="866" t="e">
        <f t="shared" si="28"/>
        <v>#VALUE!</v>
      </c>
      <c r="F218" s="865" t="e">
        <f t="shared" si="29"/>
        <v>#VALUE!</v>
      </c>
      <c r="G218" s="865" t="str">
        <f t="shared" si="33"/>
        <v/>
      </c>
      <c r="H218" s="865" t="str">
        <f t="shared" si="34"/>
        <v/>
      </c>
      <c r="I218" s="865" t="e">
        <f t="shared" si="30"/>
        <v>#VALUE!</v>
      </c>
      <c r="J218" s="865">
        <f>SUM($H$19:$H218)</f>
        <v>0</v>
      </c>
    </row>
    <row r="219" spans="1:10">
      <c r="A219" s="863" t="str">
        <f t="shared" si="31"/>
        <v/>
      </c>
      <c r="B219" s="864" t="str">
        <f t="shared" si="27"/>
        <v/>
      </c>
      <c r="C219" s="865" t="str">
        <f t="shared" si="32"/>
        <v/>
      </c>
      <c r="D219" s="865" t="str">
        <f t="shared" si="35"/>
        <v/>
      </c>
      <c r="E219" s="866" t="e">
        <f t="shared" si="28"/>
        <v>#VALUE!</v>
      </c>
      <c r="F219" s="865" t="e">
        <f t="shared" si="29"/>
        <v>#VALUE!</v>
      </c>
      <c r="G219" s="865" t="str">
        <f t="shared" si="33"/>
        <v/>
      </c>
      <c r="H219" s="865" t="str">
        <f t="shared" si="34"/>
        <v/>
      </c>
      <c r="I219" s="865" t="e">
        <f t="shared" si="30"/>
        <v>#VALUE!</v>
      </c>
      <c r="J219" s="865">
        <f>SUM($H$19:$H219)</f>
        <v>0</v>
      </c>
    </row>
    <row r="220" spans="1:10">
      <c r="A220" s="863" t="str">
        <f t="shared" si="31"/>
        <v/>
      </c>
      <c r="B220" s="864" t="str">
        <f t="shared" si="27"/>
        <v/>
      </c>
      <c r="C220" s="865" t="str">
        <f t="shared" si="32"/>
        <v/>
      </c>
      <c r="D220" s="865" t="str">
        <f t="shared" si="35"/>
        <v/>
      </c>
      <c r="E220" s="866" t="e">
        <f t="shared" si="28"/>
        <v>#VALUE!</v>
      </c>
      <c r="F220" s="865" t="e">
        <f t="shared" si="29"/>
        <v>#VALUE!</v>
      </c>
      <c r="G220" s="865" t="str">
        <f t="shared" si="33"/>
        <v/>
      </c>
      <c r="H220" s="865" t="str">
        <f t="shared" si="34"/>
        <v/>
      </c>
      <c r="I220" s="865" t="e">
        <f t="shared" si="30"/>
        <v>#VALUE!</v>
      </c>
      <c r="J220" s="865">
        <f>SUM($H$19:$H220)</f>
        <v>0</v>
      </c>
    </row>
    <row r="221" spans="1:10">
      <c r="A221" s="863" t="str">
        <f t="shared" si="31"/>
        <v/>
      </c>
      <c r="B221" s="864" t="str">
        <f t="shared" si="27"/>
        <v/>
      </c>
      <c r="C221" s="865" t="str">
        <f t="shared" si="32"/>
        <v/>
      </c>
      <c r="D221" s="865" t="str">
        <f t="shared" si="35"/>
        <v/>
      </c>
      <c r="E221" s="866" t="e">
        <f t="shared" si="28"/>
        <v>#VALUE!</v>
      </c>
      <c r="F221" s="865" t="e">
        <f t="shared" si="29"/>
        <v>#VALUE!</v>
      </c>
      <c r="G221" s="865" t="str">
        <f t="shared" si="33"/>
        <v/>
      </c>
      <c r="H221" s="865" t="str">
        <f t="shared" si="34"/>
        <v/>
      </c>
      <c r="I221" s="865" t="e">
        <f t="shared" si="30"/>
        <v>#VALUE!</v>
      </c>
      <c r="J221" s="865">
        <f>SUM($H$19:$H221)</f>
        <v>0</v>
      </c>
    </row>
    <row r="222" spans="1:10">
      <c r="A222" s="863" t="str">
        <f t="shared" si="31"/>
        <v/>
      </c>
      <c r="B222" s="864" t="str">
        <f t="shared" si="27"/>
        <v/>
      </c>
      <c r="C222" s="865" t="str">
        <f t="shared" si="32"/>
        <v/>
      </c>
      <c r="D222" s="865" t="str">
        <f t="shared" si="35"/>
        <v/>
      </c>
      <c r="E222" s="866" t="e">
        <f t="shared" si="28"/>
        <v>#VALUE!</v>
      </c>
      <c r="F222" s="865" t="e">
        <f t="shared" si="29"/>
        <v>#VALUE!</v>
      </c>
      <c r="G222" s="865" t="str">
        <f t="shared" si="33"/>
        <v/>
      </c>
      <c r="H222" s="865" t="str">
        <f t="shared" si="34"/>
        <v/>
      </c>
      <c r="I222" s="865" t="e">
        <f t="shared" si="30"/>
        <v>#VALUE!</v>
      </c>
      <c r="J222" s="865">
        <f>SUM($H$19:$H222)</f>
        <v>0</v>
      </c>
    </row>
    <row r="223" spans="1:10">
      <c r="A223" s="863" t="str">
        <f t="shared" si="31"/>
        <v/>
      </c>
      <c r="B223" s="864" t="str">
        <f t="shared" si="27"/>
        <v/>
      </c>
      <c r="C223" s="865" t="str">
        <f t="shared" si="32"/>
        <v/>
      </c>
      <c r="D223" s="865" t="str">
        <f t="shared" si="35"/>
        <v/>
      </c>
      <c r="E223" s="866" t="e">
        <f t="shared" si="28"/>
        <v>#VALUE!</v>
      </c>
      <c r="F223" s="865" t="e">
        <f t="shared" si="29"/>
        <v>#VALUE!</v>
      </c>
      <c r="G223" s="865" t="str">
        <f t="shared" si="33"/>
        <v/>
      </c>
      <c r="H223" s="865" t="str">
        <f t="shared" si="34"/>
        <v/>
      </c>
      <c r="I223" s="865" t="e">
        <f t="shared" si="30"/>
        <v>#VALUE!</v>
      </c>
      <c r="J223" s="865">
        <f>SUM($H$19:$H223)</f>
        <v>0</v>
      </c>
    </row>
    <row r="224" spans="1:10">
      <c r="A224" s="863" t="str">
        <f t="shared" si="31"/>
        <v/>
      </c>
      <c r="B224" s="864" t="str">
        <f t="shared" si="27"/>
        <v/>
      </c>
      <c r="C224" s="865" t="str">
        <f t="shared" si="32"/>
        <v/>
      </c>
      <c r="D224" s="865" t="str">
        <f t="shared" si="35"/>
        <v/>
      </c>
      <c r="E224" s="866" t="e">
        <f t="shared" si="28"/>
        <v>#VALUE!</v>
      </c>
      <c r="F224" s="865" t="e">
        <f t="shared" si="29"/>
        <v>#VALUE!</v>
      </c>
      <c r="G224" s="865" t="str">
        <f t="shared" si="33"/>
        <v/>
      </c>
      <c r="H224" s="865" t="str">
        <f t="shared" si="34"/>
        <v/>
      </c>
      <c r="I224" s="865" t="e">
        <f t="shared" si="30"/>
        <v>#VALUE!</v>
      </c>
      <c r="J224" s="865">
        <f>SUM($H$19:$H224)</f>
        <v>0</v>
      </c>
    </row>
    <row r="225" spans="1:10">
      <c r="A225" s="863" t="str">
        <f t="shared" si="31"/>
        <v/>
      </c>
      <c r="B225" s="864" t="str">
        <f t="shared" si="27"/>
        <v/>
      </c>
      <c r="C225" s="865" t="str">
        <f t="shared" si="32"/>
        <v/>
      </c>
      <c r="D225" s="865" t="str">
        <f t="shared" si="35"/>
        <v/>
      </c>
      <c r="E225" s="866" t="e">
        <f t="shared" si="28"/>
        <v>#VALUE!</v>
      </c>
      <c r="F225" s="865" t="e">
        <f t="shared" si="29"/>
        <v>#VALUE!</v>
      </c>
      <c r="G225" s="865" t="str">
        <f t="shared" si="33"/>
        <v/>
      </c>
      <c r="H225" s="865" t="str">
        <f t="shared" si="34"/>
        <v/>
      </c>
      <c r="I225" s="865" t="e">
        <f t="shared" si="30"/>
        <v>#VALUE!</v>
      </c>
      <c r="J225" s="865">
        <f>SUM($H$19:$H225)</f>
        <v>0</v>
      </c>
    </row>
    <row r="226" spans="1:10">
      <c r="A226" s="863" t="str">
        <f t="shared" si="31"/>
        <v/>
      </c>
      <c r="B226" s="864" t="str">
        <f t="shared" si="27"/>
        <v/>
      </c>
      <c r="C226" s="865" t="str">
        <f t="shared" si="32"/>
        <v/>
      </c>
      <c r="D226" s="865" t="str">
        <f t="shared" si="35"/>
        <v/>
      </c>
      <c r="E226" s="866" t="e">
        <f t="shared" si="28"/>
        <v>#VALUE!</v>
      </c>
      <c r="F226" s="865" t="e">
        <f t="shared" si="29"/>
        <v>#VALUE!</v>
      </c>
      <c r="G226" s="865" t="str">
        <f t="shared" si="33"/>
        <v/>
      </c>
      <c r="H226" s="865" t="str">
        <f t="shared" si="34"/>
        <v/>
      </c>
      <c r="I226" s="865" t="e">
        <f t="shared" si="30"/>
        <v>#VALUE!</v>
      </c>
      <c r="J226" s="865">
        <f>SUM($H$19:$H226)</f>
        <v>0</v>
      </c>
    </row>
    <row r="227" spans="1:10">
      <c r="A227" s="863" t="str">
        <f t="shared" si="31"/>
        <v/>
      </c>
      <c r="B227" s="864" t="str">
        <f t="shared" si="27"/>
        <v/>
      </c>
      <c r="C227" s="865" t="str">
        <f t="shared" si="32"/>
        <v/>
      </c>
      <c r="D227" s="865" t="str">
        <f t="shared" si="35"/>
        <v/>
      </c>
      <c r="E227" s="866" t="e">
        <f t="shared" si="28"/>
        <v>#VALUE!</v>
      </c>
      <c r="F227" s="865" t="e">
        <f t="shared" si="29"/>
        <v>#VALUE!</v>
      </c>
      <c r="G227" s="865" t="str">
        <f t="shared" si="33"/>
        <v/>
      </c>
      <c r="H227" s="865" t="str">
        <f t="shared" si="34"/>
        <v/>
      </c>
      <c r="I227" s="865" t="e">
        <f t="shared" si="30"/>
        <v>#VALUE!</v>
      </c>
      <c r="J227" s="865">
        <f>SUM($H$19:$H227)</f>
        <v>0</v>
      </c>
    </row>
    <row r="228" spans="1:10">
      <c r="A228" s="863" t="str">
        <f t="shared" si="31"/>
        <v/>
      </c>
      <c r="B228" s="864" t="str">
        <f t="shared" si="27"/>
        <v/>
      </c>
      <c r="C228" s="865" t="str">
        <f t="shared" si="32"/>
        <v/>
      </c>
      <c r="D228" s="865" t="str">
        <f t="shared" si="35"/>
        <v/>
      </c>
      <c r="E228" s="866" t="e">
        <f t="shared" si="28"/>
        <v>#VALUE!</v>
      </c>
      <c r="F228" s="865" t="e">
        <f t="shared" si="29"/>
        <v>#VALUE!</v>
      </c>
      <c r="G228" s="865" t="str">
        <f t="shared" si="33"/>
        <v/>
      </c>
      <c r="H228" s="865" t="str">
        <f t="shared" si="34"/>
        <v/>
      </c>
      <c r="I228" s="865" t="e">
        <f t="shared" si="30"/>
        <v>#VALUE!</v>
      </c>
      <c r="J228" s="865">
        <f>SUM($H$19:$H228)</f>
        <v>0</v>
      </c>
    </row>
    <row r="229" spans="1:10">
      <c r="A229" s="863" t="str">
        <f t="shared" si="31"/>
        <v/>
      </c>
      <c r="B229" s="864" t="str">
        <f t="shared" si="27"/>
        <v/>
      </c>
      <c r="C229" s="865" t="str">
        <f t="shared" si="32"/>
        <v/>
      </c>
      <c r="D229" s="865" t="str">
        <f t="shared" si="35"/>
        <v/>
      </c>
      <c r="E229" s="866" t="e">
        <f t="shared" si="28"/>
        <v>#VALUE!</v>
      </c>
      <c r="F229" s="865" t="e">
        <f t="shared" si="29"/>
        <v>#VALUE!</v>
      </c>
      <c r="G229" s="865" t="str">
        <f t="shared" si="33"/>
        <v/>
      </c>
      <c r="H229" s="865" t="str">
        <f t="shared" si="34"/>
        <v/>
      </c>
      <c r="I229" s="865" t="e">
        <f t="shared" si="30"/>
        <v>#VALUE!</v>
      </c>
      <c r="J229" s="865">
        <f>SUM($H$19:$H229)</f>
        <v>0</v>
      </c>
    </row>
    <row r="230" spans="1:10">
      <c r="A230" s="863" t="str">
        <f t="shared" si="31"/>
        <v/>
      </c>
      <c r="B230" s="864" t="str">
        <f t="shared" si="27"/>
        <v/>
      </c>
      <c r="C230" s="865" t="str">
        <f t="shared" si="32"/>
        <v/>
      </c>
      <c r="D230" s="865" t="str">
        <f t="shared" si="35"/>
        <v/>
      </c>
      <c r="E230" s="866" t="e">
        <f t="shared" si="28"/>
        <v>#VALUE!</v>
      </c>
      <c r="F230" s="865" t="e">
        <f t="shared" si="29"/>
        <v>#VALUE!</v>
      </c>
      <c r="G230" s="865" t="str">
        <f t="shared" si="33"/>
        <v/>
      </c>
      <c r="H230" s="865" t="str">
        <f t="shared" si="34"/>
        <v/>
      </c>
      <c r="I230" s="865" t="e">
        <f t="shared" si="30"/>
        <v>#VALUE!</v>
      </c>
      <c r="J230" s="865">
        <f>SUM($H$19:$H230)</f>
        <v>0</v>
      </c>
    </row>
    <row r="231" spans="1:10">
      <c r="A231" s="863" t="str">
        <f t="shared" si="31"/>
        <v/>
      </c>
      <c r="B231" s="864" t="str">
        <f t="shared" si="27"/>
        <v/>
      </c>
      <c r="C231" s="865" t="str">
        <f t="shared" si="32"/>
        <v/>
      </c>
      <c r="D231" s="865" t="str">
        <f t="shared" si="35"/>
        <v/>
      </c>
      <c r="E231" s="866" t="e">
        <f t="shared" si="28"/>
        <v>#VALUE!</v>
      </c>
      <c r="F231" s="865" t="e">
        <f t="shared" si="29"/>
        <v>#VALUE!</v>
      </c>
      <c r="G231" s="865" t="str">
        <f t="shared" si="33"/>
        <v/>
      </c>
      <c r="H231" s="865" t="str">
        <f t="shared" si="34"/>
        <v/>
      </c>
      <c r="I231" s="865" t="e">
        <f t="shared" si="30"/>
        <v>#VALUE!</v>
      </c>
      <c r="J231" s="865">
        <f>SUM($H$19:$H231)</f>
        <v>0</v>
      </c>
    </row>
    <row r="232" spans="1:10">
      <c r="A232" s="863" t="str">
        <f t="shared" si="31"/>
        <v/>
      </c>
      <c r="B232" s="864" t="str">
        <f t="shared" si="27"/>
        <v/>
      </c>
      <c r="C232" s="865" t="str">
        <f t="shared" si="32"/>
        <v/>
      </c>
      <c r="D232" s="865" t="str">
        <f t="shared" si="35"/>
        <v/>
      </c>
      <c r="E232" s="866" t="e">
        <f t="shared" si="28"/>
        <v>#VALUE!</v>
      </c>
      <c r="F232" s="865" t="e">
        <f t="shared" si="29"/>
        <v>#VALUE!</v>
      </c>
      <c r="G232" s="865" t="str">
        <f t="shared" si="33"/>
        <v/>
      </c>
      <c r="H232" s="865" t="str">
        <f t="shared" si="34"/>
        <v/>
      </c>
      <c r="I232" s="865" t="e">
        <f t="shared" si="30"/>
        <v>#VALUE!</v>
      </c>
      <c r="J232" s="865">
        <f>SUM($H$19:$H232)</f>
        <v>0</v>
      </c>
    </row>
    <row r="233" spans="1:10">
      <c r="A233" s="863" t="str">
        <f t="shared" si="31"/>
        <v/>
      </c>
      <c r="B233" s="864" t="str">
        <f t="shared" si="27"/>
        <v/>
      </c>
      <c r="C233" s="865" t="str">
        <f t="shared" si="32"/>
        <v/>
      </c>
      <c r="D233" s="865" t="str">
        <f t="shared" si="35"/>
        <v/>
      </c>
      <c r="E233" s="866" t="e">
        <f t="shared" si="28"/>
        <v>#VALUE!</v>
      </c>
      <c r="F233" s="865" t="e">
        <f t="shared" si="29"/>
        <v>#VALUE!</v>
      </c>
      <c r="G233" s="865" t="str">
        <f t="shared" si="33"/>
        <v/>
      </c>
      <c r="H233" s="865" t="str">
        <f t="shared" si="34"/>
        <v/>
      </c>
      <c r="I233" s="865" t="e">
        <f t="shared" si="30"/>
        <v>#VALUE!</v>
      </c>
      <c r="J233" s="865">
        <f>SUM($H$19:$H233)</f>
        <v>0</v>
      </c>
    </row>
    <row r="234" spans="1:10">
      <c r="A234" s="863" t="str">
        <f t="shared" si="31"/>
        <v/>
      </c>
      <c r="B234" s="864" t="str">
        <f t="shared" si="27"/>
        <v/>
      </c>
      <c r="C234" s="865" t="str">
        <f t="shared" si="32"/>
        <v/>
      </c>
      <c r="D234" s="865" t="str">
        <f t="shared" si="35"/>
        <v/>
      </c>
      <c r="E234" s="866" t="e">
        <f t="shared" si="28"/>
        <v>#VALUE!</v>
      </c>
      <c r="F234" s="865" t="e">
        <f t="shared" si="29"/>
        <v>#VALUE!</v>
      </c>
      <c r="G234" s="865" t="str">
        <f t="shared" si="33"/>
        <v/>
      </c>
      <c r="H234" s="865" t="str">
        <f t="shared" si="34"/>
        <v/>
      </c>
      <c r="I234" s="865" t="e">
        <f t="shared" si="30"/>
        <v>#VALUE!</v>
      </c>
      <c r="J234" s="865">
        <f>SUM($H$19:$H234)</f>
        <v>0</v>
      </c>
    </row>
    <row r="235" spans="1:10">
      <c r="A235" s="863" t="str">
        <f t="shared" si="31"/>
        <v/>
      </c>
      <c r="B235" s="864" t="str">
        <f t="shared" si="27"/>
        <v/>
      </c>
      <c r="C235" s="865" t="str">
        <f t="shared" si="32"/>
        <v/>
      </c>
      <c r="D235" s="865" t="str">
        <f t="shared" si="35"/>
        <v/>
      </c>
      <c r="E235" s="866" t="e">
        <f t="shared" si="28"/>
        <v>#VALUE!</v>
      </c>
      <c r="F235" s="865" t="e">
        <f t="shared" si="29"/>
        <v>#VALUE!</v>
      </c>
      <c r="G235" s="865" t="str">
        <f t="shared" si="33"/>
        <v/>
      </c>
      <c r="H235" s="865" t="str">
        <f t="shared" si="34"/>
        <v/>
      </c>
      <c r="I235" s="865" t="e">
        <f t="shared" si="30"/>
        <v>#VALUE!</v>
      </c>
      <c r="J235" s="865">
        <f>SUM($H$19:$H235)</f>
        <v>0</v>
      </c>
    </row>
    <row r="236" spans="1:10">
      <c r="A236" s="863" t="str">
        <f t="shared" si="31"/>
        <v/>
      </c>
      <c r="B236" s="864" t="str">
        <f t="shared" si="27"/>
        <v/>
      </c>
      <c r="C236" s="865" t="str">
        <f t="shared" si="32"/>
        <v/>
      </c>
      <c r="D236" s="865" t="str">
        <f t="shared" si="35"/>
        <v/>
      </c>
      <c r="E236" s="866" t="e">
        <f t="shared" si="28"/>
        <v>#VALUE!</v>
      </c>
      <c r="F236" s="865" t="e">
        <f t="shared" si="29"/>
        <v>#VALUE!</v>
      </c>
      <c r="G236" s="865" t="str">
        <f t="shared" si="33"/>
        <v/>
      </c>
      <c r="H236" s="865" t="str">
        <f t="shared" si="34"/>
        <v/>
      </c>
      <c r="I236" s="865" t="e">
        <f t="shared" si="30"/>
        <v>#VALUE!</v>
      </c>
      <c r="J236" s="865">
        <f>SUM($H$19:$H236)</f>
        <v>0</v>
      </c>
    </row>
    <row r="237" spans="1:10">
      <c r="A237" s="863" t="str">
        <f t="shared" si="31"/>
        <v/>
      </c>
      <c r="B237" s="864" t="str">
        <f t="shared" si="27"/>
        <v/>
      </c>
      <c r="C237" s="865" t="str">
        <f t="shared" si="32"/>
        <v/>
      </c>
      <c r="D237" s="865" t="str">
        <f t="shared" si="35"/>
        <v/>
      </c>
      <c r="E237" s="866" t="e">
        <f t="shared" si="28"/>
        <v>#VALUE!</v>
      </c>
      <c r="F237" s="865" t="e">
        <f t="shared" si="29"/>
        <v>#VALUE!</v>
      </c>
      <c r="G237" s="865" t="str">
        <f t="shared" si="33"/>
        <v/>
      </c>
      <c r="H237" s="865" t="str">
        <f t="shared" si="34"/>
        <v/>
      </c>
      <c r="I237" s="865" t="e">
        <f t="shared" si="30"/>
        <v>#VALUE!</v>
      </c>
      <c r="J237" s="865">
        <f>SUM($H$19:$H237)</f>
        <v>0</v>
      </c>
    </row>
    <row r="238" spans="1:10">
      <c r="A238" s="863" t="str">
        <f t="shared" si="31"/>
        <v/>
      </c>
      <c r="B238" s="864" t="str">
        <f t="shared" si="27"/>
        <v/>
      </c>
      <c r="C238" s="865" t="str">
        <f t="shared" si="32"/>
        <v/>
      </c>
      <c r="D238" s="865" t="str">
        <f t="shared" si="35"/>
        <v/>
      </c>
      <c r="E238" s="866" t="e">
        <f t="shared" si="28"/>
        <v>#VALUE!</v>
      </c>
      <c r="F238" s="865" t="e">
        <f t="shared" si="29"/>
        <v>#VALUE!</v>
      </c>
      <c r="G238" s="865" t="str">
        <f t="shared" si="33"/>
        <v/>
      </c>
      <c r="H238" s="865" t="str">
        <f t="shared" si="34"/>
        <v/>
      </c>
      <c r="I238" s="865" t="e">
        <f t="shared" si="30"/>
        <v>#VALUE!</v>
      </c>
      <c r="J238" s="865">
        <f>SUM($H$19:$H238)</f>
        <v>0</v>
      </c>
    </row>
    <row r="239" spans="1:10">
      <c r="A239" s="863" t="str">
        <f t="shared" si="31"/>
        <v/>
      </c>
      <c r="B239" s="864" t="str">
        <f t="shared" si="27"/>
        <v/>
      </c>
      <c r="C239" s="865" t="str">
        <f t="shared" si="32"/>
        <v/>
      </c>
      <c r="D239" s="865" t="str">
        <f t="shared" si="35"/>
        <v/>
      </c>
      <c r="E239" s="866" t="e">
        <f t="shared" si="28"/>
        <v>#VALUE!</v>
      </c>
      <c r="F239" s="865" t="e">
        <f t="shared" si="29"/>
        <v>#VALUE!</v>
      </c>
      <c r="G239" s="865" t="str">
        <f t="shared" si="33"/>
        <v/>
      </c>
      <c r="H239" s="865" t="str">
        <f t="shared" si="34"/>
        <v/>
      </c>
      <c r="I239" s="865" t="e">
        <f t="shared" si="30"/>
        <v>#VALUE!</v>
      </c>
      <c r="J239" s="865">
        <f>SUM($H$19:$H239)</f>
        <v>0</v>
      </c>
    </row>
    <row r="240" spans="1:10">
      <c r="A240" s="863" t="str">
        <f t="shared" si="31"/>
        <v/>
      </c>
      <c r="B240" s="864" t="str">
        <f t="shared" si="27"/>
        <v/>
      </c>
      <c r="C240" s="865" t="str">
        <f t="shared" si="32"/>
        <v/>
      </c>
      <c r="D240" s="865" t="str">
        <f t="shared" si="35"/>
        <v/>
      </c>
      <c r="E240" s="866" t="e">
        <f t="shared" si="28"/>
        <v>#VALUE!</v>
      </c>
      <c r="F240" s="865" t="e">
        <f t="shared" si="29"/>
        <v>#VALUE!</v>
      </c>
      <c r="G240" s="865" t="str">
        <f t="shared" si="33"/>
        <v/>
      </c>
      <c r="H240" s="865" t="str">
        <f t="shared" si="34"/>
        <v/>
      </c>
      <c r="I240" s="865" t="e">
        <f t="shared" si="30"/>
        <v>#VALUE!</v>
      </c>
      <c r="J240" s="865">
        <f>SUM($H$19:$H240)</f>
        <v>0</v>
      </c>
    </row>
    <row r="241" spans="1:10">
      <c r="A241" s="863" t="str">
        <f t="shared" si="31"/>
        <v/>
      </c>
      <c r="B241" s="864" t="str">
        <f t="shared" si="27"/>
        <v/>
      </c>
      <c r="C241" s="865" t="str">
        <f t="shared" si="32"/>
        <v/>
      </c>
      <c r="D241" s="865" t="str">
        <f t="shared" si="35"/>
        <v/>
      </c>
      <c r="E241" s="866" t="e">
        <f t="shared" si="28"/>
        <v>#VALUE!</v>
      </c>
      <c r="F241" s="865" t="e">
        <f t="shared" si="29"/>
        <v>#VALUE!</v>
      </c>
      <c r="G241" s="865" t="str">
        <f t="shared" si="33"/>
        <v/>
      </c>
      <c r="H241" s="865" t="str">
        <f t="shared" si="34"/>
        <v/>
      </c>
      <c r="I241" s="865" t="e">
        <f t="shared" si="30"/>
        <v>#VALUE!</v>
      </c>
      <c r="J241" s="865">
        <f>SUM($H$19:$H241)</f>
        <v>0</v>
      </c>
    </row>
    <row r="242" spans="1:10">
      <c r="A242" s="863" t="str">
        <f t="shared" si="31"/>
        <v/>
      </c>
      <c r="B242" s="864" t="str">
        <f t="shared" si="27"/>
        <v/>
      </c>
      <c r="C242" s="865" t="str">
        <f t="shared" si="32"/>
        <v/>
      </c>
      <c r="D242" s="865" t="str">
        <f t="shared" si="35"/>
        <v/>
      </c>
      <c r="E242" s="866" t="e">
        <f t="shared" si="28"/>
        <v>#VALUE!</v>
      </c>
      <c r="F242" s="865" t="e">
        <f t="shared" si="29"/>
        <v>#VALUE!</v>
      </c>
      <c r="G242" s="865" t="str">
        <f t="shared" si="33"/>
        <v/>
      </c>
      <c r="H242" s="865" t="str">
        <f t="shared" si="34"/>
        <v/>
      </c>
      <c r="I242" s="865" t="e">
        <f t="shared" si="30"/>
        <v>#VALUE!</v>
      </c>
      <c r="J242" s="865">
        <f>SUM($H$19:$H242)</f>
        <v>0</v>
      </c>
    </row>
    <row r="243" spans="1:10">
      <c r="A243" s="863" t="str">
        <f t="shared" si="31"/>
        <v/>
      </c>
      <c r="B243" s="864" t="str">
        <f t="shared" si="27"/>
        <v/>
      </c>
      <c r="C243" s="865" t="str">
        <f t="shared" si="32"/>
        <v/>
      </c>
      <c r="D243" s="865" t="str">
        <f t="shared" si="35"/>
        <v/>
      </c>
      <c r="E243" s="866" t="e">
        <f t="shared" si="28"/>
        <v>#VALUE!</v>
      </c>
      <c r="F243" s="865" t="e">
        <f t="shared" si="29"/>
        <v>#VALUE!</v>
      </c>
      <c r="G243" s="865" t="str">
        <f t="shared" si="33"/>
        <v/>
      </c>
      <c r="H243" s="865" t="str">
        <f t="shared" si="34"/>
        <v/>
      </c>
      <c r="I243" s="865" t="e">
        <f t="shared" si="30"/>
        <v>#VALUE!</v>
      </c>
      <c r="J243" s="865">
        <f>SUM($H$19:$H243)</f>
        <v>0</v>
      </c>
    </row>
    <row r="244" spans="1:10">
      <c r="A244" s="863" t="str">
        <f t="shared" si="31"/>
        <v/>
      </c>
      <c r="B244" s="864" t="str">
        <f t="shared" si="27"/>
        <v/>
      </c>
      <c r="C244" s="865" t="str">
        <f t="shared" si="32"/>
        <v/>
      </c>
      <c r="D244" s="865" t="str">
        <f t="shared" si="35"/>
        <v/>
      </c>
      <c r="E244" s="866" t="e">
        <f t="shared" si="28"/>
        <v>#VALUE!</v>
      </c>
      <c r="F244" s="865" t="e">
        <f t="shared" si="29"/>
        <v>#VALUE!</v>
      </c>
      <c r="G244" s="865" t="str">
        <f t="shared" si="33"/>
        <v/>
      </c>
      <c r="H244" s="865" t="str">
        <f t="shared" si="34"/>
        <v/>
      </c>
      <c r="I244" s="865" t="e">
        <f t="shared" si="30"/>
        <v>#VALUE!</v>
      </c>
      <c r="J244" s="865">
        <f>SUM($H$19:$H244)</f>
        <v>0</v>
      </c>
    </row>
    <row r="245" spans="1:10">
      <c r="A245" s="863" t="str">
        <f t="shared" si="31"/>
        <v/>
      </c>
      <c r="B245" s="864" t="str">
        <f t="shared" si="27"/>
        <v/>
      </c>
      <c r="C245" s="865" t="str">
        <f t="shared" si="32"/>
        <v/>
      </c>
      <c r="D245" s="865" t="str">
        <f t="shared" si="35"/>
        <v/>
      </c>
      <c r="E245" s="866" t="e">
        <f t="shared" si="28"/>
        <v>#VALUE!</v>
      </c>
      <c r="F245" s="865" t="e">
        <f t="shared" si="29"/>
        <v>#VALUE!</v>
      </c>
      <c r="G245" s="865" t="str">
        <f t="shared" si="33"/>
        <v/>
      </c>
      <c r="H245" s="865" t="str">
        <f t="shared" si="34"/>
        <v/>
      </c>
      <c r="I245" s="865" t="e">
        <f t="shared" si="30"/>
        <v>#VALUE!</v>
      </c>
      <c r="J245" s="865">
        <f>SUM($H$19:$H245)</f>
        <v>0</v>
      </c>
    </row>
    <row r="246" spans="1:10">
      <c r="A246" s="863" t="str">
        <f t="shared" si="31"/>
        <v/>
      </c>
      <c r="B246" s="864" t="str">
        <f t="shared" si="27"/>
        <v/>
      </c>
      <c r="C246" s="865" t="str">
        <f t="shared" si="32"/>
        <v/>
      </c>
      <c r="D246" s="865" t="str">
        <f t="shared" si="35"/>
        <v/>
      </c>
      <c r="E246" s="866" t="e">
        <f t="shared" si="28"/>
        <v>#VALUE!</v>
      </c>
      <c r="F246" s="865" t="e">
        <f t="shared" si="29"/>
        <v>#VALUE!</v>
      </c>
      <c r="G246" s="865" t="str">
        <f t="shared" si="33"/>
        <v/>
      </c>
      <c r="H246" s="865" t="str">
        <f t="shared" si="34"/>
        <v/>
      </c>
      <c r="I246" s="865" t="e">
        <f t="shared" si="30"/>
        <v>#VALUE!</v>
      </c>
      <c r="J246" s="865">
        <f>SUM($H$19:$H246)</f>
        <v>0</v>
      </c>
    </row>
    <row r="247" spans="1:10">
      <c r="A247" s="863" t="str">
        <f t="shared" si="31"/>
        <v/>
      </c>
      <c r="B247" s="864" t="str">
        <f t="shared" si="27"/>
        <v/>
      </c>
      <c r="C247" s="865" t="str">
        <f t="shared" si="32"/>
        <v/>
      </c>
      <c r="D247" s="865" t="str">
        <f t="shared" si="35"/>
        <v/>
      </c>
      <c r="E247" s="866" t="e">
        <f t="shared" si="28"/>
        <v>#VALUE!</v>
      </c>
      <c r="F247" s="865" t="e">
        <f t="shared" si="29"/>
        <v>#VALUE!</v>
      </c>
      <c r="G247" s="865" t="str">
        <f t="shared" si="33"/>
        <v/>
      </c>
      <c r="H247" s="865" t="str">
        <f t="shared" si="34"/>
        <v/>
      </c>
      <c r="I247" s="865" t="e">
        <f t="shared" si="30"/>
        <v>#VALUE!</v>
      </c>
      <c r="J247" s="865">
        <f>SUM($H$19:$H247)</f>
        <v>0</v>
      </c>
    </row>
    <row r="248" spans="1:10">
      <c r="A248" s="863" t="str">
        <f t="shared" si="31"/>
        <v/>
      </c>
      <c r="B248" s="864" t="str">
        <f t="shared" si="27"/>
        <v/>
      </c>
      <c r="C248" s="865" t="str">
        <f t="shared" si="32"/>
        <v/>
      </c>
      <c r="D248" s="865" t="str">
        <f t="shared" si="35"/>
        <v/>
      </c>
      <c r="E248" s="866" t="e">
        <f t="shared" si="28"/>
        <v>#VALUE!</v>
      </c>
      <c r="F248" s="865" t="e">
        <f t="shared" si="29"/>
        <v>#VALUE!</v>
      </c>
      <c r="G248" s="865" t="str">
        <f t="shared" si="33"/>
        <v/>
      </c>
      <c r="H248" s="865" t="str">
        <f t="shared" si="34"/>
        <v/>
      </c>
      <c r="I248" s="865" t="e">
        <f t="shared" si="30"/>
        <v>#VALUE!</v>
      </c>
      <c r="J248" s="865">
        <f>SUM($H$19:$H248)</f>
        <v>0</v>
      </c>
    </row>
    <row r="249" spans="1:10">
      <c r="A249" s="863" t="str">
        <f t="shared" si="31"/>
        <v/>
      </c>
      <c r="B249" s="864" t="str">
        <f t="shared" si="27"/>
        <v/>
      </c>
      <c r="C249" s="865" t="str">
        <f t="shared" si="32"/>
        <v/>
      </c>
      <c r="D249" s="865" t="str">
        <f t="shared" si="35"/>
        <v/>
      </c>
      <c r="E249" s="866" t="e">
        <f t="shared" si="28"/>
        <v>#VALUE!</v>
      </c>
      <c r="F249" s="865" t="e">
        <f t="shared" si="29"/>
        <v>#VALUE!</v>
      </c>
      <c r="G249" s="865" t="str">
        <f t="shared" si="33"/>
        <v/>
      </c>
      <c r="H249" s="865" t="str">
        <f t="shared" si="34"/>
        <v/>
      </c>
      <c r="I249" s="865" t="e">
        <f t="shared" si="30"/>
        <v>#VALUE!</v>
      </c>
      <c r="J249" s="865">
        <f>SUM($H$19:$H249)</f>
        <v>0</v>
      </c>
    </row>
    <row r="250" spans="1:10">
      <c r="A250" s="863" t="str">
        <f t="shared" si="31"/>
        <v/>
      </c>
      <c r="B250" s="864" t="str">
        <f t="shared" si="27"/>
        <v/>
      </c>
      <c r="C250" s="865" t="str">
        <f t="shared" si="32"/>
        <v/>
      </c>
      <c r="D250" s="865" t="str">
        <f t="shared" si="35"/>
        <v/>
      </c>
      <c r="E250" s="866" t="e">
        <f t="shared" si="28"/>
        <v>#VALUE!</v>
      </c>
      <c r="F250" s="865" t="e">
        <f t="shared" si="29"/>
        <v>#VALUE!</v>
      </c>
      <c r="G250" s="865" t="str">
        <f t="shared" si="33"/>
        <v/>
      </c>
      <c r="H250" s="865" t="str">
        <f t="shared" si="34"/>
        <v/>
      </c>
      <c r="I250" s="865" t="e">
        <f t="shared" si="30"/>
        <v>#VALUE!</v>
      </c>
      <c r="J250" s="865">
        <f>SUM($H$19:$H250)</f>
        <v>0</v>
      </c>
    </row>
    <row r="251" spans="1:10">
      <c r="A251" s="863" t="str">
        <f t="shared" si="31"/>
        <v/>
      </c>
      <c r="B251" s="864" t="str">
        <f t="shared" si="27"/>
        <v/>
      </c>
      <c r="C251" s="865" t="str">
        <f t="shared" si="32"/>
        <v/>
      </c>
      <c r="D251" s="865" t="str">
        <f t="shared" si="35"/>
        <v/>
      </c>
      <c r="E251" s="866" t="e">
        <f t="shared" si="28"/>
        <v>#VALUE!</v>
      </c>
      <c r="F251" s="865" t="e">
        <f t="shared" si="29"/>
        <v>#VALUE!</v>
      </c>
      <c r="G251" s="865" t="str">
        <f t="shared" si="33"/>
        <v/>
      </c>
      <c r="H251" s="865" t="str">
        <f t="shared" si="34"/>
        <v/>
      </c>
      <c r="I251" s="865" t="e">
        <f t="shared" si="30"/>
        <v>#VALUE!</v>
      </c>
      <c r="J251" s="865">
        <f>SUM($H$19:$H251)</f>
        <v>0</v>
      </c>
    </row>
    <row r="252" spans="1:10">
      <c r="A252" s="863" t="str">
        <f t="shared" si="31"/>
        <v/>
      </c>
      <c r="B252" s="864" t="str">
        <f t="shared" si="27"/>
        <v/>
      </c>
      <c r="C252" s="865" t="str">
        <f t="shared" si="32"/>
        <v/>
      </c>
      <c r="D252" s="865" t="str">
        <f t="shared" si="35"/>
        <v/>
      </c>
      <c r="E252" s="866" t="e">
        <f t="shared" si="28"/>
        <v>#VALUE!</v>
      </c>
      <c r="F252" s="865" t="e">
        <f t="shared" si="29"/>
        <v>#VALUE!</v>
      </c>
      <c r="G252" s="865" t="str">
        <f t="shared" si="33"/>
        <v/>
      </c>
      <c r="H252" s="865" t="str">
        <f t="shared" si="34"/>
        <v/>
      </c>
      <c r="I252" s="865" t="e">
        <f t="shared" si="30"/>
        <v>#VALUE!</v>
      </c>
      <c r="J252" s="865">
        <f>SUM($H$19:$H252)</f>
        <v>0</v>
      </c>
    </row>
    <row r="253" spans="1:10">
      <c r="A253" s="863" t="str">
        <f t="shared" si="31"/>
        <v/>
      </c>
      <c r="B253" s="864" t="str">
        <f t="shared" si="27"/>
        <v/>
      </c>
      <c r="C253" s="865" t="str">
        <f t="shared" si="32"/>
        <v/>
      </c>
      <c r="D253" s="865" t="str">
        <f t="shared" si="35"/>
        <v/>
      </c>
      <c r="E253" s="866" t="e">
        <f t="shared" si="28"/>
        <v>#VALUE!</v>
      </c>
      <c r="F253" s="865" t="e">
        <f t="shared" si="29"/>
        <v>#VALUE!</v>
      </c>
      <c r="G253" s="865" t="str">
        <f t="shared" si="33"/>
        <v/>
      </c>
      <c r="H253" s="865" t="str">
        <f t="shared" si="34"/>
        <v/>
      </c>
      <c r="I253" s="865" t="e">
        <f t="shared" si="30"/>
        <v>#VALUE!</v>
      </c>
      <c r="J253" s="865">
        <f>SUM($H$19:$H253)</f>
        <v>0</v>
      </c>
    </row>
    <row r="254" spans="1:10">
      <c r="A254" s="863" t="str">
        <f t="shared" si="31"/>
        <v/>
      </c>
      <c r="B254" s="864" t="str">
        <f t="shared" si="27"/>
        <v/>
      </c>
      <c r="C254" s="865" t="str">
        <f t="shared" si="32"/>
        <v/>
      </c>
      <c r="D254" s="865" t="str">
        <f t="shared" si="35"/>
        <v/>
      </c>
      <c r="E254" s="866" t="e">
        <f t="shared" si="28"/>
        <v>#VALUE!</v>
      </c>
      <c r="F254" s="865" t="e">
        <f t="shared" si="29"/>
        <v>#VALUE!</v>
      </c>
      <c r="G254" s="865" t="str">
        <f t="shared" si="33"/>
        <v/>
      </c>
      <c r="H254" s="865" t="str">
        <f t="shared" si="34"/>
        <v/>
      </c>
      <c r="I254" s="865" t="e">
        <f t="shared" si="30"/>
        <v>#VALUE!</v>
      </c>
      <c r="J254" s="865">
        <f>SUM($H$19:$H254)</f>
        <v>0</v>
      </c>
    </row>
    <row r="255" spans="1:10">
      <c r="A255" s="863" t="str">
        <f t="shared" si="31"/>
        <v/>
      </c>
      <c r="B255" s="864" t="str">
        <f t="shared" si="27"/>
        <v/>
      </c>
      <c r="C255" s="865" t="str">
        <f t="shared" si="32"/>
        <v/>
      </c>
      <c r="D255" s="865" t="str">
        <f t="shared" si="35"/>
        <v/>
      </c>
      <c r="E255" s="866" t="e">
        <f t="shared" si="28"/>
        <v>#VALUE!</v>
      </c>
      <c r="F255" s="865" t="e">
        <f t="shared" si="29"/>
        <v>#VALUE!</v>
      </c>
      <c r="G255" s="865" t="str">
        <f t="shared" si="33"/>
        <v/>
      </c>
      <c r="H255" s="865" t="str">
        <f t="shared" si="34"/>
        <v/>
      </c>
      <c r="I255" s="865" t="e">
        <f t="shared" si="30"/>
        <v>#VALUE!</v>
      </c>
      <c r="J255" s="865">
        <f>SUM($H$19:$H255)</f>
        <v>0</v>
      </c>
    </row>
    <row r="256" spans="1:10">
      <c r="A256" s="863" t="str">
        <f t="shared" si="31"/>
        <v/>
      </c>
      <c r="B256" s="864" t="str">
        <f t="shared" si="27"/>
        <v/>
      </c>
      <c r="C256" s="865" t="str">
        <f t="shared" si="32"/>
        <v/>
      </c>
      <c r="D256" s="865" t="str">
        <f t="shared" si="35"/>
        <v/>
      </c>
      <c r="E256" s="866" t="e">
        <f t="shared" si="28"/>
        <v>#VALUE!</v>
      </c>
      <c r="F256" s="865" t="e">
        <f t="shared" si="29"/>
        <v>#VALUE!</v>
      </c>
      <c r="G256" s="865" t="str">
        <f t="shared" si="33"/>
        <v/>
      </c>
      <c r="H256" s="865" t="str">
        <f t="shared" si="34"/>
        <v/>
      </c>
      <c r="I256" s="865" t="e">
        <f t="shared" si="30"/>
        <v>#VALUE!</v>
      </c>
      <c r="J256" s="865">
        <f>SUM($H$19:$H256)</f>
        <v>0</v>
      </c>
    </row>
    <row r="257" spans="1:10">
      <c r="A257" s="863" t="str">
        <f t="shared" si="31"/>
        <v/>
      </c>
      <c r="B257" s="864" t="str">
        <f t="shared" si="27"/>
        <v/>
      </c>
      <c r="C257" s="865" t="str">
        <f t="shared" si="32"/>
        <v/>
      </c>
      <c r="D257" s="865" t="str">
        <f t="shared" si="35"/>
        <v/>
      </c>
      <c r="E257" s="866" t="e">
        <f t="shared" si="28"/>
        <v>#VALUE!</v>
      </c>
      <c r="F257" s="865" t="e">
        <f t="shared" si="29"/>
        <v>#VALUE!</v>
      </c>
      <c r="G257" s="865" t="str">
        <f t="shared" si="33"/>
        <v/>
      </c>
      <c r="H257" s="865" t="str">
        <f t="shared" si="34"/>
        <v/>
      </c>
      <c r="I257" s="865" t="e">
        <f t="shared" si="30"/>
        <v>#VALUE!</v>
      </c>
      <c r="J257" s="865">
        <f>SUM($H$19:$H257)</f>
        <v>0</v>
      </c>
    </row>
    <row r="258" spans="1:10">
      <c r="A258" s="863" t="str">
        <f t="shared" si="31"/>
        <v/>
      </c>
      <c r="B258" s="864" t="str">
        <f t="shared" si="27"/>
        <v/>
      </c>
      <c r="C258" s="865" t="str">
        <f t="shared" si="32"/>
        <v/>
      </c>
      <c r="D258" s="865" t="str">
        <f t="shared" si="35"/>
        <v/>
      </c>
      <c r="E258" s="866" t="e">
        <f t="shared" si="28"/>
        <v>#VALUE!</v>
      </c>
      <c r="F258" s="865" t="e">
        <f t="shared" si="29"/>
        <v>#VALUE!</v>
      </c>
      <c r="G258" s="865" t="str">
        <f t="shared" si="33"/>
        <v/>
      </c>
      <c r="H258" s="865" t="str">
        <f t="shared" si="34"/>
        <v/>
      </c>
      <c r="I258" s="865" t="e">
        <f t="shared" si="30"/>
        <v>#VALUE!</v>
      </c>
      <c r="J258" s="865">
        <f>SUM($H$19:$H258)</f>
        <v>0</v>
      </c>
    </row>
    <row r="259" spans="1:10">
      <c r="A259" s="863" t="str">
        <f t="shared" si="31"/>
        <v/>
      </c>
      <c r="B259" s="864" t="str">
        <f t="shared" si="27"/>
        <v/>
      </c>
      <c r="C259" s="865" t="str">
        <f t="shared" si="32"/>
        <v/>
      </c>
      <c r="D259" s="865" t="str">
        <f t="shared" si="35"/>
        <v/>
      </c>
      <c r="E259" s="866" t="e">
        <f t="shared" si="28"/>
        <v>#VALUE!</v>
      </c>
      <c r="F259" s="865" t="e">
        <f t="shared" si="29"/>
        <v>#VALUE!</v>
      </c>
      <c r="G259" s="865" t="str">
        <f t="shared" si="33"/>
        <v/>
      </c>
      <c r="H259" s="865" t="str">
        <f t="shared" si="34"/>
        <v/>
      </c>
      <c r="I259" s="865" t="e">
        <f t="shared" si="30"/>
        <v>#VALUE!</v>
      </c>
      <c r="J259" s="865">
        <f>SUM($H$19:$H259)</f>
        <v>0</v>
      </c>
    </row>
    <row r="260" spans="1:10">
      <c r="A260" s="863" t="str">
        <f t="shared" si="31"/>
        <v/>
      </c>
      <c r="B260" s="864" t="str">
        <f t="shared" si="27"/>
        <v/>
      </c>
      <c r="C260" s="865" t="str">
        <f t="shared" si="32"/>
        <v/>
      </c>
      <c r="D260" s="865" t="str">
        <f t="shared" si="35"/>
        <v/>
      </c>
      <c r="E260" s="866" t="e">
        <f t="shared" si="28"/>
        <v>#VALUE!</v>
      </c>
      <c r="F260" s="865" t="e">
        <f t="shared" si="29"/>
        <v>#VALUE!</v>
      </c>
      <c r="G260" s="865" t="str">
        <f t="shared" si="33"/>
        <v/>
      </c>
      <c r="H260" s="865" t="str">
        <f t="shared" si="34"/>
        <v/>
      </c>
      <c r="I260" s="865" t="e">
        <f t="shared" si="30"/>
        <v>#VALUE!</v>
      </c>
      <c r="J260" s="865">
        <f>SUM($H$19:$H260)</f>
        <v>0</v>
      </c>
    </row>
    <row r="261" spans="1:10">
      <c r="A261" s="863" t="str">
        <f t="shared" si="31"/>
        <v/>
      </c>
      <c r="B261" s="864" t="str">
        <f t="shared" si="27"/>
        <v/>
      </c>
      <c r="C261" s="865" t="str">
        <f t="shared" si="32"/>
        <v/>
      </c>
      <c r="D261" s="865" t="str">
        <f t="shared" si="35"/>
        <v/>
      </c>
      <c r="E261" s="866" t="e">
        <f t="shared" si="28"/>
        <v>#VALUE!</v>
      </c>
      <c r="F261" s="865" t="e">
        <f t="shared" si="29"/>
        <v>#VALUE!</v>
      </c>
      <c r="G261" s="865" t="str">
        <f t="shared" si="33"/>
        <v/>
      </c>
      <c r="H261" s="865" t="str">
        <f t="shared" si="34"/>
        <v/>
      </c>
      <c r="I261" s="865" t="e">
        <f t="shared" si="30"/>
        <v>#VALUE!</v>
      </c>
      <c r="J261" s="865">
        <f>SUM($H$19:$H261)</f>
        <v>0</v>
      </c>
    </row>
    <row r="262" spans="1:10">
      <c r="A262" s="863" t="str">
        <f t="shared" si="31"/>
        <v/>
      </c>
      <c r="B262" s="864" t="str">
        <f t="shared" si="27"/>
        <v/>
      </c>
      <c r="C262" s="865" t="str">
        <f t="shared" si="32"/>
        <v/>
      </c>
      <c r="D262" s="865" t="str">
        <f t="shared" si="35"/>
        <v/>
      </c>
      <c r="E262" s="866" t="e">
        <f t="shared" si="28"/>
        <v>#VALUE!</v>
      </c>
      <c r="F262" s="865" t="e">
        <f t="shared" si="29"/>
        <v>#VALUE!</v>
      </c>
      <c r="G262" s="865" t="str">
        <f t="shared" si="33"/>
        <v/>
      </c>
      <c r="H262" s="865" t="str">
        <f t="shared" si="34"/>
        <v/>
      </c>
      <c r="I262" s="865" t="e">
        <f t="shared" si="30"/>
        <v>#VALUE!</v>
      </c>
      <c r="J262" s="865">
        <f>SUM($H$19:$H262)</f>
        <v>0</v>
      </c>
    </row>
    <row r="263" spans="1:10">
      <c r="A263" s="863" t="str">
        <f t="shared" si="31"/>
        <v/>
      </c>
      <c r="B263" s="864" t="str">
        <f t="shared" si="27"/>
        <v/>
      </c>
      <c r="C263" s="865" t="str">
        <f t="shared" si="32"/>
        <v/>
      </c>
      <c r="D263" s="865" t="str">
        <f t="shared" si="35"/>
        <v/>
      </c>
      <c r="E263" s="866" t="e">
        <f t="shared" si="28"/>
        <v>#VALUE!</v>
      </c>
      <c r="F263" s="865" t="e">
        <f t="shared" si="29"/>
        <v>#VALUE!</v>
      </c>
      <c r="G263" s="865" t="str">
        <f t="shared" si="33"/>
        <v/>
      </c>
      <c r="H263" s="865" t="str">
        <f t="shared" si="34"/>
        <v/>
      </c>
      <c r="I263" s="865" t="e">
        <f t="shared" si="30"/>
        <v>#VALUE!</v>
      </c>
      <c r="J263" s="865">
        <f>SUM($H$19:$H263)</f>
        <v>0</v>
      </c>
    </row>
    <row r="264" spans="1:10">
      <c r="A264" s="863" t="str">
        <f t="shared" si="31"/>
        <v/>
      </c>
      <c r="B264" s="864" t="str">
        <f t="shared" si="27"/>
        <v/>
      </c>
      <c r="C264" s="865" t="str">
        <f t="shared" si="32"/>
        <v/>
      </c>
      <c r="D264" s="865" t="str">
        <f t="shared" si="35"/>
        <v/>
      </c>
      <c r="E264" s="866" t="e">
        <f t="shared" si="28"/>
        <v>#VALUE!</v>
      </c>
      <c r="F264" s="865" t="e">
        <f t="shared" si="29"/>
        <v>#VALUE!</v>
      </c>
      <c r="G264" s="865" t="str">
        <f t="shared" si="33"/>
        <v/>
      </c>
      <c r="H264" s="865" t="str">
        <f t="shared" si="34"/>
        <v/>
      </c>
      <c r="I264" s="865" t="e">
        <f t="shared" si="30"/>
        <v>#VALUE!</v>
      </c>
      <c r="J264" s="865">
        <f>SUM($H$19:$H264)</f>
        <v>0</v>
      </c>
    </row>
    <row r="265" spans="1:10">
      <c r="A265" s="863" t="str">
        <f t="shared" si="31"/>
        <v/>
      </c>
      <c r="B265" s="864" t="str">
        <f t="shared" si="27"/>
        <v/>
      </c>
      <c r="C265" s="865" t="str">
        <f t="shared" si="32"/>
        <v/>
      </c>
      <c r="D265" s="865" t="str">
        <f t="shared" si="35"/>
        <v/>
      </c>
      <c r="E265" s="866" t="e">
        <f t="shared" si="28"/>
        <v>#VALUE!</v>
      </c>
      <c r="F265" s="865" t="e">
        <f t="shared" si="29"/>
        <v>#VALUE!</v>
      </c>
      <c r="G265" s="865" t="str">
        <f t="shared" si="33"/>
        <v/>
      </c>
      <c r="H265" s="865" t="str">
        <f t="shared" si="34"/>
        <v/>
      </c>
      <c r="I265" s="865" t="e">
        <f t="shared" si="30"/>
        <v>#VALUE!</v>
      </c>
      <c r="J265" s="865">
        <f>SUM($H$19:$H265)</f>
        <v>0</v>
      </c>
    </row>
    <row r="266" spans="1:10">
      <c r="A266" s="863" t="str">
        <f t="shared" si="31"/>
        <v/>
      </c>
      <c r="B266" s="864" t="str">
        <f t="shared" si="27"/>
        <v/>
      </c>
      <c r="C266" s="865" t="str">
        <f t="shared" si="32"/>
        <v/>
      </c>
      <c r="D266" s="865" t="str">
        <f t="shared" si="35"/>
        <v/>
      </c>
      <c r="E266" s="866" t="e">
        <f t="shared" si="28"/>
        <v>#VALUE!</v>
      </c>
      <c r="F266" s="865" t="e">
        <f t="shared" si="29"/>
        <v>#VALUE!</v>
      </c>
      <c r="G266" s="865" t="str">
        <f t="shared" si="33"/>
        <v/>
      </c>
      <c r="H266" s="865" t="str">
        <f t="shared" si="34"/>
        <v/>
      </c>
      <c r="I266" s="865" t="e">
        <f t="shared" si="30"/>
        <v>#VALUE!</v>
      </c>
      <c r="J266" s="865">
        <f>SUM($H$19:$H266)</f>
        <v>0</v>
      </c>
    </row>
    <row r="267" spans="1:10">
      <c r="A267" s="863" t="str">
        <f t="shared" si="31"/>
        <v/>
      </c>
      <c r="B267" s="864" t="str">
        <f t="shared" si="27"/>
        <v/>
      </c>
      <c r="C267" s="865" t="str">
        <f t="shared" si="32"/>
        <v/>
      </c>
      <c r="D267" s="865" t="str">
        <f t="shared" si="35"/>
        <v/>
      </c>
      <c r="E267" s="866" t="e">
        <f t="shared" si="28"/>
        <v>#VALUE!</v>
      </c>
      <c r="F267" s="865" t="e">
        <f t="shared" si="29"/>
        <v>#VALUE!</v>
      </c>
      <c r="G267" s="865" t="str">
        <f t="shared" si="33"/>
        <v/>
      </c>
      <c r="H267" s="865" t="str">
        <f t="shared" si="34"/>
        <v/>
      </c>
      <c r="I267" s="865" t="e">
        <f t="shared" si="30"/>
        <v>#VALUE!</v>
      </c>
      <c r="J267" s="865">
        <f>SUM($H$19:$H267)</f>
        <v>0</v>
      </c>
    </row>
    <row r="268" spans="1:10">
      <c r="A268" s="863" t="str">
        <f t="shared" si="31"/>
        <v/>
      </c>
      <c r="B268" s="864" t="str">
        <f t="shared" si="27"/>
        <v/>
      </c>
      <c r="C268" s="865" t="str">
        <f t="shared" si="32"/>
        <v/>
      </c>
      <c r="D268" s="865" t="str">
        <f t="shared" si="35"/>
        <v/>
      </c>
      <c r="E268" s="866" t="e">
        <f t="shared" si="28"/>
        <v>#VALUE!</v>
      </c>
      <c r="F268" s="865" t="e">
        <f t="shared" si="29"/>
        <v>#VALUE!</v>
      </c>
      <c r="G268" s="865" t="str">
        <f t="shared" si="33"/>
        <v/>
      </c>
      <c r="H268" s="865" t="str">
        <f t="shared" si="34"/>
        <v/>
      </c>
      <c r="I268" s="865" t="e">
        <f t="shared" si="30"/>
        <v>#VALUE!</v>
      </c>
      <c r="J268" s="865">
        <f>SUM($H$19:$H268)</f>
        <v>0</v>
      </c>
    </row>
    <row r="269" spans="1:10">
      <c r="A269" s="863" t="str">
        <f t="shared" si="31"/>
        <v/>
      </c>
      <c r="B269" s="864" t="str">
        <f t="shared" si="27"/>
        <v/>
      </c>
      <c r="C269" s="865" t="str">
        <f t="shared" si="32"/>
        <v/>
      </c>
      <c r="D269" s="865" t="str">
        <f t="shared" si="35"/>
        <v/>
      </c>
      <c r="E269" s="866" t="e">
        <f t="shared" si="28"/>
        <v>#VALUE!</v>
      </c>
      <c r="F269" s="865" t="e">
        <f t="shared" si="29"/>
        <v>#VALUE!</v>
      </c>
      <c r="G269" s="865" t="str">
        <f t="shared" si="33"/>
        <v/>
      </c>
      <c r="H269" s="865" t="str">
        <f t="shared" si="34"/>
        <v/>
      </c>
      <c r="I269" s="865" t="e">
        <f t="shared" si="30"/>
        <v>#VALUE!</v>
      </c>
      <c r="J269" s="865">
        <f>SUM($H$19:$H269)</f>
        <v>0</v>
      </c>
    </row>
    <row r="270" spans="1:10">
      <c r="A270" s="863" t="str">
        <f t="shared" si="31"/>
        <v/>
      </c>
      <c r="B270" s="864" t="str">
        <f t="shared" si="27"/>
        <v/>
      </c>
      <c r="C270" s="865" t="str">
        <f t="shared" si="32"/>
        <v/>
      </c>
      <c r="D270" s="865" t="str">
        <f t="shared" si="35"/>
        <v/>
      </c>
      <c r="E270" s="866" t="e">
        <f t="shared" si="28"/>
        <v>#VALUE!</v>
      </c>
      <c r="F270" s="865" t="e">
        <f t="shared" si="29"/>
        <v>#VALUE!</v>
      </c>
      <c r="G270" s="865" t="str">
        <f t="shared" si="33"/>
        <v/>
      </c>
      <c r="H270" s="865" t="str">
        <f t="shared" si="34"/>
        <v/>
      </c>
      <c r="I270" s="865" t="e">
        <f t="shared" si="30"/>
        <v>#VALUE!</v>
      </c>
      <c r="J270" s="865">
        <f>SUM($H$19:$H270)</f>
        <v>0</v>
      </c>
    </row>
    <row r="271" spans="1:10">
      <c r="A271" s="863" t="str">
        <f t="shared" si="31"/>
        <v/>
      </c>
      <c r="B271" s="864" t="str">
        <f t="shared" si="27"/>
        <v/>
      </c>
      <c r="C271" s="865" t="str">
        <f t="shared" si="32"/>
        <v/>
      </c>
      <c r="D271" s="865" t="str">
        <f t="shared" si="35"/>
        <v/>
      </c>
      <c r="E271" s="866" t="e">
        <f t="shared" si="28"/>
        <v>#VALUE!</v>
      </c>
      <c r="F271" s="865" t="e">
        <f t="shared" si="29"/>
        <v>#VALUE!</v>
      </c>
      <c r="G271" s="865" t="str">
        <f t="shared" si="33"/>
        <v/>
      </c>
      <c r="H271" s="865" t="str">
        <f t="shared" si="34"/>
        <v/>
      </c>
      <c r="I271" s="865" t="e">
        <f t="shared" si="30"/>
        <v>#VALUE!</v>
      </c>
      <c r="J271" s="865">
        <f>SUM($H$19:$H271)</f>
        <v>0</v>
      </c>
    </row>
    <row r="272" spans="1:10">
      <c r="A272" s="863" t="str">
        <f t="shared" si="31"/>
        <v/>
      </c>
      <c r="B272" s="864" t="str">
        <f t="shared" si="27"/>
        <v/>
      </c>
      <c r="C272" s="865" t="str">
        <f t="shared" si="32"/>
        <v/>
      </c>
      <c r="D272" s="865" t="str">
        <f t="shared" si="35"/>
        <v/>
      </c>
      <c r="E272" s="866" t="e">
        <f t="shared" si="28"/>
        <v>#VALUE!</v>
      </c>
      <c r="F272" s="865" t="e">
        <f t="shared" si="29"/>
        <v>#VALUE!</v>
      </c>
      <c r="G272" s="865" t="str">
        <f t="shared" si="33"/>
        <v/>
      </c>
      <c r="H272" s="865" t="str">
        <f t="shared" si="34"/>
        <v/>
      </c>
      <c r="I272" s="865" t="e">
        <f t="shared" si="30"/>
        <v>#VALUE!</v>
      </c>
      <c r="J272" s="865">
        <f>SUM($H$19:$H272)</f>
        <v>0</v>
      </c>
    </row>
    <row r="273" spans="1:10">
      <c r="A273" s="863" t="str">
        <f t="shared" si="31"/>
        <v/>
      </c>
      <c r="B273" s="864" t="str">
        <f t="shared" si="27"/>
        <v/>
      </c>
      <c r="C273" s="865" t="str">
        <f t="shared" si="32"/>
        <v/>
      </c>
      <c r="D273" s="865" t="str">
        <f t="shared" si="35"/>
        <v/>
      </c>
      <c r="E273" s="866" t="e">
        <f t="shared" si="28"/>
        <v>#VALUE!</v>
      </c>
      <c r="F273" s="865" t="e">
        <f t="shared" si="29"/>
        <v>#VALUE!</v>
      </c>
      <c r="G273" s="865" t="str">
        <f t="shared" si="33"/>
        <v/>
      </c>
      <c r="H273" s="865" t="str">
        <f t="shared" si="34"/>
        <v/>
      </c>
      <c r="I273" s="865" t="e">
        <f t="shared" si="30"/>
        <v>#VALUE!</v>
      </c>
      <c r="J273" s="865">
        <f>SUM($H$19:$H273)</f>
        <v>0</v>
      </c>
    </row>
    <row r="274" spans="1:10">
      <c r="A274" s="863" t="str">
        <f t="shared" si="31"/>
        <v/>
      </c>
      <c r="B274" s="864" t="str">
        <f t="shared" si="27"/>
        <v/>
      </c>
      <c r="C274" s="865" t="str">
        <f t="shared" si="32"/>
        <v/>
      </c>
      <c r="D274" s="865" t="str">
        <f t="shared" si="35"/>
        <v/>
      </c>
      <c r="E274" s="866" t="e">
        <f t="shared" si="28"/>
        <v>#VALUE!</v>
      </c>
      <c r="F274" s="865" t="e">
        <f t="shared" si="29"/>
        <v>#VALUE!</v>
      </c>
      <c r="G274" s="865" t="str">
        <f t="shared" si="33"/>
        <v/>
      </c>
      <c r="H274" s="865" t="str">
        <f t="shared" si="34"/>
        <v/>
      </c>
      <c r="I274" s="865" t="e">
        <f t="shared" si="30"/>
        <v>#VALUE!</v>
      </c>
      <c r="J274" s="865">
        <f>SUM($H$19:$H274)</f>
        <v>0</v>
      </c>
    </row>
    <row r="275" spans="1:10">
      <c r="A275" s="863" t="str">
        <f t="shared" si="31"/>
        <v/>
      </c>
      <c r="B275" s="864" t="str">
        <f t="shared" ref="B275:B338" si="36">IF(Pay_Num&lt;&gt;"",DATE(YEAR(Loan_Start),MONTH(Loan_Start)+(Pay_Num)*12/Num_Pmt_Per_Year,DAY(Loan_Start)),"")</f>
        <v/>
      </c>
      <c r="C275" s="865" t="str">
        <f t="shared" si="32"/>
        <v/>
      </c>
      <c r="D275" s="865" t="str">
        <f t="shared" si="35"/>
        <v/>
      </c>
      <c r="E275" s="866" t="e">
        <f t="shared" ref="E275:E338" si="37">IF(AND(Pay_Num&lt;&gt;"",Sched_Pay+Scheduled_Extra_Payments&lt;Beg_Bal),Scheduled_Extra_Payments,IF(AND(Pay_Num&lt;&gt;"",Beg_Bal-Sched_Pay&gt;0),Beg_Bal-Sched_Pay,IF(Pay_Num&lt;&gt;"",0,"")))</f>
        <v>#VALUE!</v>
      </c>
      <c r="F275" s="865" t="e">
        <f t="shared" ref="F275:F338" si="38">IF(AND(Pay_Num&lt;&gt;"",Sched_Pay+Extra_Pay&lt;Beg_Bal),Sched_Pay+Extra_Pay,IF(Pay_Num&lt;&gt;"",Beg_Bal,""))</f>
        <v>#VALUE!</v>
      </c>
      <c r="G275" s="865" t="str">
        <f t="shared" si="33"/>
        <v/>
      </c>
      <c r="H275" s="865" t="str">
        <f t="shared" si="34"/>
        <v/>
      </c>
      <c r="I275" s="865" t="e">
        <f t="shared" ref="I275:I338" si="39">IF(AND(Pay_Num&lt;&gt;"",Sched_Pay+Extra_Pay&lt;Beg_Bal),Beg_Bal-Princ,IF(Pay_Num&lt;&gt;"",0,""))</f>
        <v>#VALUE!</v>
      </c>
      <c r="J275" s="865">
        <f>SUM($H$19:$H275)</f>
        <v>0</v>
      </c>
    </row>
    <row r="276" spans="1:10">
      <c r="A276" s="863" t="str">
        <f t="shared" ref="A276:A339" si="40">IF(Values_Entered,A275+1,"")</f>
        <v/>
      </c>
      <c r="B276" s="864" t="str">
        <f t="shared" si="36"/>
        <v/>
      </c>
      <c r="C276" s="865" t="str">
        <f t="shared" ref="C276:C339" si="41">IF(Pay_Num&lt;&gt;"",I275,"")</f>
        <v/>
      </c>
      <c r="D276" s="865" t="str">
        <f t="shared" si="35"/>
        <v/>
      </c>
      <c r="E276" s="866" t="e">
        <f t="shared" si="37"/>
        <v>#VALUE!</v>
      </c>
      <c r="F276" s="865" t="e">
        <f t="shared" si="38"/>
        <v>#VALUE!</v>
      </c>
      <c r="G276" s="865" t="str">
        <f t="shared" ref="G276:G339" si="42">IF(Pay_Num&lt;&gt;"",Total_Pay-Int,"")</f>
        <v/>
      </c>
      <c r="H276" s="865" t="str">
        <f t="shared" ref="H276:H339" si="43">IF(Pay_Num&lt;&gt;"",Beg_Bal*Interest_Rate/Num_Pmt_Per_Year,"")</f>
        <v/>
      </c>
      <c r="I276" s="865" t="e">
        <f t="shared" si="39"/>
        <v>#VALUE!</v>
      </c>
      <c r="J276" s="865">
        <f>SUM($H$19:$H276)</f>
        <v>0</v>
      </c>
    </row>
    <row r="277" spans="1:10">
      <c r="A277" s="863" t="str">
        <f t="shared" si="40"/>
        <v/>
      </c>
      <c r="B277" s="864" t="str">
        <f t="shared" si="36"/>
        <v/>
      </c>
      <c r="C277" s="865" t="str">
        <f t="shared" si="41"/>
        <v/>
      </c>
      <c r="D277" s="865" t="str">
        <f t="shared" ref="D277:D340" si="44">IF(Pay_Num&lt;&gt;"",Scheduled_Monthly_Payment,"")</f>
        <v/>
      </c>
      <c r="E277" s="866" t="e">
        <f t="shared" si="37"/>
        <v>#VALUE!</v>
      </c>
      <c r="F277" s="865" t="e">
        <f t="shared" si="38"/>
        <v>#VALUE!</v>
      </c>
      <c r="G277" s="865" t="str">
        <f t="shared" si="42"/>
        <v/>
      </c>
      <c r="H277" s="865" t="str">
        <f t="shared" si="43"/>
        <v/>
      </c>
      <c r="I277" s="865" t="e">
        <f t="shared" si="39"/>
        <v>#VALUE!</v>
      </c>
      <c r="J277" s="865">
        <f>SUM($H$19:$H277)</f>
        <v>0</v>
      </c>
    </row>
    <row r="278" spans="1:10">
      <c r="A278" s="863" t="str">
        <f t="shared" si="40"/>
        <v/>
      </c>
      <c r="B278" s="864" t="str">
        <f t="shared" si="36"/>
        <v/>
      </c>
      <c r="C278" s="865" t="str">
        <f t="shared" si="41"/>
        <v/>
      </c>
      <c r="D278" s="865" t="str">
        <f t="shared" si="44"/>
        <v/>
      </c>
      <c r="E278" s="866" t="e">
        <f t="shared" si="37"/>
        <v>#VALUE!</v>
      </c>
      <c r="F278" s="865" t="e">
        <f t="shared" si="38"/>
        <v>#VALUE!</v>
      </c>
      <c r="G278" s="865" t="str">
        <f t="shared" si="42"/>
        <v/>
      </c>
      <c r="H278" s="865" t="str">
        <f t="shared" si="43"/>
        <v/>
      </c>
      <c r="I278" s="865" t="e">
        <f t="shared" si="39"/>
        <v>#VALUE!</v>
      </c>
      <c r="J278" s="865">
        <f>SUM($H$19:$H278)</f>
        <v>0</v>
      </c>
    </row>
    <row r="279" spans="1:10">
      <c r="A279" s="863" t="str">
        <f t="shared" si="40"/>
        <v/>
      </c>
      <c r="B279" s="864" t="str">
        <f t="shared" si="36"/>
        <v/>
      </c>
      <c r="C279" s="865" t="str">
        <f t="shared" si="41"/>
        <v/>
      </c>
      <c r="D279" s="865" t="str">
        <f t="shared" si="44"/>
        <v/>
      </c>
      <c r="E279" s="866" t="e">
        <f t="shared" si="37"/>
        <v>#VALUE!</v>
      </c>
      <c r="F279" s="865" t="e">
        <f t="shared" si="38"/>
        <v>#VALUE!</v>
      </c>
      <c r="G279" s="865" t="str">
        <f t="shared" si="42"/>
        <v/>
      </c>
      <c r="H279" s="865" t="str">
        <f t="shared" si="43"/>
        <v/>
      </c>
      <c r="I279" s="865" t="e">
        <f t="shared" si="39"/>
        <v>#VALUE!</v>
      </c>
      <c r="J279" s="865">
        <f>SUM($H$19:$H279)</f>
        <v>0</v>
      </c>
    </row>
    <row r="280" spans="1:10">
      <c r="A280" s="863" t="str">
        <f t="shared" si="40"/>
        <v/>
      </c>
      <c r="B280" s="864" t="str">
        <f t="shared" si="36"/>
        <v/>
      </c>
      <c r="C280" s="865" t="str">
        <f t="shared" si="41"/>
        <v/>
      </c>
      <c r="D280" s="865" t="str">
        <f t="shared" si="44"/>
        <v/>
      </c>
      <c r="E280" s="866" t="e">
        <f t="shared" si="37"/>
        <v>#VALUE!</v>
      </c>
      <c r="F280" s="865" t="e">
        <f t="shared" si="38"/>
        <v>#VALUE!</v>
      </c>
      <c r="G280" s="865" t="str">
        <f t="shared" si="42"/>
        <v/>
      </c>
      <c r="H280" s="865" t="str">
        <f t="shared" si="43"/>
        <v/>
      </c>
      <c r="I280" s="865" t="e">
        <f t="shared" si="39"/>
        <v>#VALUE!</v>
      </c>
      <c r="J280" s="865">
        <f>SUM($H$19:$H280)</f>
        <v>0</v>
      </c>
    </row>
    <row r="281" spans="1:10">
      <c r="A281" s="863" t="str">
        <f t="shared" si="40"/>
        <v/>
      </c>
      <c r="B281" s="864" t="str">
        <f t="shared" si="36"/>
        <v/>
      </c>
      <c r="C281" s="865" t="str">
        <f t="shared" si="41"/>
        <v/>
      </c>
      <c r="D281" s="865" t="str">
        <f t="shared" si="44"/>
        <v/>
      </c>
      <c r="E281" s="866" t="e">
        <f t="shared" si="37"/>
        <v>#VALUE!</v>
      </c>
      <c r="F281" s="865" t="e">
        <f t="shared" si="38"/>
        <v>#VALUE!</v>
      </c>
      <c r="G281" s="865" t="str">
        <f t="shared" si="42"/>
        <v/>
      </c>
      <c r="H281" s="865" t="str">
        <f t="shared" si="43"/>
        <v/>
      </c>
      <c r="I281" s="865" t="e">
        <f t="shared" si="39"/>
        <v>#VALUE!</v>
      </c>
      <c r="J281" s="865">
        <f>SUM($H$19:$H281)</f>
        <v>0</v>
      </c>
    </row>
    <row r="282" spans="1:10">
      <c r="A282" s="863" t="str">
        <f t="shared" si="40"/>
        <v/>
      </c>
      <c r="B282" s="864" t="str">
        <f t="shared" si="36"/>
        <v/>
      </c>
      <c r="C282" s="865" t="str">
        <f t="shared" si="41"/>
        <v/>
      </c>
      <c r="D282" s="865" t="str">
        <f t="shared" si="44"/>
        <v/>
      </c>
      <c r="E282" s="866" t="e">
        <f t="shared" si="37"/>
        <v>#VALUE!</v>
      </c>
      <c r="F282" s="865" t="e">
        <f t="shared" si="38"/>
        <v>#VALUE!</v>
      </c>
      <c r="G282" s="865" t="str">
        <f t="shared" si="42"/>
        <v/>
      </c>
      <c r="H282" s="865" t="str">
        <f t="shared" si="43"/>
        <v/>
      </c>
      <c r="I282" s="865" t="e">
        <f t="shared" si="39"/>
        <v>#VALUE!</v>
      </c>
      <c r="J282" s="865">
        <f>SUM($H$19:$H282)</f>
        <v>0</v>
      </c>
    </row>
    <row r="283" spans="1:10">
      <c r="A283" s="863" t="str">
        <f t="shared" si="40"/>
        <v/>
      </c>
      <c r="B283" s="864" t="str">
        <f t="shared" si="36"/>
        <v/>
      </c>
      <c r="C283" s="865" t="str">
        <f t="shared" si="41"/>
        <v/>
      </c>
      <c r="D283" s="865" t="str">
        <f t="shared" si="44"/>
        <v/>
      </c>
      <c r="E283" s="866" t="e">
        <f t="shared" si="37"/>
        <v>#VALUE!</v>
      </c>
      <c r="F283" s="865" t="e">
        <f t="shared" si="38"/>
        <v>#VALUE!</v>
      </c>
      <c r="G283" s="865" t="str">
        <f t="shared" si="42"/>
        <v/>
      </c>
      <c r="H283" s="865" t="str">
        <f t="shared" si="43"/>
        <v/>
      </c>
      <c r="I283" s="865" t="e">
        <f t="shared" si="39"/>
        <v>#VALUE!</v>
      </c>
      <c r="J283" s="865">
        <f>SUM($H$19:$H283)</f>
        <v>0</v>
      </c>
    </row>
    <row r="284" spans="1:10">
      <c r="A284" s="863" t="str">
        <f t="shared" si="40"/>
        <v/>
      </c>
      <c r="B284" s="864" t="str">
        <f t="shared" si="36"/>
        <v/>
      </c>
      <c r="C284" s="865" t="str">
        <f t="shared" si="41"/>
        <v/>
      </c>
      <c r="D284" s="865" t="str">
        <f t="shared" si="44"/>
        <v/>
      </c>
      <c r="E284" s="866" t="e">
        <f t="shared" si="37"/>
        <v>#VALUE!</v>
      </c>
      <c r="F284" s="865" t="e">
        <f t="shared" si="38"/>
        <v>#VALUE!</v>
      </c>
      <c r="G284" s="865" t="str">
        <f t="shared" si="42"/>
        <v/>
      </c>
      <c r="H284" s="865" t="str">
        <f t="shared" si="43"/>
        <v/>
      </c>
      <c r="I284" s="865" t="e">
        <f t="shared" si="39"/>
        <v>#VALUE!</v>
      </c>
      <c r="J284" s="865">
        <f>SUM($H$19:$H284)</f>
        <v>0</v>
      </c>
    </row>
    <row r="285" spans="1:10">
      <c r="A285" s="863" t="str">
        <f t="shared" si="40"/>
        <v/>
      </c>
      <c r="B285" s="864" t="str">
        <f t="shared" si="36"/>
        <v/>
      </c>
      <c r="C285" s="865" t="str">
        <f t="shared" si="41"/>
        <v/>
      </c>
      <c r="D285" s="865" t="str">
        <f t="shared" si="44"/>
        <v/>
      </c>
      <c r="E285" s="866" t="e">
        <f t="shared" si="37"/>
        <v>#VALUE!</v>
      </c>
      <c r="F285" s="865" t="e">
        <f t="shared" si="38"/>
        <v>#VALUE!</v>
      </c>
      <c r="G285" s="865" t="str">
        <f t="shared" si="42"/>
        <v/>
      </c>
      <c r="H285" s="865" t="str">
        <f t="shared" si="43"/>
        <v/>
      </c>
      <c r="I285" s="865" t="e">
        <f t="shared" si="39"/>
        <v>#VALUE!</v>
      </c>
      <c r="J285" s="865">
        <f>SUM($H$19:$H285)</f>
        <v>0</v>
      </c>
    </row>
    <row r="286" spans="1:10">
      <c r="A286" s="863" t="str">
        <f t="shared" si="40"/>
        <v/>
      </c>
      <c r="B286" s="864" t="str">
        <f t="shared" si="36"/>
        <v/>
      </c>
      <c r="C286" s="865" t="str">
        <f t="shared" si="41"/>
        <v/>
      </c>
      <c r="D286" s="865" t="str">
        <f t="shared" si="44"/>
        <v/>
      </c>
      <c r="E286" s="866" t="e">
        <f t="shared" si="37"/>
        <v>#VALUE!</v>
      </c>
      <c r="F286" s="865" t="e">
        <f t="shared" si="38"/>
        <v>#VALUE!</v>
      </c>
      <c r="G286" s="865" t="str">
        <f t="shared" si="42"/>
        <v/>
      </c>
      <c r="H286" s="865" t="str">
        <f t="shared" si="43"/>
        <v/>
      </c>
      <c r="I286" s="865" t="e">
        <f t="shared" si="39"/>
        <v>#VALUE!</v>
      </c>
      <c r="J286" s="865">
        <f>SUM($H$19:$H286)</f>
        <v>0</v>
      </c>
    </row>
    <row r="287" spans="1:10">
      <c r="A287" s="863" t="str">
        <f t="shared" si="40"/>
        <v/>
      </c>
      <c r="B287" s="864" t="str">
        <f t="shared" si="36"/>
        <v/>
      </c>
      <c r="C287" s="865" t="str">
        <f t="shared" si="41"/>
        <v/>
      </c>
      <c r="D287" s="865" t="str">
        <f t="shared" si="44"/>
        <v/>
      </c>
      <c r="E287" s="866" t="e">
        <f t="shared" si="37"/>
        <v>#VALUE!</v>
      </c>
      <c r="F287" s="865" t="e">
        <f t="shared" si="38"/>
        <v>#VALUE!</v>
      </c>
      <c r="G287" s="865" t="str">
        <f t="shared" si="42"/>
        <v/>
      </c>
      <c r="H287" s="865" t="str">
        <f t="shared" si="43"/>
        <v/>
      </c>
      <c r="I287" s="865" t="e">
        <f t="shared" si="39"/>
        <v>#VALUE!</v>
      </c>
      <c r="J287" s="865">
        <f>SUM($H$19:$H287)</f>
        <v>0</v>
      </c>
    </row>
    <row r="288" spans="1:10">
      <c r="A288" s="863" t="str">
        <f t="shared" si="40"/>
        <v/>
      </c>
      <c r="B288" s="864" t="str">
        <f t="shared" si="36"/>
        <v/>
      </c>
      <c r="C288" s="865" t="str">
        <f t="shared" si="41"/>
        <v/>
      </c>
      <c r="D288" s="865" t="str">
        <f t="shared" si="44"/>
        <v/>
      </c>
      <c r="E288" s="866" t="e">
        <f t="shared" si="37"/>
        <v>#VALUE!</v>
      </c>
      <c r="F288" s="865" t="e">
        <f t="shared" si="38"/>
        <v>#VALUE!</v>
      </c>
      <c r="G288" s="865" t="str">
        <f t="shared" si="42"/>
        <v/>
      </c>
      <c r="H288" s="865" t="str">
        <f t="shared" si="43"/>
        <v/>
      </c>
      <c r="I288" s="865" t="e">
        <f t="shared" si="39"/>
        <v>#VALUE!</v>
      </c>
      <c r="J288" s="865">
        <f>SUM($H$19:$H288)</f>
        <v>0</v>
      </c>
    </row>
    <row r="289" spans="1:10">
      <c r="A289" s="863" t="str">
        <f t="shared" si="40"/>
        <v/>
      </c>
      <c r="B289" s="864" t="str">
        <f t="shared" si="36"/>
        <v/>
      </c>
      <c r="C289" s="865" t="str">
        <f t="shared" si="41"/>
        <v/>
      </c>
      <c r="D289" s="865" t="str">
        <f t="shared" si="44"/>
        <v/>
      </c>
      <c r="E289" s="866" t="e">
        <f t="shared" si="37"/>
        <v>#VALUE!</v>
      </c>
      <c r="F289" s="865" t="e">
        <f t="shared" si="38"/>
        <v>#VALUE!</v>
      </c>
      <c r="G289" s="865" t="str">
        <f t="shared" si="42"/>
        <v/>
      </c>
      <c r="H289" s="865" t="str">
        <f t="shared" si="43"/>
        <v/>
      </c>
      <c r="I289" s="865" t="e">
        <f t="shared" si="39"/>
        <v>#VALUE!</v>
      </c>
      <c r="J289" s="865">
        <f>SUM($H$19:$H289)</f>
        <v>0</v>
      </c>
    </row>
    <row r="290" spans="1:10">
      <c r="A290" s="863" t="str">
        <f t="shared" si="40"/>
        <v/>
      </c>
      <c r="B290" s="864" t="str">
        <f t="shared" si="36"/>
        <v/>
      </c>
      <c r="C290" s="865" t="str">
        <f t="shared" si="41"/>
        <v/>
      </c>
      <c r="D290" s="865" t="str">
        <f t="shared" si="44"/>
        <v/>
      </c>
      <c r="E290" s="866" t="e">
        <f t="shared" si="37"/>
        <v>#VALUE!</v>
      </c>
      <c r="F290" s="865" t="e">
        <f t="shared" si="38"/>
        <v>#VALUE!</v>
      </c>
      <c r="G290" s="865" t="str">
        <f t="shared" si="42"/>
        <v/>
      </c>
      <c r="H290" s="865" t="str">
        <f t="shared" si="43"/>
        <v/>
      </c>
      <c r="I290" s="865" t="e">
        <f t="shared" si="39"/>
        <v>#VALUE!</v>
      </c>
      <c r="J290" s="865">
        <f>SUM($H$19:$H290)</f>
        <v>0</v>
      </c>
    </row>
    <row r="291" spans="1:10">
      <c r="A291" s="863" t="str">
        <f t="shared" si="40"/>
        <v/>
      </c>
      <c r="B291" s="864" t="str">
        <f t="shared" si="36"/>
        <v/>
      </c>
      <c r="C291" s="865" t="str">
        <f t="shared" si="41"/>
        <v/>
      </c>
      <c r="D291" s="865" t="str">
        <f t="shared" si="44"/>
        <v/>
      </c>
      <c r="E291" s="866" t="e">
        <f t="shared" si="37"/>
        <v>#VALUE!</v>
      </c>
      <c r="F291" s="865" t="e">
        <f t="shared" si="38"/>
        <v>#VALUE!</v>
      </c>
      <c r="G291" s="865" t="str">
        <f t="shared" si="42"/>
        <v/>
      </c>
      <c r="H291" s="865" t="str">
        <f t="shared" si="43"/>
        <v/>
      </c>
      <c r="I291" s="865" t="e">
        <f t="shared" si="39"/>
        <v>#VALUE!</v>
      </c>
      <c r="J291" s="865">
        <f>SUM($H$19:$H291)</f>
        <v>0</v>
      </c>
    </row>
    <row r="292" spans="1:10">
      <c r="A292" s="863" t="str">
        <f t="shared" si="40"/>
        <v/>
      </c>
      <c r="B292" s="864" t="str">
        <f t="shared" si="36"/>
        <v/>
      </c>
      <c r="C292" s="865" t="str">
        <f t="shared" si="41"/>
        <v/>
      </c>
      <c r="D292" s="865" t="str">
        <f t="shared" si="44"/>
        <v/>
      </c>
      <c r="E292" s="866" t="e">
        <f t="shared" si="37"/>
        <v>#VALUE!</v>
      </c>
      <c r="F292" s="865" t="e">
        <f t="shared" si="38"/>
        <v>#VALUE!</v>
      </c>
      <c r="G292" s="865" t="str">
        <f t="shared" si="42"/>
        <v/>
      </c>
      <c r="H292" s="865" t="str">
        <f t="shared" si="43"/>
        <v/>
      </c>
      <c r="I292" s="865" t="e">
        <f t="shared" si="39"/>
        <v>#VALUE!</v>
      </c>
      <c r="J292" s="865">
        <f>SUM($H$19:$H292)</f>
        <v>0</v>
      </c>
    </row>
    <row r="293" spans="1:10">
      <c r="A293" s="863" t="str">
        <f t="shared" si="40"/>
        <v/>
      </c>
      <c r="B293" s="864" t="str">
        <f t="shared" si="36"/>
        <v/>
      </c>
      <c r="C293" s="865" t="str">
        <f t="shared" si="41"/>
        <v/>
      </c>
      <c r="D293" s="865" t="str">
        <f t="shared" si="44"/>
        <v/>
      </c>
      <c r="E293" s="866" t="e">
        <f t="shared" si="37"/>
        <v>#VALUE!</v>
      </c>
      <c r="F293" s="865" t="e">
        <f t="shared" si="38"/>
        <v>#VALUE!</v>
      </c>
      <c r="G293" s="865" t="str">
        <f t="shared" si="42"/>
        <v/>
      </c>
      <c r="H293" s="865" t="str">
        <f t="shared" si="43"/>
        <v/>
      </c>
      <c r="I293" s="865" t="e">
        <f t="shared" si="39"/>
        <v>#VALUE!</v>
      </c>
      <c r="J293" s="865">
        <f>SUM($H$19:$H293)</f>
        <v>0</v>
      </c>
    </row>
    <row r="294" spans="1:10">
      <c r="A294" s="863" t="str">
        <f t="shared" si="40"/>
        <v/>
      </c>
      <c r="B294" s="864" t="str">
        <f t="shared" si="36"/>
        <v/>
      </c>
      <c r="C294" s="865" t="str">
        <f t="shared" si="41"/>
        <v/>
      </c>
      <c r="D294" s="865" t="str">
        <f t="shared" si="44"/>
        <v/>
      </c>
      <c r="E294" s="866" t="e">
        <f t="shared" si="37"/>
        <v>#VALUE!</v>
      </c>
      <c r="F294" s="865" t="e">
        <f t="shared" si="38"/>
        <v>#VALUE!</v>
      </c>
      <c r="G294" s="865" t="str">
        <f t="shared" si="42"/>
        <v/>
      </c>
      <c r="H294" s="865" t="str">
        <f t="shared" si="43"/>
        <v/>
      </c>
      <c r="I294" s="865" t="e">
        <f t="shared" si="39"/>
        <v>#VALUE!</v>
      </c>
      <c r="J294" s="865">
        <f>SUM($H$19:$H294)</f>
        <v>0</v>
      </c>
    </row>
    <row r="295" spans="1:10">
      <c r="A295" s="863" t="str">
        <f t="shared" si="40"/>
        <v/>
      </c>
      <c r="B295" s="864" t="str">
        <f t="shared" si="36"/>
        <v/>
      </c>
      <c r="C295" s="865" t="str">
        <f t="shared" si="41"/>
        <v/>
      </c>
      <c r="D295" s="865" t="str">
        <f t="shared" si="44"/>
        <v/>
      </c>
      <c r="E295" s="866" t="e">
        <f t="shared" si="37"/>
        <v>#VALUE!</v>
      </c>
      <c r="F295" s="865" t="e">
        <f t="shared" si="38"/>
        <v>#VALUE!</v>
      </c>
      <c r="G295" s="865" t="str">
        <f t="shared" si="42"/>
        <v/>
      </c>
      <c r="H295" s="865" t="str">
        <f t="shared" si="43"/>
        <v/>
      </c>
      <c r="I295" s="865" t="e">
        <f t="shared" si="39"/>
        <v>#VALUE!</v>
      </c>
      <c r="J295" s="865">
        <f>SUM($H$19:$H295)</f>
        <v>0</v>
      </c>
    </row>
    <row r="296" spans="1:10">
      <c r="A296" s="863" t="str">
        <f t="shared" si="40"/>
        <v/>
      </c>
      <c r="B296" s="864" t="str">
        <f t="shared" si="36"/>
        <v/>
      </c>
      <c r="C296" s="865" t="str">
        <f t="shared" si="41"/>
        <v/>
      </c>
      <c r="D296" s="865" t="str">
        <f t="shared" si="44"/>
        <v/>
      </c>
      <c r="E296" s="866" t="e">
        <f t="shared" si="37"/>
        <v>#VALUE!</v>
      </c>
      <c r="F296" s="865" t="e">
        <f t="shared" si="38"/>
        <v>#VALUE!</v>
      </c>
      <c r="G296" s="865" t="str">
        <f t="shared" si="42"/>
        <v/>
      </c>
      <c r="H296" s="865" t="str">
        <f t="shared" si="43"/>
        <v/>
      </c>
      <c r="I296" s="865" t="e">
        <f t="shared" si="39"/>
        <v>#VALUE!</v>
      </c>
      <c r="J296" s="865">
        <f>SUM($H$19:$H296)</f>
        <v>0</v>
      </c>
    </row>
    <row r="297" spans="1:10">
      <c r="A297" s="863" t="str">
        <f t="shared" si="40"/>
        <v/>
      </c>
      <c r="B297" s="864" t="str">
        <f t="shared" si="36"/>
        <v/>
      </c>
      <c r="C297" s="865" t="str">
        <f t="shared" si="41"/>
        <v/>
      </c>
      <c r="D297" s="865" t="str">
        <f t="shared" si="44"/>
        <v/>
      </c>
      <c r="E297" s="866" t="e">
        <f t="shared" si="37"/>
        <v>#VALUE!</v>
      </c>
      <c r="F297" s="865" t="e">
        <f t="shared" si="38"/>
        <v>#VALUE!</v>
      </c>
      <c r="G297" s="865" t="str">
        <f t="shared" si="42"/>
        <v/>
      </c>
      <c r="H297" s="865" t="str">
        <f t="shared" si="43"/>
        <v/>
      </c>
      <c r="I297" s="865" t="e">
        <f t="shared" si="39"/>
        <v>#VALUE!</v>
      </c>
      <c r="J297" s="865">
        <f>SUM($H$19:$H297)</f>
        <v>0</v>
      </c>
    </row>
    <row r="298" spans="1:10">
      <c r="A298" s="863" t="str">
        <f t="shared" si="40"/>
        <v/>
      </c>
      <c r="B298" s="864" t="str">
        <f t="shared" si="36"/>
        <v/>
      </c>
      <c r="C298" s="865" t="str">
        <f t="shared" si="41"/>
        <v/>
      </c>
      <c r="D298" s="865" t="str">
        <f t="shared" si="44"/>
        <v/>
      </c>
      <c r="E298" s="866" t="e">
        <f t="shared" si="37"/>
        <v>#VALUE!</v>
      </c>
      <c r="F298" s="865" t="e">
        <f t="shared" si="38"/>
        <v>#VALUE!</v>
      </c>
      <c r="G298" s="865" t="str">
        <f t="shared" si="42"/>
        <v/>
      </c>
      <c r="H298" s="865" t="str">
        <f t="shared" si="43"/>
        <v/>
      </c>
      <c r="I298" s="865" t="e">
        <f t="shared" si="39"/>
        <v>#VALUE!</v>
      </c>
      <c r="J298" s="865">
        <f>SUM($H$19:$H298)</f>
        <v>0</v>
      </c>
    </row>
    <row r="299" spans="1:10">
      <c r="A299" s="863" t="str">
        <f t="shared" si="40"/>
        <v/>
      </c>
      <c r="B299" s="864" t="str">
        <f t="shared" si="36"/>
        <v/>
      </c>
      <c r="C299" s="865" t="str">
        <f t="shared" si="41"/>
        <v/>
      </c>
      <c r="D299" s="865" t="str">
        <f t="shared" si="44"/>
        <v/>
      </c>
      <c r="E299" s="866" t="e">
        <f t="shared" si="37"/>
        <v>#VALUE!</v>
      </c>
      <c r="F299" s="865" t="e">
        <f t="shared" si="38"/>
        <v>#VALUE!</v>
      </c>
      <c r="G299" s="865" t="str">
        <f t="shared" si="42"/>
        <v/>
      </c>
      <c r="H299" s="865" t="str">
        <f t="shared" si="43"/>
        <v/>
      </c>
      <c r="I299" s="865" t="e">
        <f t="shared" si="39"/>
        <v>#VALUE!</v>
      </c>
      <c r="J299" s="865">
        <f>SUM($H$19:$H299)</f>
        <v>0</v>
      </c>
    </row>
    <row r="300" spans="1:10">
      <c r="A300" s="863" t="str">
        <f t="shared" si="40"/>
        <v/>
      </c>
      <c r="B300" s="864" t="str">
        <f t="shared" si="36"/>
        <v/>
      </c>
      <c r="C300" s="865" t="str">
        <f t="shared" si="41"/>
        <v/>
      </c>
      <c r="D300" s="865" t="str">
        <f t="shared" si="44"/>
        <v/>
      </c>
      <c r="E300" s="866" t="e">
        <f t="shared" si="37"/>
        <v>#VALUE!</v>
      </c>
      <c r="F300" s="865" t="e">
        <f t="shared" si="38"/>
        <v>#VALUE!</v>
      </c>
      <c r="G300" s="865" t="str">
        <f t="shared" si="42"/>
        <v/>
      </c>
      <c r="H300" s="865" t="str">
        <f t="shared" si="43"/>
        <v/>
      </c>
      <c r="I300" s="865" t="e">
        <f t="shared" si="39"/>
        <v>#VALUE!</v>
      </c>
      <c r="J300" s="865">
        <f>SUM($H$19:$H300)</f>
        <v>0</v>
      </c>
    </row>
    <row r="301" spans="1:10">
      <c r="A301" s="863" t="str">
        <f t="shared" si="40"/>
        <v/>
      </c>
      <c r="B301" s="864" t="str">
        <f t="shared" si="36"/>
        <v/>
      </c>
      <c r="C301" s="865" t="str">
        <f t="shared" si="41"/>
        <v/>
      </c>
      <c r="D301" s="865" t="str">
        <f t="shared" si="44"/>
        <v/>
      </c>
      <c r="E301" s="866" t="e">
        <f t="shared" si="37"/>
        <v>#VALUE!</v>
      </c>
      <c r="F301" s="865" t="e">
        <f t="shared" si="38"/>
        <v>#VALUE!</v>
      </c>
      <c r="G301" s="865" t="str">
        <f t="shared" si="42"/>
        <v/>
      </c>
      <c r="H301" s="865" t="str">
        <f t="shared" si="43"/>
        <v/>
      </c>
      <c r="I301" s="865" t="e">
        <f t="shared" si="39"/>
        <v>#VALUE!</v>
      </c>
      <c r="J301" s="865">
        <f>SUM($H$19:$H301)</f>
        <v>0</v>
      </c>
    </row>
    <row r="302" spans="1:10">
      <c r="A302" s="863" t="str">
        <f t="shared" si="40"/>
        <v/>
      </c>
      <c r="B302" s="864" t="str">
        <f t="shared" si="36"/>
        <v/>
      </c>
      <c r="C302" s="865" t="str">
        <f t="shared" si="41"/>
        <v/>
      </c>
      <c r="D302" s="865" t="str">
        <f t="shared" si="44"/>
        <v/>
      </c>
      <c r="E302" s="866" t="e">
        <f t="shared" si="37"/>
        <v>#VALUE!</v>
      </c>
      <c r="F302" s="865" t="e">
        <f t="shared" si="38"/>
        <v>#VALUE!</v>
      </c>
      <c r="G302" s="865" t="str">
        <f t="shared" si="42"/>
        <v/>
      </c>
      <c r="H302" s="865" t="str">
        <f t="shared" si="43"/>
        <v/>
      </c>
      <c r="I302" s="865" t="e">
        <f t="shared" si="39"/>
        <v>#VALUE!</v>
      </c>
      <c r="J302" s="865">
        <f>SUM($H$19:$H302)</f>
        <v>0</v>
      </c>
    </row>
    <row r="303" spans="1:10">
      <c r="A303" s="863" t="str">
        <f t="shared" si="40"/>
        <v/>
      </c>
      <c r="B303" s="864" t="str">
        <f t="shared" si="36"/>
        <v/>
      </c>
      <c r="C303" s="865" t="str">
        <f t="shared" si="41"/>
        <v/>
      </c>
      <c r="D303" s="865" t="str">
        <f t="shared" si="44"/>
        <v/>
      </c>
      <c r="E303" s="866" t="e">
        <f t="shared" si="37"/>
        <v>#VALUE!</v>
      </c>
      <c r="F303" s="865" t="e">
        <f t="shared" si="38"/>
        <v>#VALUE!</v>
      </c>
      <c r="G303" s="865" t="str">
        <f t="shared" si="42"/>
        <v/>
      </c>
      <c r="H303" s="865" t="str">
        <f t="shared" si="43"/>
        <v/>
      </c>
      <c r="I303" s="865" t="e">
        <f t="shared" si="39"/>
        <v>#VALUE!</v>
      </c>
      <c r="J303" s="865">
        <f>SUM($H$19:$H303)</f>
        <v>0</v>
      </c>
    </row>
    <row r="304" spans="1:10">
      <c r="A304" s="863" t="str">
        <f t="shared" si="40"/>
        <v/>
      </c>
      <c r="B304" s="864" t="str">
        <f t="shared" si="36"/>
        <v/>
      </c>
      <c r="C304" s="865" t="str">
        <f t="shared" si="41"/>
        <v/>
      </c>
      <c r="D304" s="865" t="str">
        <f t="shared" si="44"/>
        <v/>
      </c>
      <c r="E304" s="866" t="e">
        <f t="shared" si="37"/>
        <v>#VALUE!</v>
      </c>
      <c r="F304" s="865" t="e">
        <f t="shared" si="38"/>
        <v>#VALUE!</v>
      </c>
      <c r="G304" s="865" t="str">
        <f t="shared" si="42"/>
        <v/>
      </c>
      <c r="H304" s="865" t="str">
        <f t="shared" si="43"/>
        <v/>
      </c>
      <c r="I304" s="865" t="e">
        <f t="shared" si="39"/>
        <v>#VALUE!</v>
      </c>
      <c r="J304" s="865">
        <f>SUM($H$19:$H304)</f>
        <v>0</v>
      </c>
    </row>
    <row r="305" spans="1:10">
      <c r="A305" s="863" t="str">
        <f t="shared" si="40"/>
        <v/>
      </c>
      <c r="B305" s="864" t="str">
        <f t="shared" si="36"/>
        <v/>
      </c>
      <c r="C305" s="865" t="str">
        <f t="shared" si="41"/>
        <v/>
      </c>
      <c r="D305" s="865" t="str">
        <f t="shared" si="44"/>
        <v/>
      </c>
      <c r="E305" s="866" t="e">
        <f t="shared" si="37"/>
        <v>#VALUE!</v>
      </c>
      <c r="F305" s="865" t="e">
        <f t="shared" si="38"/>
        <v>#VALUE!</v>
      </c>
      <c r="G305" s="865" t="str">
        <f t="shared" si="42"/>
        <v/>
      </c>
      <c r="H305" s="865" t="str">
        <f t="shared" si="43"/>
        <v/>
      </c>
      <c r="I305" s="865" t="e">
        <f t="shared" si="39"/>
        <v>#VALUE!</v>
      </c>
      <c r="J305" s="865">
        <f>SUM($H$19:$H305)</f>
        <v>0</v>
      </c>
    </row>
    <row r="306" spans="1:10">
      <c r="A306" s="863" t="str">
        <f t="shared" si="40"/>
        <v/>
      </c>
      <c r="B306" s="864" t="str">
        <f t="shared" si="36"/>
        <v/>
      </c>
      <c r="C306" s="865" t="str">
        <f t="shared" si="41"/>
        <v/>
      </c>
      <c r="D306" s="865" t="str">
        <f t="shared" si="44"/>
        <v/>
      </c>
      <c r="E306" s="866" t="e">
        <f t="shared" si="37"/>
        <v>#VALUE!</v>
      </c>
      <c r="F306" s="865" t="e">
        <f t="shared" si="38"/>
        <v>#VALUE!</v>
      </c>
      <c r="G306" s="865" t="str">
        <f t="shared" si="42"/>
        <v/>
      </c>
      <c r="H306" s="865" t="str">
        <f t="shared" si="43"/>
        <v/>
      </c>
      <c r="I306" s="865" t="e">
        <f t="shared" si="39"/>
        <v>#VALUE!</v>
      </c>
      <c r="J306" s="865">
        <f>SUM($H$19:$H306)</f>
        <v>0</v>
      </c>
    </row>
    <row r="307" spans="1:10">
      <c r="A307" s="863" t="str">
        <f t="shared" si="40"/>
        <v/>
      </c>
      <c r="B307" s="864" t="str">
        <f t="shared" si="36"/>
        <v/>
      </c>
      <c r="C307" s="865" t="str">
        <f t="shared" si="41"/>
        <v/>
      </c>
      <c r="D307" s="865" t="str">
        <f t="shared" si="44"/>
        <v/>
      </c>
      <c r="E307" s="866" t="e">
        <f t="shared" si="37"/>
        <v>#VALUE!</v>
      </c>
      <c r="F307" s="865" t="e">
        <f t="shared" si="38"/>
        <v>#VALUE!</v>
      </c>
      <c r="G307" s="865" t="str">
        <f t="shared" si="42"/>
        <v/>
      </c>
      <c r="H307" s="865" t="str">
        <f t="shared" si="43"/>
        <v/>
      </c>
      <c r="I307" s="865" t="e">
        <f t="shared" si="39"/>
        <v>#VALUE!</v>
      </c>
      <c r="J307" s="865">
        <f>SUM($H$19:$H307)</f>
        <v>0</v>
      </c>
    </row>
    <row r="308" spans="1:10">
      <c r="A308" s="863" t="str">
        <f t="shared" si="40"/>
        <v/>
      </c>
      <c r="B308" s="864" t="str">
        <f t="shared" si="36"/>
        <v/>
      </c>
      <c r="C308" s="865" t="str">
        <f t="shared" si="41"/>
        <v/>
      </c>
      <c r="D308" s="865" t="str">
        <f t="shared" si="44"/>
        <v/>
      </c>
      <c r="E308" s="866" t="e">
        <f t="shared" si="37"/>
        <v>#VALUE!</v>
      </c>
      <c r="F308" s="865" t="e">
        <f t="shared" si="38"/>
        <v>#VALUE!</v>
      </c>
      <c r="G308" s="865" t="str">
        <f t="shared" si="42"/>
        <v/>
      </c>
      <c r="H308" s="865" t="str">
        <f t="shared" si="43"/>
        <v/>
      </c>
      <c r="I308" s="865" t="e">
        <f t="shared" si="39"/>
        <v>#VALUE!</v>
      </c>
      <c r="J308" s="865">
        <f>SUM($H$19:$H308)</f>
        <v>0</v>
      </c>
    </row>
    <row r="309" spans="1:10">
      <c r="A309" s="863" t="str">
        <f t="shared" si="40"/>
        <v/>
      </c>
      <c r="B309" s="864" t="str">
        <f t="shared" si="36"/>
        <v/>
      </c>
      <c r="C309" s="865" t="str">
        <f t="shared" si="41"/>
        <v/>
      </c>
      <c r="D309" s="865" t="str">
        <f t="shared" si="44"/>
        <v/>
      </c>
      <c r="E309" s="866" t="e">
        <f t="shared" si="37"/>
        <v>#VALUE!</v>
      </c>
      <c r="F309" s="865" t="e">
        <f t="shared" si="38"/>
        <v>#VALUE!</v>
      </c>
      <c r="G309" s="865" t="str">
        <f t="shared" si="42"/>
        <v/>
      </c>
      <c r="H309" s="865" t="str">
        <f t="shared" si="43"/>
        <v/>
      </c>
      <c r="I309" s="865" t="e">
        <f t="shared" si="39"/>
        <v>#VALUE!</v>
      </c>
      <c r="J309" s="865">
        <f>SUM($H$19:$H309)</f>
        <v>0</v>
      </c>
    </row>
    <row r="310" spans="1:10">
      <c r="A310" s="863" t="str">
        <f t="shared" si="40"/>
        <v/>
      </c>
      <c r="B310" s="864" t="str">
        <f t="shared" si="36"/>
        <v/>
      </c>
      <c r="C310" s="865" t="str">
        <f t="shared" si="41"/>
        <v/>
      </c>
      <c r="D310" s="865" t="str">
        <f t="shared" si="44"/>
        <v/>
      </c>
      <c r="E310" s="866" t="e">
        <f t="shared" si="37"/>
        <v>#VALUE!</v>
      </c>
      <c r="F310" s="865" t="e">
        <f t="shared" si="38"/>
        <v>#VALUE!</v>
      </c>
      <c r="G310" s="865" t="str">
        <f t="shared" si="42"/>
        <v/>
      </c>
      <c r="H310" s="865" t="str">
        <f t="shared" si="43"/>
        <v/>
      </c>
      <c r="I310" s="865" t="e">
        <f t="shared" si="39"/>
        <v>#VALUE!</v>
      </c>
      <c r="J310" s="865">
        <f>SUM($H$19:$H310)</f>
        <v>0</v>
      </c>
    </row>
    <row r="311" spans="1:10">
      <c r="A311" s="863" t="str">
        <f t="shared" si="40"/>
        <v/>
      </c>
      <c r="B311" s="864" t="str">
        <f t="shared" si="36"/>
        <v/>
      </c>
      <c r="C311" s="865" t="str">
        <f t="shared" si="41"/>
        <v/>
      </c>
      <c r="D311" s="865" t="str">
        <f t="shared" si="44"/>
        <v/>
      </c>
      <c r="E311" s="866" t="e">
        <f t="shared" si="37"/>
        <v>#VALUE!</v>
      </c>
      <c r="F311" s="865" t="e">
        <f t="shared" si="38"/>
        <v>#VALUE!</v>
      </c>
      <c r="G311" s="865" t="str">
        <f t="shared" si="42"/>
        <v/>
      </c>
      <c r="H311" s="865" t="str">
        <f t="shared" si="43"/>
        <v/>
      </c>
      <c r="I311" s="865" t="e">
        <f t="shared" si="39"/>
        <v>#VALUE!</v>
      </c>
      <c r="J311" s="865">
        <f>SUM($H$19:$H311)</f>
        <v>0</v>
      </c>
    </row>
    <row r="312" spans="1:10">
      <c r="A312" s="863" t="str">
        <f t="shared" si="40"/>
        <v/>
      </c>
      <c r="B312" s="864" t="str">
        <f t="shared" si="36"/>
        <v/>
      </c>
      <c r="C312" s="865" t="str">
        <f t="shared" si="41"/>
        <v/>
      </c>
      <c r="D312" s="865" t="str">
        <f t="shared" si="44"/>
        <v/>
      </c>
      <c r="E312" s="866" t="e">
        <f t="shared" si="37"/>
        <v>#VALUE!</v>
      </c>
      <c r="F312" s="865" t="e">
        <f t="shared" si="38"/>
        <v>#VALUE!</v>
      </c>
      <c r="G312" s="865" t="str">
        <f t="shared" si="42"/>
        <v/>
      </c>
      <c r="H312" s="865" t="str">
        <f t="shared" si="43"/>
        <v/>
      </c>
      <c r="I312" s="865" t="e">
        <f t="shared" si="39"/>
        <v>#VALUE!</v>
      </c>
      <c r="J312" s="865">
        <f>SUM($H$19:$H312)</f>
        <v>0</v>
      </c>
    </row>
    <row r="313" spans="1:10">
      <c r="A313" s="863" t="str">
        <f t="shared" si="40"/>
        <v/>
      </c>
      <c r="B313" s="864" t="str">
        <f t="shared" si="36"/>
        <v/>
      </c>
      <c r="C313" s="865" t="str">
        <f t="shared" si="41"/>
        <v/>
      </c>
      <c r="D313" s="865" t="str">
        <f t="shared" si="44"/>
        <v/>
      </c>
      <c r="E313" s="866" t="e">
        <f t="shared" si="37"/>
        <v>#VALUE!</v>
      </c>
      <c r="F313" s="865" t="e">
        <f t="shared" si="38"/>
        <v>#VALUE!</v>
      </c>
      <c r="G313" s="865" t="str">
        <f t="shared" si="42"/>
        <v/>
      </c>
      <c r="H313" s="865" t="str">
        <f t="shared" si="43"/>
        <v/>
      </c>
      <c r="I313" s="865" t="e">
        <f t="shared" si="39"/>
        <v>#VALUE!</v>
      </c>
      <c r="J313" s="865">
        <f>SUM($H$19:$H313)</f>
        <v>0</v>
      </c>
    </row>
    <row r="314" spans="1:10">
      <c r="A314" s="863" t="str">
        <f t="shared" si="40"/>
        <v/>
      </c>
      <c r="B314" s="864" t="str">
        <f t="shared" si="36"/>
        <v/>
      </c>
      <c r="C314" s="865" t="str">
        <f t="shared" si="41"/>
        <v/>
      </c>
      <c r="D314" s="865" t="str">
        <f t="shared" si="44"/>
        <v/>
      </c>
      <c r="E314" s="866" t="e">
        <f t="shared" si="37"/>
        <v>#VALUE!</v>
      </c>
      <c r="F314" s="865" t="e">
        <f t="shared" si="38"/>
        <v>#VALUE!</v>
      </c>
      <c r="G314" s="865" t="str">
        <f t="shared" si="42"/>
        <v/>
      </c>
      <c r="H314" s="865" t="str">
        <f t="shared" si="43"/>
        <v/>
      </c>
      <c r="I314" s="865" t="e">
        <f t="shared" si="39"/>
        <v>#VALUE!</v>
      </c>
      <c r="J314" s="865">
        <f>SUM($H$19:$H314)</f>
        <v>0</v>
      </c>
    </row>
    <row r="315" spans="1:10">
      <c r="A315" s="863" t="str">
        <f t="shared" si="40"/>
        <v/>
      </c>
      <c r="B315" s="864" t="str">
        <f t="shared" si="36"/>
        <v/>
      </c>
      <c r="C315" s="865" t="str">
        <f t="shared" si="41"/>
        <v/>
      </c>
      <c r="D315" s="865" t="str">
        <f t="shared" si="44"/>
        <v/>
      </c>
      <c r="E315" s="866" t="e">
        <f t="shared" si="37"/>
        <v>#VALUE!</v>
      </c>
      <c r="F315" s="865" t="e">
        <f t="shared" si="38"/>
        <v>#VALUE!</v>
      </c>
      <c r="G315" s="865" t="str">
        <f t="shared" si="42"/>
        <v/>
      </c>
      <c r="H315" s="865" t="str">
        <f t="shared" si="43"/>
        <v/>
      </c>
      <c r="I315" s="865" t="e">
        <f t="shared" si="39"/>
        <v>#VALUE!</v>
      </c>
      <c r="J315" s="865">
        <f>SUM($H$19:$H315)</f>
        <v>0</v>
      </c>
    </row>
    <row r="316" spans="1:10">
      <c r="A316" s="863" t="str">
        <f t="shared" si="40"/>
        <v/>
      </c>
      <c r="B316" s="864" t="str">
        <f t="shared" si="36"/>
        <v/>
      </c>
      <c r="C316" s="865" t="str">
        <f t="shared" si="41"/>
        <v/>
      </c>
      <c r="D316" s="865" t="str">
        <f t="shared" si="44"/>
        <v/>
      </c>
      <c r="E316" s="866" t="e">
        <f t="shared" si="37"/>
        <v>#VALUE!</v>
      </c>
      <c r="F316" s="865" t="e">
        <f t="shared" si="38"/>
        <v>#VALUE!</v>
      </c>
      <c r="G316" s="865" t="str">
        <f t="shared" si="42"/>
        <v/>
      </c>
      <c r="H316" s="865" t="str">
        <f t="shared" si="43"/>
        <v/>
      </c>
      <c r="I316" s="865" t="e">
        <f t="shared" si="39"/>
        <v>#VALUE!</v>
      </c>
      <c r="J316" s="865">
        <f>SUM($H$19:$H316)</f>
        <v>0</v>
      </c>
    </row>
    <row r="317" spans="1:10">
      <c r="A317" s="863" t="str">
        <f t="shared" si="40"/>
        <v/>
      </c>
      <c r="B317" s="864" t="str">
        <f t="shared" si="36"/>
        <v/>
      </c>
      <c r="C317" s="865" t="str">
        <f t="shared" si="41"/>
        <v/>
      </c>
      <c r="D317" s="865" t="str">
        <f t="shared" si="44"/>
        <v/>
      </c>
      <c r="E317" s="866" t="e">
        <f t="shared" si="37"/>
        <v>#VALUE!</v>
      </c>
      <c r="F317" s="865" t="e">
        <f t="shared" si="38"/>
        <v>#VALUE!</v>
      </c>
      <c r="G317" s="865" t="str">
        <f t="shared" si="42"/>
        <v/>
      </c>
      <c r="H317" s="865" t="str">
        <f t="shared" si="43"/>
        <v/>
      </c>
      <c r="I317" s="865" t="e">
        <f t="shared" si="39"/>
        <v>#VALUE!</v>
      </c>
      <c r="J317" s="865">
        <f>SUM($H$19:$H317)</f>
        <v>0</v>
      </c>
    </row>
    <row r="318" spans="1:10">
      <c r="A318" s="863" t="str">
        <f t="shared" si="40"/>
        <v/>
      </c>
      <c r="B318" s="864" t="str">
        <f t="shared" si="36"/>
        <v/>
      </c>
      <c r="C318" s="865" t="str">
        <f t="shared" si="41"/>
        <v/>
      </c>
      <c r="D318" s="865" t="str">
        <f t="shared" si="44"/>
        <v/>
      </c>
      <c r="E318" s="866" t="e">
        <f t="shared" si="37"/>
        <v>#VALUE!</v>
      </c>
      <c r="F318" s="865" t="e">
        <f t="shared" si="38"/>
        <v>#VALUE!</v>
      </c>
      <c r="G318" s="865" t="str">
        <f t="shared" si="42"/>
        <v/>
      </c>
      <c r="H318" s="865" t="str">
        <f t="shared" si="43"/>
        <v/>
      </c>
      <c r="I318" s="865" t="e">
        <f t="shared" si="39"/>
        <v>#VALUE!</v>
      </c>
      <c r="J318" s="865">
        <f>SUM($H$19:$H318)</f>
        <v>0</v>
      </c>
    </row>
    <row r="319" spans="1:10">
      <c r="A319" s="863" t="str">
        <f t="shared" si="40"/>
        <v/>
      </c>
      <c r="B319" s="864" t="str">
        <f t="shared" si="36"/>
        <v/>
      </c>
      <c r="C319" s="865" t="str">
        <f t="shared" si="41"/>
        <v/>
      </c>
      <c r="D319" s="865" t="str">
        <f t="shared" si="44"/>
        <v/>
      </c>
      <c r="E319" s="866" t="e">
        <f t="shared" si="37"/>
        <v>#VALUE!</v>
      </c>
      <c r="F319" s="865" t="e">
        <f t="shared" si="38"/>
        <v>#VALUE!</v>
      </c>
      <c r="G319" s="865" t="str">
        <f t="shared" si="42"/>
        <v/>
      </c>
      <c r="H319" s="865" t="str">
        <f t="shared" si="43"/>
        <v/>
      </c>
      <c r="I319" s="865" t="e">
        <f t="shared" si="39"/>
        <v>#VALUE!</v>
      </c>
      <c r="J319" s="865">
        <f>SUM($H$19:$H319)</f>
        <v>0</v>
      </c>
    </row>
    <row r="320" spans="1:10">
      <c r="A320" s="863" t="str">
        <f t="shared" si="40"/>
        <v/>
      </c>
      <c r="B320" s="864" t="str">
        <f t="shared" si="36"/>
        <v/>
      </c>
      <c r="C320" s="865" t="str">
        <f t="shared" si="41"/>
        <v/>
      </c>
      <c r="D320" s="865" t="str">
        <f t="shared" si="44"/>
        <v/>
      </c>
      <c r="E320" s="866" t="e">
        <f t="shared" si="37"/>
        <v>#VALUE!</v>
      </c>
      <c r="F320" s="865" t="e">
        <f t="shared" si="38"/>
        <v>#VALUE!</v>
      </c>
      <c r="G320" s="865" t="str">
        <f t="shared" si="42"/>
        <v/>
      </c>
      <c r="H320" s="865" t="str">
        <f t="shared" si="43"/>
        <v/>
      </c>
      <c r="I320" s="865" t="e">
        <f t="shared" si="39"/>
        <v>#VALUE!</v>
      </c>
      <c r="J320" s="865">
        <f>SUM($H$19:$H320)</f>
        <v>0</v>
      </c>
    </row>
    <row r="321" spans="1:10">
      <c r="A321" s="863" t="str">
        <f t="shared" si="40"/>
        <v/>
      </c>
      <c r="B321" s="864" t="str">
        <f t="shared" si="36"/>
        <v/>
      </c>
      <c r="C321" s="865" t="str">
        <f t="shared" si="41"/>
        <v/>
      </c>
      <c r="D321" s="865" t="str">
        <f t="shared" si="44"/>
        <v/>
      </c>
      <c r="E321" s="866" t="e">
        <f t="shared" si="37"/>
        <v>#VALUE!</v>
      </c>
      <c r="F321" s="865" t="e">
        <f t="shared" si="38"/>
        <v>#VALUE!</v>
      </c>
      <c r="G321" s="865" t="str">
        <f t="shared" si="42"/>
        <v/>
      </c>
      <c r="H321" s="865" t="str">
        <f t="shared" si="43"/>
        <v/>
      </c>
      <c r="I321" s="865" t="e">
        <f t="shared" si="39"/>
        <v>#VALUE!</v>
      </c>
      <c r="J321" s="865">
        <f>SUM($H$19:$H321)</f>
        <v>0</v>
      </c>
    </row>
    <row r="322" spans="1:10">
      <c r="A322" s="863" t="str">
        <f t="shared" si="40"/>
        <v/>
      </c>
      <c r="B322" s="864" t="str">
        <f t="shared" si="36"/>
        <v/>
      </c>
      <c r="C322" s="865" t="str">
        <f t="shared" si="41"/>
        <v/>
      </c>
      <c r="D322" s="865" t="str">
        <f t="shared" si="44"/>
        <v/>
      </c>
      <c r="E322" s="866" t="e">
        <f t="shared" si="37"/>
        <v>#VALUE!</v>
      </c>
      <c r="F322" s="865" t="e">
        <f t="shared" si="38"/>
        <v>#VALUE!</v>
      </c>
      <c r="G322" s="865" t="str">
        <f t="shared" si="42"/>
        <v/>
      </c>
      <c r="H322" s="865" t="str">
        <f t="shared" si="43"/>
        <v/>
      </c>
      <c r="I322" s="865" t="e">
        <f t="shared" si="39"/>
        <v>#VALUE!</v>
      </c>
      <c r="J322" s="865">
        <f>SUM($H$19:$H322)</f>
        <v>0</v>
      </c>
    </row>
    <row r="323" spans="1:10">
      <c r="A323" s="863" t="str">
        <f t="shared" si="40"/>
        <v/>
      </c>
      <c r="B323" s="864" t="str">
        <f t="shared" si="36"/>
        <v/>
      </c>
      <c r="C323" s="865" t="str">
        <f t="shared" si="41"/>
        <v/>
      </c>
      <c r="D323" s="865" t="str">
        <f t="shared" si="44"/>
        <v/>
      </c>
      <c r="E323" s="866" t="e">
        <f t="shared" si="37"/>
        <v>#VALUE!</v>
      </c>
      <c r="F323" s="865" t="e">
        <f t="shared" si="38"/>
        <v>#VALUE!</v>
      </c>
      <c r="G323" s="865" t="str">
        <f t="shared" si="42"/>
        <v/>
      </c>
      <c r="H323" s="865" t="str">
        <f t="shared" si="43"/>
        <v/>
      </c>
      <c r="I323" s="865" t="e">
        <f t="shared" si="39"/>
        <v>#VALUE!</v>
      </c>
      <c r="J323" s="865">
        <f>SUM($H$19:$H323)</f>
        <v>0</v>
      </c>
    </row>
    <row r="324" spans="1:10">
      <c r="A324" s="863" t="str">
        <f t="shared" si="40"/>
        <v/>
      </c>
      <c r="B324" s="864" t="str">
        <f t="shared" si="36"/>
        <v/>
      </c>
      <c r="C324" s="865" t="str">
        <f t="shared" si="41"/>
        <v/>
      </c>
      <c r="D324" s="865" t="str">
        <f t="shared" si="44"/>
        <v/>
      </c>
      <c r="E324" s="866" t="e">
        <f t="shared" si="37"/>
        <v>#VALUE!</v>
      </c>
      <c r="F324" s="865" t="e">
        <f t="shared" si="38"/>
        <v>#VALUE!</v>
      </c>
      <c r="G324" s="865" t="str">
        <f t="shared" si="42"/>
        <v/>
      </c>
      <c r="H324" s="865" t="str">
        <f t="shared" si="43"/>
        <v/>
      </c>
      <c r="I324" s="865" t="e">
        <f t="shared" si="39"/>
        <v>#VALUE!</v>
      </c>
      <c r="J324" s="865">
        <f>SUM($H$19:$H324)</f>
        <v>0</v>
      </c>
    </row>
    <row r="325" spans="1:10">
      <c r="A325" s="863" t="str">
        <f t="shared" si="40"/>
        <v/>
      </c>
      <c r="B325" s="864" t="str">
        <f t="shared" si="36"/>
        <v/>
      </c>
      <c r="C325" s="865" t="str">
        <f t="shared" si="41"/>
        <v/>
      </c>
      <c r="D325" s="865" t="str">
        <f t="shared" si="44"/>
        <v/>
      </c>
      <c r="E325" s="866" t="e">
        <f t="shared" si="37"/>
        <v>#VALUE!</v>
      </c>
      <c r="F325" s="865" t="e">
        <f t="shared" si="38"/>
        <v>#VALUE!</v>
      </c>
      <c r="G325" s="865" t="str">
        <f t="shared" si="42"/>
        <v/>
      </c>
      <c r="H325" s="865" t="str">
        <f t="shared" si="43"/>
        <v/>
      </c>
      <c r="I325" s="865" t="e">
        <f t="shared" si="39"/>
        <v>#VALUE!</v>
      </c>
      <c r="J325" s="865">
        <f>SUM($H$19:$H325)</f>
        <v>0</v>
      </c>
    </row>
    <row r="326" spans="1:10">
      <c r="A326" s="863" t="str">
        <f t="shared" si="40"/>
        <v/>
      </c>
      <c r="B326" s="864" t="str">
        <f t="shared" si="36"/>
        <v/>
      </c>
      <c r="C326" s="865" t="str">
        <f t="shared" si="41"/>
        <v/>
      </c>
      <c r="D326" s="865" t="str">
        <f t="shared" si="44"/>
        <v/>
      </c>
      <c r="E326" s="866" t="e">
        <f t="shared" si="37"/>
        <v>#VALUE!</v>
      </c>
      <c r="F326" s="865" t="e">
        <f t="shared" si="38"/>
        <v>#VALUE!</v>
      </c>
      <c r="G326" s="865" t="str">
        <f t="shared" si="42"/>
        <v/>
      </c>
      <c r="H326" s="865" t="str">
        <f t="shared" si="43"/>
        <v/>
      </c>
      <c r="I326" s="865" t="e">
        <f t="shared" si="39"/>
        <v>#VALUE!</v>
      </c>
      <c r="J326" s="865">
        <f>SUM($H$19:$H326)</f>
        <v>0</v>
      </c>
    </row>
    <row r="327" spans="1:10">
      <c r="A327" s="863" t="str">
        <f t="shared" si="40"/>
        <v/>
      </c>
      <c r="B327" s="864" t="str">
        <f t="shared" si="36"/>
        <v/>
      </c>
      <c r="C327" s="865" t="str">
        <f t="shared" si="41"/>
        <v/>
      </c>
      <c r="D327" s="865" t="str">
        <f t="shared" si="44"/>
        <v/>
      </c>
      <c r="E327" s="866" t="e">
        <f t="shared" si="37"/>
        <v>#VALUE!</v>
      </c>
      <c r="F327" s="865" t="e">
        <f t="shared" si="38"/>
        <v>#VALUE!</v>
      </c>
      <c r="G327" s="865" t="str">
        <f t="shared" si="42"/>
        <v/>
      </c>
      <c r="H327" s="865" t="str">
        <f t="shared" si="43"/>
        <v/>
      </c>
      <c r="I327" s="865" t="e">
        <f t="shared" si="39"/>
        <v>#VALUE!</v>
      </c>
      <c r="J327" s="865">
        <f>SUM($H$19:$H327)</f>
        <v>0</v>
      </c>
    </row>
    <row r="328" spans="1:10">
      <c r="A328" s="863" t="str">
        <f t="shared" si="40"/>
        <v/>
      </c>
      <c r="B328" s="864" t="str">
        <f t="shared" si="36"/>
        <v/>
      </c>
      <c r="C328" s="865" t="str">
        <f t="shared" si="41"/>
        <v/>
      </c>
      <c r="D328" s="865" t="str">
        <f t="shared" si="44"/>
        <v/>
      </c>
      <c r="E328" s="866" t="e">
        <f t="shared" si="37"/>
        <v>#VALUE!</v>
      </c>
      <c r="F328" s="865" t="e">
        <f t="shared" si="38"/>
        <v>#VALUE!</v>
      </c>
      <c r="G328" s="865" t="str">
        <f t="shared" si="42"/>
        <v/>
      </c>
      <c r="H328" s="865" t="str">
        <f t="shared" si="43"/>
        <v/>
      </c>
      <c r="I328" s="865" t="e">
        <f t="shared" si="39"/>
        <v>#VALUE!</v>
      </c>
      <c r="J328" s="865">
        <f>SUM($H$19:$H328)</f>
        <v>0</v>
      </c>
    </row>
    <row r="329" spans="1:10">
      <c r="A329" s="863" t="str">
        <f t="shared" si="40"/>
        <v/>
      </c>
      <c r="B329" s="864" t="str">
        <f t="shared" si="36"/>
        <v/>
      </c>
      <c r="C329" s="865" t="str">
        <f t="shared" si="41"/>
        <v/>
      </c>
      <c r="D329" s="865" t="str">
        <f t="shared" si="44"/>
        <v/>
      </c>
      <c r="E329" s="866" t="e">
        <f t="shared" si="37"/>
        <v>#VALUE!</v>
      </c>
      <c r="F329" s="865" t="e">
        <f t="shared" si="38"/>
        <v>#VALUE!</v>
      </c>
      <c r="G329" s="865" t="str">
        <f t="shared" si="42"/>
        <v/>
      </c>
      <c r="H329" s="865" t="str">
        <f t="shared" si="43"/>
        <v/>
      </c>
      <c r="I329" s="865" t="e">
        <f t="shared" si="39"/>
        <v>#VALUE!</v>
      </c>
      <c r="J329" s="865">
        <f>SUM($H$19:$H329)</f>
        <v>0</v>
      </c>
    </row>
    <row r="330" spans="1:10">
      <c r="A330" s="863" t="str">
        <f t="shared" si="40"/>
        <v/>
      </c>
      <c r="B330" s="864" t="str">
        <f t="shared" si="36"/>
        <v/>
      </c>
      <c r="C330" s="865" t="str">
        <f t="shared" si="41"/>
        <v/>
      </c>
      <c r="D330" s="865" t="str">
        <f t="shared" si="44"/>
        <v/>
      </c>
      <c r="E330" s="866" t="e">
        <f t="shared" si="37"/>
        <v>#VALUE!</v>
      </c>
      <c r="F330" s="865" t="e">
        <f t="shared" si="38"/>
        <v>#VALUE!</v>
      </c>
      <c r="G330" s="865" t="str">
        <f t="shared" si="42"/>
        <v/>
      </c>
      <c r="H330" s="865" t="str">
        <f t="shared" si="43"/>
        <v/>
      </c>
      <c r="I330" s="865" t="e">
        <f t="shared" si="39"/>
        <v>#VALUE!</v>
      </c>
      <c r="J330" s="865">
        <f>SUM($H$19:$H330)</f>
        <v>0</v>
      </c>
    </row>
    <row r="331" spans="1:10">
      <c r="A331" s="863" t="str">
        <f t="shared" si="40"/>
        <v/>
      </c>
      <c r="B331" s="864" t="str">
        <f t="shared" si="36"/>
        <v/>
      </c>
      <c r="C331" s="865" t="str">
        <f t="shared" si="41"/>
        <v/>
      </c>
      <c r="D331" s="865" t="str">
        <f t="shared" si="44"/>
        <v/>
      </c>
      <c r="E331" s="866" t="e">
        <f t="shared" si="37"/>
        <v>#VALUE!</v>
      </c>
      <c r="F331" s="865" t="e">
        <f t="shared" si="38"/>
        <v>#VALUE!</v>
      </c>
      <c r="G331" s="865" t="str">
        <f t="shared" si="42"/>
        <v/>
      </c>
      <c r="H331" s="865" t="str">
        <f t="shared" si="43"/>
        <v/>
      </c>
      <c r="I331" s="865" t="e">
        <f t="shared" si="39"/>
        <v>#VALUE!</v>
      </c>
      <c r="J331" s="865">
        <f>SUM($H$19:$H331)</f>
        <v>0</v>
      </c>
    </row>
    <row r="332" spans="1:10">
      <c r="A332" s="863" t="str">
        <f t="shared" si="40"/>
        <v/>
      </c>
      <c r="B332" s="864" t="str">
        <f t="shared" si="36"/>
        <v/>
      </c>
      <c r="C332" s="865" t="str">
        <f t="shared" si="41"/>
        <v/>
      </c>
      <c r="D332" s="865" t="str">
        <f t="shared" si="44"/>
        <v/>
      </c>
      <c r="E332" s="866" t="e">
        <f t="shared" si="37"/>
        <v>#VALUE!</v>
      </c>
      <c r="F332" s="865" t="e">
        <f t="shared" si="38"/>
        <v>#VALUE!</v>
      </c>
      <c r="G332" s="865" t="str">
        <f t="shared" si="42"/>
        <v/>
      </c>
      <c r="H332" s="865" t="str">
        <f t="shared" si="43"/>
        <v/>
      </c>
      <c r="I332" s="865" t="e">
        <f t="shared" si="39"/>
        <v>#VALUE!</v>
      </c>
      <c r="J332" s="865">
        <f>SUM($H$19:$H332)</f>
        <v>0</v>
      </c>
    </row>
    <row r="333" spans="1:10">
      <c r="A333" s="863" t="str">
        <f t="shared" si="40"/>
        <v/>
      </c>
      <c r="B333" s="864" t="str">
        <f t="shared" si="36"/>
        <v/>
      </c>
      <c r="C333" s="865" t="str">
        <f t="shared" si="41"/>
        <v/>
      </c>
      <c r="D333" s="865" t="str">
        <f t="shared" si="44"/>
        <v/>
      </c>
      <c r="E333" s="866" t="e">
        <f t="shared" si="37"/>
        <v>#VALUE!</v>
      </c>
      <c r="F333" s="865" t="e">
        <f t="shared" si="38"/>
        <v>#VALUE!</v>
      </c>
      <c r="G333" s="865" t="str">
        <f t="shared" si="42"/>
        <v/>
      </c>
      <c r="H333" s="865" t="str">
        <f t="shared" si="43"/>
        <v/>
      </c>
      <c r="I333" s="865" t="e">
        <f t="shared" si="39"/>
        <v>#VALUE!</v>
      </c>
      <c r="J333" s="865">
        <f>SUM($H$19:$H333)</f>
        <v>0</v>
      </c>
    </row>
    <row r="334" spans="1:10">
      <c r="A334" s="863" t="str">
        <f t="shared" si="40"/>
        <v/>
      </c>
      <c r="B334" s="864" t="str">
        <f t="shared" si="36"/>
        <v/>
      </c>
      <c r="C334" s="865" t="str">
        <f t="shared" si="41"/>
        <v/>
      </c>
      <c r="D334" s="865" t="str">
        <f t="shared" si="44"/>
        <v/>
      </c>
      <c r="E334" s="866" t="e">
        <f t="shared" si="37"/>
        <v>#VALUE!</v>
      </c>
      <c r="F334" s="865" t="e">
        <f t="shared" si="38"/>
        <v>#VALUE!</v>
      </c>
      <c r="G334" s="865" t="str">
        <f t="shared" si="42"/>
        <v/>
      </c>
      <c r="H334" s="865" t="str">
        <f t="shared" si="43"/>
        <v/>
      </c>
      <c r="I334" s="865" t="e">
        <f t="shared" si="39"/>
        <v>#VALUE!</v>
      </c>
      <c r="J334" s="865">
        <f>SUM($H$19:$H334)</f>
        <v>0</v>
      </c>
    </row>
    <row r="335" spans="1:10">
      <c r="A335" s="863" t="str">
        <f t="shared" si="40"/>
        <v/>
      </c>
      <c r="B335" s="864" t="str">
        <f t="shared" si="36"/>
        <v/>
      </c>
      <c r="C335" s="865" t="str">
        <f t="shared" si="41"/>
        <v/>
      </c>
      <c r="D335" s="865" t="str">
        <f t="shared" si="44"/>
        <v/>
      </c>
      <c r="E335" s="866" t="e">
        <f t="shared" si="37"/>
        <v>#VALUE!</v>
      </c>
      <c r="F335" s="865" t="e">
        <f t="shared" si="38"/>
        <v>#VALUE!</v>
      </c>
      <c r="G335" s="865" t="str">
        <f t="shared" si="42"/>
        <v/>
      </c>
      <c r="H335" s="865" t="str">
        <f t="shared" si="43"/>
        <v/>
      </c>
      <c r="I335" s="865" t="e">
        <f t="shared" si="39"/>
        <v>#VALUE!</v>
      </c>
      <c r="J335" s="865">
        <f>SUM($H$19:$H335)</f>
        <v>0</v>
      </c>
    </row>
    <row r="336" spans="1:10">
      <c r="A336" s="863" t="str">
        <f t="shared" si="40"/>
        <v/>
      </c>
      <c r="B336" s="864" t="str">
        <f t="shared" si="36"/>
        <v/>
      </c>
      <c r="C336" s="865" t="str">
        <f t="shared" si="41"/>
        <v/>
      </c>
      <c r="D336" s="865" t="str">
        <f t="shared" si="44"/>
        <v/>
      </c>
      <c r="E336" s="866" t="e">
        <f t="shared" si="37"/>
        <v>#VALUE!</v>
      </c>
      <c r="F336" s="865" t="e">
        <f t="shared" si="38"/>
        <v>#VALUE!</v>
      </c>
      <c r="G336" s="865" t="str">
        <f t="shared" si="42"/>
        <v/>
      </c>
      <c r="H336" s="865" t="str">
        <f t="shared" si="43"/>
        <v/>
      </c>
      <c r="I336" s="865" t="e">
        <f t="shared" si="39"/>
        <v>#VALUE!</v>
      </c>
      <c r="J336" s="865">
        <f>SUM($H$19:$H336)</f>
        <v>0</v>
      </c>
    </row>
    <row r="337" spans="1:10">
      <c r="A337" s="863" t="str">
        <f t="shared" si="40"/>
        <v/>
      </c>
      <c r="B337" s="864" t="str">
        <f t="shared" si="36"/>
        <v/>
      </c>
      <c r="C337" s="865" t="str">
        <f t="shared" si="41"/>
        <v/>
      </c>
      <c r="D337" s="865" t="str">
        <f t="shared" si="44"/>
        <v/>
      </c>
      <c r="E337" s="866" t="e">
        <f t="shared" si="37"/>
        <v>#VALUE!</v>
      </c>
      <c r="F337" s="865" t="e">
        <f t="shared" si="38"/>
        <v>#VALUE!</v>
      </c>
      <c r="G337" s="865" t="str">
        <f t="shared" si="42"/>
        <v/>
      </c>
      <c r="H337" s="865" t="str">
        <f t="shared" si="43"/>
        <v/>
      </c>
      <c r="I337" s="865" t="e">
        <f t="shared" si="39"/>
        <v>#VALUE!</v>
      </c>
      <c r="J337" s="865">
        <f>SUM($H$19:$H337)</f>
        <v>0</v>
      </c>
    </row>
    <row r="338" spans="1:10">
      <c r="A338" s="863" t="str">
        <f t="shared" si="40"/>
        <v/>
      </c>
      <c r="B338" s="864" t="str">
        <f t="shared" si="36"/>
        <v/>
      </c>
      <c r="C338" s="865" t="str">
        <f t="shared" si="41"/>
        <v/>
      </c>
      <c r="D338" s="865" t="str">
        <f t="shared" si="44"/>
        <v/>
      </c>
      <c r="E338" s="866" t="e">
        <f t="shared" si="37"/>
        <v>#VALUE!</v>
      </c>
      <c r="F338" s="865" t="e">
        <f t="shared" si="38"/>
        <v>#VALUE!</v>
      </c>
      <c r="G338" s="865" t="str">
        <f t="shared" si="42"/>
        <v/>
      </c>
      <c r="H338" s="865" t="str">
        <f t="shared" si="43"/>
        <v/>
      </c>
      <c r="I338" s="865" t="e">
        <f t="shared" si="39"/>
        <v>#VALUE!</v>
      </c>
      <c r="J338" s="865">
        <f>SUM($H$19:$H338)</f>
        <v>0</v>
      </c>
    </row>
    <row r="339" spans="1:10">
      <c r="A339" s="863" t="str">
        <f t="shared" si="40"/>
        <v/>
      </c>
      <c r="B339" s="864" t="str">
        <f t="shared" ref="B339:B378" si="45">IF(Pay_Num&lt;&gt;"",DATE(YEAR(Loan_Start),MONTH(Loan_Start)+(Pay_Num)*12/Num_Pmt_Per_Year,DAY(Loan_Start)),"")</f>
        <v/>
      </c>
      <c r="C339" s="865" t="str">
        <f t="shared" si="41"/>
        <v/>
      </c>
      <c r="D339" s="865" t="str">
        <f t="shared" si="44"/>
        <v/>
      </c>
      <c r="E339" s="866" t="e">
        <f t="shared" ref="E339:E378" si="46">IF(AND(Pay_Num&lt;&gt;"",Sched_Pay+Scheduled_Extra_Payments&lt;Beg_Bal),Scheduled_Extra_Payments,IF(AND(Pay_Num&lt;&gt;"",Beg_Bal-Sched_Pay&gt;0),Beg_Bal-Sched_Pay,IF(Pay_Num&lt;&gt;"",0,"")))</f>
        <v>#VALUE!</v>
      </c>
      <c r="F339" s="865" t="e">
        <f t="shared" ref="F339:F378" si="47">IF(AND(Pay_Num&lt;&gt;"",Sched_Pay+Extra_Pay&lt;Beg_Bal),Sched_Pay+Extra_Pay,IF(Pay_Num&lt;&gt;"",Beg_Bal,""))</f>
        <v>#VALUE!</v>
      </c>
      <c r="G339" s="865" t="str">
        <f t="shared" si="42"/>
        <v/>
      </c>
      <c r="H339" s="865" t="str">
        <f t="shared" si="43"/>
        <v/>
      </c>
      <c r="I339" s="865" t="e">
        <f t="shared" ref="I339:I378" si="48">IF(AND(Pay_Num&lt;&gt;"",Sched_Pay+Extra_Pay&lt;Beg_Bal),Beg_Bal-Princ,IF(Pay_Num&lt;&gt;"",0,""))</f>
        <v>#VALUE!</v>
      </c>
      <c r="J339" s="865">
        <f>SUM($H$19:$H339)</f>
        <v>0</v>
      </c>
    </row>
    <row r="340" spans="1:10">
      <c r="A340" s="863" t="str">
        <f t="shared" ref="A340:A378" si="49">IF(Values_Entered,A339+1,"")</f>
        <v/>
      </c>
      <c r="B340" s="864" t="str">
        <f t="shared" si="45"/>
        <v/>
      </c>
      <c r="C340" s="865" t="str">
        <f t="shared" ref="C340:C378" si="50">IF(Pay_Num&lt;&gt;"",I339,"")</f>
        <v/>
      </c>
      <c r="D340" s="865" t="str">
        <f t="shared" si="44"/>
        <v/>
      </c>
      <c r="E340" s="866" t="e">
        <f t="shared" si="46"/>
        <v>#VALUE!</v>
      </c>
      <c r="F340" s="865" t="e">
        <f t="shared" si="47"/>
        <v>#VALUE!</v>
      </c>
      <c r="G340" s="865" t="str">
        <f t="shared" ref="G340:G378" si="51">IF(Pay_Num&lt;&gt;"",Total_Pay-Int,"")</f>
        <v/>
      </c>
      <c r="H340" s="865" t="str">
        <f t="shared" ref="H340:H378" si="52">IF(Pay_Num&lt;&gt;"",Beg_Bal*Interest_Rate/Num_Pmt_Per_Year,"")</f>
        <v/>
      </c>
      <c r="I340" s="865" t="e">
        <f t="shared" si="48"/>
        <v>#VALUE!</v>
      </c>
      <c r="J340" s="865">
        <f>SUM($H$19:$H340)</f>
        <v>0</v>
      </c>
    </row>
    <row r="341" spans="1:10">
      <c r="A341" s="863" t="str">
        <f t="shared" si="49"/>
        <v/>
      </c>
      <c r="B341" s="864" t="str">
        <f t="shared" si="45"/>
        <v/>
      </c>
      <c r="C341" s="865" t="str">
        <f t="shared" si="50"/>
        <v/>
      </c>
      <c r="D341" s="865" t="str">
        <f t="shared" ref="D341:D378" si="53">IF(Pay_Num&lt;&gt;"",Scheduled_Monthly_Payment,"")</f>
        <v/>
      </c>
      <c r="E341" s="866" t="e">
        <f t="shared" si="46"/>
        <v>#VALUE!</v>
      </c>
      <c r="F341" s="865" t="e">
        <f t="shared" si="47"/>
        <v>#VALUE!</v>
      </c>
      <c r="G341" s="865" t="str">
        <f t="shared" si="51"/>
        <v/>
      </c>
      <c r="H341" s="865" t="str">
        <f t="shared" si="52"/>
        <v/>
      </c>
      <c r="I341" s="865" t="e">
        <f t="shared" si="48"/>
        <v>#VALUE!</v>
      </c>
      <c r="J341" s="865">
        <f>SUM($H$19:$H341)</f>
        <v>0</v>
      </c>
    </row>
    <row r="342" spans="1:10">
      <c r="A342" s="863" t="str">
        <f t="shared" si="49"/>
        <v/>
      </c>
      <c r="B342" s="864" t="str">
        <f t="shared" si="45"/>
        <v/>
      </c>
      <c r="C342" s="865" t="str">
        <f t="shared" si="50"/>
        <v/>
      </c>
      <c r="D342" s="865" t="str">
        <f t="shared" si="53"/>
        <v/>
      </c>
      <c r="E342" s="866" t="e">
        <f t="shared" si="46"/>
        <v>#VALUE!</v>
      </c>
      <c r="F342" s="865" t="e">
        <f t="shared" si="47"/>
        <v>#VALUE!</v>
      </c>
      <c r="G342" s="865" t="str">
        <f t="shared" si="51"/>
        <v/>
      </c>
      <c r="H342" s="865" t="str">
        <f t="shared" si="52"/>
        <v/>
      </c>
      <c r="I342" s="865" t="e">
        <f t="shared" si="48"/>
        <v>#VALUE!</v>
      </c>
      <c r="J342" s="865">
        <f>SUM($H$19:$H342)</f>
        <v>0</v>
      </c>
    </row>
    <row r="343" spans="1:10">
      <c r="A343" s="863" t="str">
        <f t="shared" si="49"/>
        <v/>
      </c>
      <c r="B343" s="864" t="str">
        <f t="shared" si="45"/>
        <v/>
      </c>
      <c r="C343" s="865" t="str">
        <f t="shared" si="50"/>
        <v/>
      </c>
      <c r="D343" s="865" t="str">
        <f t="shared" si="53"/>
        <v/>
      </c>
      <c r="E343" s="866" t="e">
        <f t="shared" si="46"/>
        <v>#VALUE!</v>
      </c>
      <c r="F343" s="865" t="e">
        <f t="shared" si="47"/>
        <v>#VALUE!</v>
      </c>
      <c r="G343" s="865" t="str">
        <f t="shared" si="51"/>
        <v/>
      </c>
      <c r="H343" s="865" t="str">
        <f t="shared" si="52"/>
        <v/>
      </c>
      <c r="I343" s="865" t="e">
        <f t="shared" si="48"/>
        <v>#VALUE!</v>
      </c>
      <c r="J343" s="865">
        <f>SUM($H$19:$H343)</f>
        <v>0</v>
      </c>
    </row>
    <row r="344" spans="1:10">
      <c r="A344" s="863" t="str">
        <f t="shared" si="49"/>
        <v/>
      </c>
      <c r="B344" s="864" t="str">
        <f t="shared" si="45"/>
        <v/>
      </c>
      <c r="C344" s="865" t="str">
        <f t="shared" si="50"/>
        <v/>
      </c>
      <c r="D344" s="865" t="str">
        <f t="shared" si="53"/>
        <v/>
      </c>
      <c r="E344" s="866" t="e">
        <f t="shared" si="46"/>
        <v>#VALUE!</v>
      </c>
      <c r="F344" s="865" t="e">
        <f t="shared" si="47"/>
        <v>#VALUE!</v>
      </c>
      <c r="G344" s="865" t="str">
        <f t="shared" si="51"/>
        <v/>
      </c>
      <c r="H344" s="865" t="str">
        <f t="shared" si="52"/>
        <v/>
      </c>
      <c r="I344" s="865" t="e">
        <f t="shared" si="48"/>
        <v>#VALUE!</v>
      </c>
      <c r="J344" s="865">
        <f>SUM($H$19:$H344)</f>
        <v>0</v>
      </c>
    </row>
    <row r="345" spans="1:10">
      <c r="A345" s="863" t="str">
        <f t="shared" si="49"/>
        <v/>
      </c>
      <c r="B345" s="864" t="str">
        <f t="shared" si="45"/>
        <v/>
      </c>
      <c r="C345" s="865" t="str">
        <f t="shared" si="50"/>
        <v/>
      </c>
      <c r="D345" s="865" t="str">
        <f t="shared" si="53"/>
        <v/>
      </c>
      <c r="E345" s="866" t="e">
        <f t="shared" si="46"/>
        <v>#VALUE!</v>
      </c>
      <c r="F345" s="865" t="e">
        <f t="shared" si="47"/>
        <v>#VALUE!</v>
      </c>
      <c r="G345" s="865" t="str">
        <f t="shared" si="51"/>
        <v/>
      </c>
      <c r="H345" s="865" t="str">
        <f t="shared" si="52"/>
        <v/>
      </c>
      <c r="I345" s="865" t="e">
        <f t="shared" si="48"/>
        <v>#VALUE!</v>
      </c>
      <c r="J345" s="865">
        <f>SUM($H$19:$H345)</f>
        <v>0</v>
      </c>
    </row>
    <row r="346" spans="1:10">
      <c r="A346" s="863" t="str">
        <f t="shared" si="49"/>
        <v/>
      </c>
      <c r="B346" s="864" t="str">
        <f t="shared" si="45"/>
        <v/>
      </c>
      <c r="C346" s="865" t="str">
        <f t="shared" si="50"/>
        <v/>
      </c>
      <c r="D346" s="865" t="str">
        <f t="shared" si="53"/>
        <v/>
      </c>
      <c r="E346" s="866" t="e">
        <f t="shared" si="46"/>
        <v>#VALUE!</v>
      </c>
      <c r="F346" s="865" t="e">
        <f t="shared" si="47"/>
        <v>#VALUE!</v>
      </c>
      <c r="G346" s="865" t="str">
        <f t="shared" si="51"/>
        <v/>
      </c>
      <c r="H346" s="865" t="str">
        <f t="shared" si="52"/>
        <v/>
      </c>
      <c r="I346" s="865" t="e">
        <f t="shared" si="48"/>
        <v>#VALUE!</v>
      </c>
      <c r="J346" s="865">
        <f>SUM($H$19:$H346)</f>
        <v>0</v>
      </c>
    </row>
    <row r="347" spans="1:10">
      <c r="A347" s="863" t="str">
        <f t="shared" si="49"/>
        <v/>
      </c>
      <c r="B347" s="864" t="str">
        <f t="shared" si="45"/>
        <v/>
      </c>
      <c r="C347" s="865" t="str">
        <f t="shared" si="50"/>
        <v/>
      </c>
      <c r="D347" s="865" t="str">
        <f t="shared" si="53"/>
        <v/>
      </c>
      <c r="E347" s="866" t="e">
        <f t="shared" si="46"/>
        <v>#VALUE!</v>
      </c>
      <c r="F347" s="865" t="e">
        <f t="shared" si="47"/>
        <v>#VALUE!</v>
      </c>
      <c r="G347" s="865" t="str">
        <f t="shared" si="51"/>
        <v/>
      </c>
      <c r="H347" s="865" t="str">
        <f t="shared" si="52"/>
        <v/>
      </c>
      <c r="I347" s="865" t="e">
        <f t="shared" si="48"/>
        <v>#VALUE!</v>
      </c>
      <c r="J347" s="865">
        <f>SUM($H$19:$H347)</f>
        <v>0</v>
      </c>
    </row>
    <row r="348" spans="1:10">
      <c r="A348" s="863" t="str">
        <f t="shared" si="49"/>
        <v/>
      </c>
      <c r="B348" s="864" t="str">
        <f t="shared" si="45"/>
        <v/>
      </c>
      <c r="C348" s="865" t="str">
        <f t="shared" si="50"/>
        <v/>
      </c>
      <c r="D348" s="865" t="str">
        <f t="shared" si="53"/>
        <v/>
      </c>
      <c r="E348" s="866" t="e">
        <f t="shared" si="46"/>
        <v>#VALUE!</v>
      </c>
      <c r="F348" s="865" t="e">
        <f t="shared" si="47"/>
        <v>#VALUE!</v>
      </c>
      <c r="G348" s="865" t="str">
        <f t="shared" si="51"/>
        <v/>
      </c>
      <c r="H348" s="865" t="str">
        <f t="shared" si="52"/>
        <v/>
      </c>
      <c r="I348" s="865" t="e">
        <f t="shared" si="48"/>
        <v>#VALUE!</v>
      </c>
      <c r="J348" s="865">
        <f>SUM($H$19:$H348)</f>
        <v>0</v>
      </c>
    </row>
    <row r="349" spans="1:10">
      <c r="A349" s="863" t="str">
        <f t="shared" si="49"/>
        <v/>
      </c>
      <c r="B349" s="864" t="str">
        <f t="shared" si="45"/>
        <v/>
      </c>
      <c r="C349" s="865" t="str">
        <f t="shared" si="50"/>
        <v/>
      </c>
      <c r="D349" s="865" t="str">
        <f t="shared" si="53"/>
        <v/>
      </c>
      <c r="E349" s="866" t="e">
        <f t="shared" si="46"/>
        <v>#VALUE!</v>
      </c>
      <c r="F349" s="865" t="e">
        <f t="shared" si="47"/>
        <v>#VALUE!</v>
      </c>
      <c r="G349" s="865" t="str">
        <f t="shared" si="51"/>
        <v/>
      </c>
      <c r="H349" s="865" t="str">
        <f t="shared" si="52"/>
        <v/>
      </c>
      <c r="I349" s="865" t="e">
        <f t="shared" si="48"/>
        <v>#VALUE!</v>
      </c>
      <c r="J349" s="865">
        <f>SUM($H$19:$H349)</f>
        <v>0</v>
      </c>
    </row>
    <row r="350" spans="1:10">
      <c r="A350" s="863" t="str">
        <f t="shared" si="49"/>
        <v/>
      </c>
      <c r="B350" s="864" t="str">
        <f t="shared" si="45"/>
        <v/>
      </c>
      <c r="C350" s="865" t="str">
        <f t="shared" si="50"/>
        <v/>
      </c>
      <c r="D350" s="865" t="str">
        <f t="shared" si="53"/>
        <v/>
      </c>
      <c r="E350" s="866" t="e">
        <f t="shared" si="46"/>
        <v>#VALUE!</v>
      </c>
      <c r="F350" s="865" t="e">
        <f t="shared" si="47"/>
        <v>#VALUE!</v>
      </c>
      <c r="G350" s="865" t="str">
        <f t="shared" si="51"/>
        <v/>
      </c>
      <c r="H350" s="865" t="str">
        <f t="shared" si="52"/>
        <v/>
      </c>
      <c r="I350" s="865" t="e">
        <f t="shared" si="48"/>
        <v>#VALUE!</v>
      </c>
      <c r="J350" s="865">
        <f>SUM($H$19:$H350)</f>
        <v>0</v>
      </c>
    </row>
    <row r="351" spans="1:10">
      <c r="A351" s="863" t="str">
        <f t="shared" si="49"/>
        <v/>
      </c>
      <c r="B351" s="864" t="str">
        <f t="shared" si="45"/>
        <v/>
      </c>
      <c r="C351" s="865" t="str">
        <f t="shared" si="50"/>
        <v/>
      </c>
      <c r="D351" s="865" t="str">
        <f t="shared" si="53"/>
        <v/>
      </c>
      <c r="E351" s="866" t="e">
        <f t="shared" si="46"/>
        <v>#VALUE!</v>
      </c>
      <c r="F351" s="865" t="e">
        <f t="shared" si="47"/>
        <v>#VALUE!</v>
      </c>
      <c r="G351" s="865" t="str">
        <f t="shared" si="51"/>
        <v/>
      </c>
      <c r="H351" s="865" t="str">
        <f t="shared" si="52"/>
        <v/>
      </c>
      <c r="I351" s="865" t="e">
        <f t="shared" si="48"/>
        <v>#VALUE!</v>
      </c>
      <c r="J351" s="865">
        <f>SUM($H$19:$H351)</f>
        <v>0</v>
      </c>
    </row>
    <row r="352" spans="1:10">
      <c r="A352" s="863" t="str">
        <f t="shared" si="49"/>
        <v/>
      </c>
      <c r="B352" s="864" t="str">
        <f t="shared" si="45"/>
        <v/>
      </c>
      <c r="C352" s="865" t="str">
        <f t="shared" si="50"/>
        <v/>
      </c>
      <c r="D352" s="865" t="str">
        <f t="shared" si="53"/>
        <v/>
      </c>
      <c r="E352" s="866" t="e">
        <f t="shared" si="46"/>
        <v>#VALUE!</v>
      </c>
      <c r="F352" s="865" t="e">
        <f t="shared" si="47"/>
        <v>#VALUE!</v>
      </c>
      <c r="G352" s="865" t="str">
        <f t="shared" si="51"/>
        <v/>
      </c>
      <c r="H352" s="865" t="str">
        <f t="shared" si="52"/>
        <v/>
      </c>
      <c r="I352" s="865" t="e">
        <f t="shared" si="48"/>
        <v>#VALUE!</v>
      </c>
      <c r="J352" s="865">
        <f>SUM($H$19:$H352)</f>
        <v>0</v>
      </c>
    </row>
    <row r="353" spans="1:10">
      <c r="A353" s="863" t="str">
        <f t="shared" si="49"/>
        <v/>
      </c>
      <c r="B353" s="864" t="str">
        <f t="shared" si="45"/>
        <v/>
      </c>
      <c r="C353" s="865" t="str">
        <f t="shared" si="50"/>
        <v/>
      </c>
      <c r="D353" s="865" t="str">
        <f t="shared" si="53"/>
        <v/>
      </c>
      <c r="E353" s="866" t="e">
        <f t="shared" si="46"/>
        <v>#VALUE!</v>
      </c>
      <c r="F353" s="865" t="e">
        <f t="shared" si="47"/>
        <v>#VALUE!</v>
      </c>
      <c r="G353" s="865" t="str">
        <f t="shared" si="51"/>
        <v/>
      </c>
      <c r="H353" s="865" t="str">
        <f t="shared" si="52"/>
        <v/>
      </c>
      <c r="I353" s="865" t="e">
        <f t="shared" si="48"/>
        <v>#VALUE!</v>
      </c>
      <c r="J353" s="865">
        <f>SUM($H$19:$H353)</f>
        <v>0</v>
      </c>
    </row>
    <row r="354" spans="1:10">
      <c r="A354" s="863" t="str">
        <f t="shared" si="49"/>
        <v/>
      </c>
      <c r="B354" s="864" t="str">
        <f t="shared" si="45"/>
        <v/>
      </c>
      <c r="C354" s="865" t="str">
        <f t="shared" si="50"/>
        <v/>
      </c>
      <c r="D354" s="865" t="str">
        <f t="shared" si="53"/>
        <v/>
      </c>
      <c r="E354" s="866" t="e">
        <f t="shared" si="46"/>
        <v>#VALUE!</v>
      </c>
      <c r="F354" s="865" t="e">
        <f t="shared" si="47"/>
        <v>#VALUE!</v>
      </c>
      <c r="G354" s="865" t="str">
        <f t="shared" si="51"/>
        <v/>
      </c>
      <c r="H354" s="865" t="str">
        <f t="shared" si="52"/>
        <v/>
      </c>
      <c r="I354" s="865" t="e">
        <f t="shared" si="48"/>
        <v>#VALUE!</v>
      </c>
      <c r="J354" s="865">
        <f>SUM($H$19:$H354)</f>
        <v>0</v>
      </c>
    </row>
    <row r="355" spans="1:10">
      <c r="A355" s="863" t="str">
        <f t="shared" si="49"/>
        <v/>
      </c>
      <c r="B355" s="864" t="str">
        <f t="shared" si="45"/>
        <v/>
      </c>
      <c r="C355" s="865" t="str">
        <f t="shared" si="50"/>
        <v/>
      </c>
      <c r="D355" s="865" t="str">
        <f t="shared" si="53"/>
        <v/>
      </c>
      <c r="E355" s="866" t="e">
        <f t="shared" si="46"/>
        <v>#VALUE!</v>
      </c>
      <c r="F355" s="865" t="e">
        <f t="shared" si="47"/>
        <v>#VALUE!</v>
      </c>
      <c r="G355" s="865" t="str">
        <f t="shared" si="51"/>
        <v/>
      </c>
      <c r="H355" s="865" t="str">
        <f t="shared" si="52"/>
        <v/>
      </c>
      <c r="I355" s="865" t="e">
        <f t="shared" si="48"/>
        <v>#VALUE!</v>
      </c>
      <c r="J355" s="865">
        <f>SUM($H$19:$H355)</f>
        <v>0</v>
      </c>
    </row>
    <row r="356" spans="1:10">
      <c r="A356" s="863" t="str">
        <f t="shared" si="49"/>
        <v/>
      </c>
      <c r="B356" s="864" t="str">
        <f t="shared" si="45"/>
        <v/>
      </c>
      <c r="C356" s="865" t="str">
        <f t="shared" si="50"/>
        <v/>
      </c>
      <c r="D356" s="865" t="str">
        <f t="shared" si="53"/>
        <v/>
      </c>
      <c r="E356" s="866" t="e">
        <f t="shared" si="46"/>
        <v>#VALUE!</v>
      </c>
      <c r="F356" s="865" t="e">
        <f t="shared" si="47"/>
        <v>#VALUE!</v>
      </c>
      <c r="G356" s="865" t="str">
        <f t="shared" si="51"/>
        <v/>
      </c>
      <c r="H356" s="865" t="str">
        <f t="shared" si="52"/>
        <v/>
      </c>
      <c r="I356" s="865" t="e">
        <f t="shared" si="48"/>
        <v>#VALUE!</v>
      </c>
      <c r="J356" s="865">
        <f>SUM($H$19:$H356)</f>
        <v>0</v>
      </c>
    </row>
    <row r="357" spans="1:10">
      <c r="A357" s="863" t="str">
        <f t="shared" si="49"/>
        <v/>
      </c>
      <c r="B357" s="864" t="str">
        <f t="shared" si="45"/>
        <v/>
      </c>
      <c r="C357" s="865" t="str">
        <f t="shared" si="50"/>
        <v/>
      </c>
      <c r="D357" s="865" t="str">
        <f t="shared" si="53"/>
        <v/>
      </c>
      <c r="E357" s="866" t="e">
        <f t="shared" si="46"/>
        <v>#VALUE!</v>
      </c>
      <c r="F357" s="865" t="e">
        <f t="shared" si="47"/>
        <v>#VALUE!</v>
      </c>
      <c r="G357" s="865" t="str">
        <f t="shared" si="51"/>
        <v/>
      </c>
      <c r="H357" s="865" t="str">
        <f t="shared" si="52"/>
        <v/>
      </c>
      <c r="I357" s="865" t="e">
        <f t="shared" si="48"/>
        <v>#VALUE!</v>
      </c>
      <c r="J357" s="865">
        <f>SUM($H$19:$H357)</f>
        <v>0</v>
      </c>
    </row>
    <row r="358" spans="1:10">
      <c r="A358" s="863" t="str">
        <f t="shared" si="49"/>
        <v/>
      </c>
      <c r="B358" s="864" t="str">
        <f t="shared" si="45"/>
        <v/>
      </c>
      <c r="C358" s="865" t="str">
        <f t="shared" si="50"/>
        <v/>
      </c>
      <c r="D358" s="865" t="str">
        <f t="shared" si="53"/>
        <v/>
      </c>
      <c r="E358" s="866" t="e">
        <f t="shared" si="46"/>
        <v>#VALUE!</v>
      </c>
      <c r="F358" s="865" t="e">
        <f t="shared" si="47"/>
        <v>#VALUE!</v>
      </c>
      <c r="G358" s="865" t="str">
        <f t="shared" si="51"/>
        <v/>
      </c>
      <c r="H358" s="865" t="str">
        <f t="shared" si="52"/>
        <v/>
      </c>
      <c r="I358" s="865" t="e">
        <f t="shared" si="48"/>
        <v>#VALUE!</v>
      </c>
      <c r="J358" s="865">
        <f>SUM($H$19:$H358)</f>
        <v>0</v>
      </c>
    </row>
    <row r="359" spans="1:10">
      <c r="A359" s="863" t="str">
        <f t="shared" si="49"/>
        <v/>
      </c>
      <c r="B359" s="864" t="str">
        <f t="shared" si="45"/>
        <v/>
      </c>
      <c r="C359" s="865" t="str">
        <f t="shared" si="50"/>
        <v/>
      </c>
      <c r="D359" s="865" t="str">
        <f t="shared" si="53"/>
        <v/>
      </c>
      <c r="E359" s="866" t="e">
        <f t="shared" si="46"/>
        <v>#VALUE!</v>
      </c>
      <c r="F359" s="865" t="e">
        <f t="shared" si="47"/>
        <v>#VALUE!</v>
      </c>
      <c r="G359" s="865" t="str">
        <f t="shared" si="51"/>
        <v/>
      </c>
      <c r="H359" s="865" t="str">
        <f t="shared" si="52"/>
        <v/>
      </c>
      <c r="I359" s="865" t="e">
        <f t="shared" si="48"/>
        <v>#VALUE!</v>
      </c>
      <c r="J359" s="865">
        <f>SUM($H$19:$H359)</f>
        <v>0</v>
      </c>
    </row>
    <row r="360" spans="1:10">
      <c r="A360" s="863" t="str">
        <f t="shared" si="49"/>
        <v/>
      </c>
      <c r="B360" s="864" t="str">
        <f t="shared" si="45"/>
        <v/>
      </c>
      <c r="C360" s="865" t="str">
        <f t="shared" si="50"/>
        <v/>
      </c>
      <c r="D360" s="865" t="str">
        <f t="shared" si="53"/>
        <v/>
      </c>
      <c r="E360" s="866" t="e">
        <f t="shared" si="46"/>
        <v>#VALUE!</v>
      </c>
      <c r="F360" s="865" t="e">
        <f t="shared" si="47"/>
        <v>#VALUE!</v>
      </c>
      <c r="G360" s="865" t="str">
        <f t="shared" si="51"/>
        <v/>
      </c>
      <c r="H360" s="865" t="str">
        <f t="shared" si="52"/>
        <v/>
      </c>
      <c r="I360" s="865" t="e">
        <f t="shared" si="48"/>
        <v>#VALUE!</v>
      </c>
      <c r="J360" s="865">
        <f>SUM($H$19:$H360)</f>
        <v>0</v>
      </c>
    </row>
    <row r="361" spans="1:10">
      <c r="A361" s="863" t="str">
        <f t="shared" si="49"/>
        <v/>
      </c>
      <c r="B361" s="864" t="str">
        <f t="shared" si="45"/>
        <v/>
      </c>
      <c r="C361" s="865" t="str">
        <f t="shared" si="50"/>
        <v/>
      </c>
      <c r="D361" s="865" t="str">
        <f t="shared" si="53"/>
        <v/>
      </c>
      <c r="E361" s="866" t="e">
        <f t="shared" si="46"/>
        <v>#VALUE!</v>
      </c>
      <c r="F361" s="865" t="e">
        <f t="shared" si="47"/>
        <v>#VALUE!</v>
      </c>
      <c r="G361" s="865" t="str">
        <f t="shared" si="51"/>
        <v/>
      </c>
      <c r="H361" s="865" t="str">
        <f t="shared" si="52"/>
        <v/>
      </c>
      <c r="I361" s="865" t="e">
        <f t="shared" si="48"/>
        <v>#VALUE!</v>
      </c>
      <c r="J361" s="865">
        <f>SUM($H$19:$H361)</f>
        <v>0</v>
      </c>
    </row>
    <row r="362" spans="1:10">
      <c r="A362" s="863" t="str">
        <f t="shared" si="49"/>
        <v/>
      </c>
      <c r="B362" s="864" t="str">
        <f t="shared" si="45"/>
        <v/>
      </c>
      <c r="C362" s="865" t="str">
        <f t="shared" si="50"/>
        <v/>
      </c>
      <c r="D362" s="865" t="str">
        <f t="shared" si="53"/>
        <v/>
      </c>
      <c r="E362" s="866" t="e">
        <f t="shared" si="46"/>
        <v>#VALUE!</v>
      </c>
      <c r="F362" s="865" t="e">
        <f t="shared" si="47"/>
        <v>#VALUE!</v>
      </c>
      <c r="G362" s="865" t="str">
        <f t="shared" si="51"/>
        <v/>
      </c>
      <c r="H362" s="865" t="str">
        <f t="shared" si="52"/>
        <v/>
      </c>
      <c r="I362" s="865" t="e">
        <f t="shared" si="48"/>
        <v>#VALUE!</v>
      </c>
      <c r="J362" s="865">
        <f>SUM($H$19:$H362)</f>
        <v>0</v>
      </c>
    </row>
    <row r="363" spans="1:10">
      <c r="A363" s="863" t="str">
        <f t="shared" si="49"/>
        <v/>
      </c>
      <c r="B363" s="864" t="str">
        <f t="shared" si="45"/>
        <v/>
      </c>
      <c r="C363" s="865" t="str">
        <f t="shared" si="50"/>
        <v/>
      </c>
      <c r="D363" s="865" t="str">
        <f t="shared" si="53"/>
        <v/>
      </c>
      <c r="E363" s="866" t="e">
        <f t="shared" si="46"/>
        <v>#VALUE!</v>
      </c>
      <c r="F363" s="865" t="e">
        <f t="shared" si="47"/>
        <v>#VALUE!</v>
      </c>
      <c r="G363" s="865" t="str">
        <f t="shared" si="51"/>
        <v/>
      </c>
      <c r="H363" s="865" t="str">
        <f t="shared" si="52"/>
        <v/>
      </c>
      <c r="I363" s="865" t="e">
        <f t="shared" si="48"/>
        <v>#VALUE!</v>
      </c>
      <c r="J363" s="865">
        <f>SUM($H$19:$H363)</f>
        <v>0</v>
      </c>
    </row>
    <row r="364" spans="1:10">
      <c r="A364" s="863" t="str">
        <f t="shared" si="49"/>
        <v/>
      </c>
      <c r="B364" s="864" t="str">
        <f t="shared" si="45"/>
        <v/>
      </c>
      <c r="C364" s="865" t="str">
        <f t="shared" si="50"/>
        <v/>
      </c>
      <c r="D364" s="865" t="str">
        <f t="shared" si="53"/>
        <v/>
      </c>
      <c r="E364" s="866" t="e">
        <f t="shared" si="46"/>
        <v>#VALUE!</v>
      </c>
      <c r="F364" s="865" t="e">
        <f t="shared" si="47"/>
        <v>#VALUE!</v>
      </c>
      <c r="G364" s="865" t="str">
        <f t="shared" si="51"/>
        <v/>
      </c>
      <c r="H364" s="865" t="str">
        <f t="shared" si="52"/>
        <v/>
      </c>
      <c r="I364" s="865" t="e">
        <f t="shared" si="48"/>
        <v>#VALUE!</v>
      </c>
      <c r="J364" s="865">
        <f>SUM($H$19:$H364)</f>
        <v>0</v>
      </c>
    </row>
    <row r="365" spans="1:10">
      <c r="A365" s="863" t="str">
        <f t="shared" si="49"/>
        <v/>
      </c>
      <c r="B365" s="864" t="str">
        <f t="shared" si="45"/>
        <v/>
      </c>
      <c r="C365" s="865" t="str">
        <f t="shared" si="50"/>
        <v/>
      </c>
      <c r="D365" s="865" t="str">
        <f t="shared" si="53"/>
        <v/>
      </c>
      <c r="E365" s="866" t="e">
        <f t="shared" si="46"/>
        <v>#VALUE!</v>
      </c>
      <c r="F365" s="865" t="e">
        <f t="shared" si="47"/>
        <v>#VALUE!</v>
      </c>
      <c r="G365" s="865" t="str">
        <f t="shared" si="51"/>
        <v/>
      </c>
      <c r="H365" s="865" t="str">
        <f t="shared" si="52"/>
        <v/>
      </c>
      <c r="I365" s="865" t="e">
        <f t="shared" si="48"/>
        <v>#VALUE!</v>
      </c>
      <c r="J365" s="865">
        <f>SUM($H$19:$H365)</f>
        <v>0</v>
      </c>
    </row>
    <row r="366" spans="1:10">
      <c r="A366" s="863" t="str">
        <f t="shared" si="49"/>
        <v/>
      </c>
      <c r="B366" s="864" t="str">
        <f t="shared" si="45"/>
        <v/>
      </c>
      <c r="C366" s="865" t="str">
        <f t="shared" si="50"/>
        <v/>
      </c>
      <c r="D366" s="865" t="str">
        <f t="shared" si="53"/>
        <v/>
      </c>
      <c r="E366" s="866" t="e">
        <f t="shared" si="46"/>
        <v>#VALUE!</v>
      </c>
      <c r="F366" s="865" t="e">
        <f t="shared" si="47"/>
        <v>#VALUE!</v>
      </c>
      <c r="G366" s="865" t="str">
        <f t="shared" si="51"/>
        <v/>
      </c>
      <c r="H366" s="865" t="str">
        <f t="shared" si="52"/>
        <v/>
      </c>
      <c r="I366" s="865" t="e">
        <f t="shared" si="48"/>
        <v>#VALUE!</v>
      </c>
      <c r="J366" s="865">
        <f>SUM($H$19:$H366)</f>
        <v>0</v>
      </c>
    </row>
    <row r="367" spans="1:10">
      <c r="A367" s="863" t="str">
        <f t="shared" si="49"/>
        <v/>
      </c>
      <c r="B367" s="864" t="str">
        <f t="shared" si="45"/>
        <v/>
      </c>
      <c r="C367" s="865" t="str">
        <f t="shared" si="50"/>
        <v/>
      </c>
      <c r="D367" s="865" t="str">
        <f t="shared" si="53"/>
        <v/>
      </c>
      <c r="E367" s="866" t="e">
        <f t="shared" si="46"/>
        <v>#VALUE!</v>
      </c>
      <c r="F367" s="865" t="e">
        <f t="shared" si="47"/>
        <v>#VALUE!</v>
      </c>
      <c r="G367" s="865" t="str">
        <f t="shared" si="51"/>
        <v/>
      </c>
      <c r="H367" s="865" t="str">
        <f t="shared" si="52"/>
        <v/>
      </c>
      <c r="I367" s="865" t="e">
        <f t="shared" si="48"/>
        <v>#VALUE!</v>
      </c>
      <c r="J367" s="865">
        <f>SUM($H$19:$H367)</f>
        <v>0</v>
      </c>
    </row>
    <row r="368" spans="1:10">
      <c r="A368" s="863" t="str">
        <f t="shared" si="49"/>
        <v/>
      </c>
      <c r="B368" s="864" t="str">
        <f t="shared" si="45"/>
        <v/>
      </c>
      <c r="C368" s="865" t="str">
        <f t="shared" si="50"/>
        <v/>
      </c>
      <c r="D368" s="865" t="str">
        <f t="shared" si="53"/>
        <v/>
      </c>
      <c r="E368" s="866" t="e">
        <f t="shared" si="46"/>
        <v>#VALUE!</v>
      </c>
      <c r="F368" s="865" t="e">
        <f t="shared" si="47"/>
        <v>#VALUE!</v>
      </c>
      <c r="G368" s="865" t="str">
        <f t="shared" si="51"/>
        <v/>
      </c>
      <c r="H368" s="865" t="str">
        <f t="shared" si="52"/>
        <v/>
      </c>
      <c r="I368" s="865" t="e">
        <f t="shared" si="48"/>
        <v>#VALUE!</v>
      </c>
      <c r="J368" s="865">
        <f>SUM($H$19:$H368)</f>
        <v>0</v>
      </c>
    </row>
    <row r="369" spans="1:10">
      <c r="A369" s="863" t="str">
        <f t="shared" si="49"/>
        <v/>
      </c>
      <c r="B369" s="864" t="str">
        <f t="shared" si="45"/>
        <v/>
      </c>
      <c r="C369" s="865" t="str">
        <f t="shared" si="50"/>
        <v/>
      </c>
      <c r="D369" s="865" t="str">
        <f t="shared" si="53"/>
        <v/>
      </c>
      <c r="E369" s="866" t="e">
        <f t="shared" si="46"/>
        <v>#VALUE!</v>
      </c>
      <c r="F369" s="865" t="e">
        <f t="shared" si="47"/>
        <v>#VALUE!</v>
      </c>
      <c r="G369" s="865" t="str">
        <f t="shared" si="51"/>
        <v/>
      </c>
      <c r="H369" s="865" t="str">
        <f t="shared" si="52"/>
        <v/>
      </c>
      <c r="I369" s="865" t="e">
        <f t="shared" si="48"/>
        <v>#VALUE!</v>
      </c>
      <c r="J369" s="865">
        <f>SUM($H$19:$H369)</f>
        <v>0</v>
      </c>
    </row>
    <row r="370" spans="1:10">
      <c r="A370" s="863" t="str">
        <f t="shared" si="49"/>
        <v/>
      </c>
      <c r="B370" s="864" t="str">
        <f t="shared" si="45"/>
        <v/>
      </c>
      <c r="C370" s="865" t="str">
        <f t="shared" si="50"/>
        <v/>
      </c>
      <c r="D370" s="865" t="str">
        <f t="shared" si="53"/>
        <v/>
      </c>
      <c r="E370" s="866" t="e">
        <f t="shared" si="46"/>
        <v>#VALUE!</v>
      </c>
      <c r="F370" s="865" t="e">
        <f t="shared" si="47"/>
        <v>#VALUE!</v>
      </c>
      <c r="G370" s="865" t="str">
        <f t="shared" si="51"/>
        <v/>
      </c>
      <c r="H370" s="865" t="str">
        <f t="shared" si="52"/>
        <v/>
      </c>
      <c r="I370" s="865" t="e">
        <f t="shared" si="48"/>
        <v>#VALUE!</v>
      </c>
      <c r="J370" s="865">
        <f>SUM($H$19:$H370)</f>
        <v>0</v>
      </c>
    </row>
    <row r="371" spans="1:10">
      <c r="A371" s="863" t="str">
        <f t="shared" si="49"/>
        <v/>
      </c>
      <c r="B371" s="864" t="str">
        <f t="shared" si="45"/>
        <v/>
      </c>
      <c r="C371" s="865" t="str">
        <f t="shared" si="50"/>
        <v/>
      </c>
      <c r="D371" s="865" t="str">
        <f t="shared" si="53"/>
        <v/>
      </c>
      <c r="E371" s="866" t="e">
        <f t="shared" si="46"/>
        <v>#VALUE!</v>
      </c>
      <c r="F371" s="865" t="e">
        <f t="shared" si="47"/>
        <v>#VALUE!</v>
      </c>
      <c r="G371" s="865" t="str">
        <f t="shared" si="51"/>
        <v/>
      </c>
      <c r="H371" s="865" t="str">
        <f t="shared" si="52"/>
        <v/>
      </c>
      <c r="I371" s="865" t="e">
        <f t="shared" si="48"/>
        <v>#VALUE!</v>
      </c>
      <c r="J371" s="865">
        <f>SUM($H$19:$H371)</f>
        <v>0</v>
      </c>
    </row>
    <row r="372" spans="1:10">
      <c r="A372" s="863" t="str">
        <f t="shared" si="49"/>
        <v/>
      </c>
      <c r="B372" s="864" t="str">
        <f t="shared" si="45"/>
        <v/>
      </c>
      <c r="C372" s="865" t="str">
        <f t="shared" si="50"/>
        <v/>
      </c>
      <c r="D372" s="865" t="str">
        <f t="shared" si="53"/>
        <v/>
      </c>
      <c r="E372" s="866" t="e">
        <f t="shared" si="46"/>
        <v>#VALUE!</v>
      </c>
      <c r="F372" s="865" t="e">
        <f t="shared" si="47"/>
        <v>#VALUE!</v>
      </c>
      <c r="G372" s="865" t="str">
        <f t="shared" si="51"/>
        <v/>
      </c>
      <c r="H372" s="865" t="str">
        <f t="shared" si="52"/>
        <v/>
      </c>
      <c r="I372" s="865" t="e">
        <f t="shared" si="48"/>
        <v>#VALUE!</v>
      </c>
      <c r="J372" s="865">
        <f>SUM($H$19:$H372)</f>
        <v>0</v>
      </c>
    </row>
    <row r="373" spans="1:10">
      <c r="A373" s="863" t="str">
        <f t="shared" si="49"/>
        <v/>
      </c>
      <c r="B373" s="864" t="str">
        <f t="shared" si="45"/>
        <v/>
      </c>
      <c r="C373" s="865" t="str">
        <f t="shared" si="50"/>
        <v/>
      </c>
      <c r="D373" s="865" t="str">
        <f t="shared" si="53"/>
        <v/>
      </c>
      <c r="E373" s="866" t="e">
        <f t="shared" si="46"/>
        <v>#VALUE!</v>
      </c>
      <c r="F373" s="865" t="e">
        <f t="shared" si="47"/>
        <v>#VALUE!</v>
      </c>
      <c r="G373" s="865" t="str">
        <f t="shared" si="51"/>
        <v/>
      </c>
      <c r="H373" s="865" t="str">
        <f t="shared" si="52"/>
        <v/>
      </c>
      <c r="I373" s="865" t="e">
        <f t="shared" si="48"/>
        <v>#VALUE!</v>
      </c>
      <c r="J373" s="865">
        <f>SUM($H$19:$H373)</f>
        <v>0</v>
      </c>
    </row>
    <row r="374" spans="1:10">
      <c r="A374" s="863" t="str">
        <f t="shared" si="49"/>
        <v/>
      </c>
      <c r="B374" s="864" t="str">
        <f t="shared" si="45"/>
        <v/>
      </c>
      <c r="C374" s="865" t="str">
        <f t="shared" si="50"/>
        <v/>
      </c>
      <c r="D374" s="865" t="str">
        <f t="shared" si="53"/>
        <v/>
      </c>
      <c r="E374" s="866" t="e">
        <f t="shared" si="46"/>
        <v>#VALUE!</v>
      </c>
      <c r="F374" s="865" t="e">
        <f t="shared" si="47"/>
        <v>#VALUE!</v>
      </c>
      <c r="G374" s="865" t="str">
        <f t="shared" si="51"/>
        <v/>
      </c>
      <c r="H374" s="865" t="str">
        <f t="shared" si="52"/>
        <v/>
      </c>
      <c r="I374" s="865" t="e">
        <f t="shared" si="48"/>
        <v>#VALUE!</v>
      </c>
      <c r="J374" s="865">
        <f>SUM($H$19:$H374)</f>
        <v>0</v>
      </c>
    </row>
    <row r="375" spans="1:10">
      <c r="A375" s="863" t="str">
        <f t="shared" si="49"/>
        <v/>
      </c>
      <c r="B375" s="864" t="str">
        <f t="shared" si="45"/>
        <v/>
      </c>
      <c r="C375" s="865" t="str">
        <f t="shared" si="50"/>
        <v/>
      </c>
      <c r="D375" s="865" t="str">
        <f t="shared" si="53"/>
        <v/>
      </c>
      <c r="E375" s="866" t="e">
        <f t="shared" si="46"/>
        <v>#VALUE!</v>
      </c>
      <c r="F375" s="865" t="e">
        <f t="shared" si="47"/>
        <v>#VALUE!</v>
      </c>
      <c r="G375" s="865" t="str">
        <f t="shared" si="51"/>
        <v/>
      </c>
      <c r="H375" s="865" t="str">
        <f t="shared" si="52"/>
        <v/>
      </c>
      <c r="I375" s="865" t="e">
        <f t="shared" si="48"/>
        <v>#VALUE!</v>
      </c>
      <c r="J375" s="865">
        <f>SUM($H$19:$H375)</f>
        <v>0</v>
      </c>
    </row>
    <row r="376" spans="1:10">
      <c r="A376" s="863" t="str">
        <f t="shared" si="49"/>
        <v/>
      </c>
      <c r="B376" s="864" t="str">
        <f t="shared" si="45"/>
        <v/>
      </c>
      <c r="C376" s="865" t="str">
        <f t="shared" si="50"/>
        <v/>
      </c>
      <c r="D376" s="865" t="str">
        <f t="shared" si="53"/>
        <v/>
      </c>
      <c r="E376" s="866" t="e">
        <f t="shared" si="46"/>
        <v>#VALUE!</v>
      </c>
      <c r="F376" s="865" t="e">
        <f t="shared" si="47"/>
        <v>#VALUE!</v>
      </c>
      <c r="G376" s="865" t="str">
        <f t="shared" si="51"/>
        <v/>
      </c>
      <c r="H376" s="865" t="str">
        <f t="shared" si="52"/>
        <v/>
      </c>
      <c r="I376" s="865" t="e">
        <f t="shared" si="48"/>
        <v>#VALUE!</v>
      </c>
      <c r="J376" s="865">
        <f>SUM($H$19:$H376)</f>
        <v>0</v>
      </c>
    </row>
    <row r="377" spans="1:10">
      <c r="A377" s="863" t="str">
        <f t="shared" si="49"/>
        <v/>
      </c>
      <c r="B377" s="864" t="str">
        <f t="shared" si="45"/>
        <v/>
      </c>
      <c r="C377" s="865" t="str">
        <f t="shared" si="50"/>
        <v/>
      </c>
      <c r="D377" s="865" t="str">
        <f t="shared" si="53"/>
        <v/>
      </c>
      <c r="E377" s="866" t="e">
        <f t="shared" si="46"/>
        <v>#VALUE!</v>
      </c>
      <c r="F377" s="865" t="e">
        <f t="shared" si="47"/>
        <v>#VALUE!</v>
      </c>
      <c r="G377" s="865" t="str">
        <f t="shared" si="51"/>
        <v/>
      </c>
      <c r="H377" s="865" t="str">
        <f t="shared" si="52"/>
        <v/>
      </c>
      <c r="I377" s="865" t="e">
        <f t="shared" si="48"/>
        <v>#VALUE!</v>
      </c>
      <c r="J377" s="865">
        <f>SUM($H$19:$H377)</f>
        <v>0</v>
      </c>
    </row>
    <row r="378" spans="1:10">
      <c r="A378" s="863" t="str">
        <f t="shared" si="49"/>
        <v/>
      </c>
      <c r="B378" s="864" t="str">
        <f t="shared" si="45"/>
        <v/>
      </c>
      <c r="C378" s="865" t="str">
        <f t="shared" si="50"/>
        <v/>
      </c>
      <c r="D378" s="865" t="str">
        <f t="shared" si="53"/>
        <v/>
      </c>
      <c r="E378" s="866" t="e">
        <f t="shared" si="46"/>
        <v>#VALUE!</v>
      </c>
      <c r="F378" s="865" t="e">
        <f t="shared" si="47"/>
        <v>#VALUE!</v>
      </c>
      <c r="G378" s="865" t="str">
        <f t="shared" si="51"/>
        <v/>
      </c>
      <c r="H378" s="865" t="str">
        <f t="shared" si="52"/>
        <v/>
      </c>
      <c r="I378" s="865" t="e">
        <f t="shared" si="48"/>
        <v>#VALUE!</v>
      </c>
      <c r="J378" s="865">
        <f>SUM($H$19:$H378)</f>
        <v>0</v>
      </c>
    </row>
    <row r="379" spans="1:10">
      <c r="B379" s="835"/>
      <c r="C379" s="835"/>
      <c r="D379" s="835"/>
      <c r="E379" s="835"/>
      <c r="F379" s="835"/>
      <c r="G379" s="835"/>
      <c r="H379" s="835"/>
      <c r="I379" s="835"/>
      <c r="J379" s="835"/>
    </row>
  </sheetData>
  <sheetProtection algorithmName="SHA-512" hashValue="34QfeM77jCPH1gCiA7oW8KcG8ZbgaKFD9lqVA8e9ayUCezji0mFDV05lyVYiMpMelHKvBpBQpzEysDqaCV6MMw==" saltValue="NBfgJV5NnwBpjOnGKVcdjA==" spinCount="100000" sheet="1" scenarios="1" formatCells="0" formatColumns="0" formatRows="0"/>
  <customSheetViews>
    <customSheetView guid="{6E1FDEE6-49D0-4876-8C7C-09893145D2CE}" showGridLines="0" printArea="1" hiddenRows="1" topLeftCell="A4">
      <selection activeCell="K4" sqref="K4:M4"/>
      <pageMargins left="0" right="0" top="0" bottom="0" header="0" footer="0"/>
      <printOptions horizontalCentered="1"/>
      <pageSetup scale="80" orientation="landscape" r:id="rId1"/>
      <headerFooter alignWithMargins="0"/>
    </customSheetView>
    <customSheetView guid="{DB1F6E98-7FCC-445F-9DA6-47D8BF8BE969}" showGridLines="0" printArea="1" hiddenRows="1" topLeftCell="A4">
      <selection activeCell="K4" sqref="K4:M4"/>
      <pageMargins left="0" right="0" top="0" bottom="0" header="0" footer="0"/>
      <printOptions horizontalCentered="1"/>
      <pageSetup scale="80" orientation="landscape" r:id="rId2"/>
      <headerFooter alignWithMargins="0"/>
    </customSheetView>
    <customSheetView guid="{C02CA8E5-5D4C-45E5-BC4A-4C9BE481059B}" showGridLines="0" printArea="1" hiddenRows="1">
      <selection activeCell="K4" sqref="K4:M4"/>
      <pageMargins left="0" right="0" top="0" bottom="0" header="0" footer="0"/>
      <printOptions horizontalCentered="1"/>
      <pageSetup scale="80" orientation="landscape" r:id="rId3"/>
      <headerFooter alignWithMargins="0"/>
    </customSheetView>
  </customSheetViews>
  <mergeCells count="4">
    <mergeCell ref="A2:D2"/>
    <mergeCell ref="B5:D5"/>
    <mergeCell ref="F5:H5"/>
    <mergeCell ref="C13:D13"/>
  </mergeCells>
  <conditionalFormatting sqref="A19:E378">
    <cfRule type="expression" dxfId="11" priority="1" stopIfTrue="1">
      <formula>IF(ROW(A19)&gt;Last_Row,TRUE, FALSE)</formula>
    </cfRule>
    <cfRule type="expression" dxfId="10" priority="2" stopIfTrue="1">
      <formula>IF(ROW(A19)=Last_Row,TRUE, FALSE)</formula>
    </cfRule>
    <cfRule type="expression" dxfId="9" priority="3" stopIfTrue="1">
      <formula>IF(ROW(A19)&lt;Last_Row,TRUE, FALSE)</formula>
    </cfRule>
  </conditionalFormatting>
  <conditionalFormatting sqref="F19:J378">
    <cfRule type="expression" dxfId="8" priority="4" stopIfTrue="1">
      <formula>IF(ROW(F19)&gt;Last_Row,TRUE, FALSE)</formula>
    </cfRule>
    <cfRule type="expression" dxfId="7" priority="5" stopIfTrue="1">
      <formula>IF(ROW(F19)=Last_Row,TRUE, FALSE)</formula>
    </cfRule>
    <cfRule type="expression" dxfId="6" priority="6" stopIfTrue="1">
      <formula>IF(ROW(F19)&lt;=Last_Row,TRUE, FALSE)</formula>
    </cfRule>
  </conditionalFormatting>
  <dataValidations count="3">
    <dataValidation allowBlank="1" showInputMessage="1" showErrorMessage="1" promptTitle="Extra Payments" prompt="Enter an amount here if you want to make additional principal payments every pay period._x000a__x000a_For occasional extra payments, enter the extra principal amounts directly in the 'Extra Payment' column below." sqref="D11" xr:uid="{00000000-0002-0000-3600-000000000000}"/>
    <dataValidation type="date" operator="greaterThanOrEqual" allowBlank="1" showInputMessage="1" showErrorMessage="1" errorTitle="Date" error="Please enter a valid date greater than or equal to January 1, 1900." sqref="D9:D10" xr:uid="{00000000-0002-0000-3600-000001000000}">
      <formula1>1</formula1>
    </dataValidation>
    <dataValidation type="whole" allowBlank="1" showInputMessage="1" showErrorMessage="1" errorTitle="Years" error="Please enter a whole number of years from 1 to 30." sqref="D8" xr:uid="{00000000-0002-0000-3600-000002000000}">
      <formula1>0</formula1>
      <formula2>30</formula2>
    </dataValidation>
  </dataValidations>
  <hyperlinks>
    <hyperlink ref="L4" location="Index!A1" display="Index" xr:uid="{17282F8F-D38B-469A-A371-ECE130B10D42}"/>
  </hyperlinks>
  <printOptions horizontalCentered="1"/>
  <pageMargins left="0.75" right="0.5" top="0.5" bottom="0.5" header="0.5" footer="0.5"/>
  <pageSetup scale="80" orientation="landscape" r:id="rId4"/>
  <headerFooter alignWithMargins="0"/>
  <drawing r:id="rId5"/>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1">
    <tabColor theme="5"/>
    <pageSetUpPr autoPageBreaks="0"/>
  </sheetPr>
  <dimension ref="A1:O379"/>
  <sheetViews>
    <sheetView showGridLines="0" zoomScaleNormal="100" workbookViewId="0">
      <selection activeCell="F18" sqref="F18"/>
    </sheetView>
  </sheetViews>
  <sheetFormatPr baseColWidth="10" defaultColWidth="9.1640625" defaultRowHeight="13"/>
  <cols>
    <col min="1" max="1" width="4.6640625" style="833" customWidth="1"/>
    <col min="2" max="2" width="13.33203125" style="834" customWidth="1"/>
    <col min="3" max="3" width="15.5" style="834" customWidth="1"/>
    <col min="4" max="4" width="14" style="834" customWidth="1"/>
    <col min="5" max="5" width="12.1640625" style="834" customWidth="1"/>
    <col min="6" max="6" width="14.5" style="834" customWidth="1"/>
    <col min="7" max="7" width="14.1640625" style="834" customWidth="1"/>
    <col min="8" max="9" width="13.5" style="834" customWidth="1"/>
    <col min="10" max="10" width="13" style="834" customWidth="1"/>
    <col min="11" max="12" width="9.1640625" style="835"/>
    <col min="13" max="13" width="9.1640625" style="835" customWidth="1"/>
    <col min="14" max="16384" width="9.1640625" style="835"/>
  </cols>
  <sheetData>
    <row r="1" spans="1:15" ht="62.25" customHeight="1"/>
    <row r="2" spans="1:15" ht="21" customHeight="1">
      <c r="A2" s="3307" t="s">
        <v>1521</v>
      </c>
      <c r="B2" s="3308"/>
      <c r="C2" s="3308"/>
      <c r="D2" s="3308"/>
      <c r="E2" s="836"/>
      <c r="F2" s="836"/>
      <c r="G2" s="836"/>
      <c r="H2" s="836"/>
      <c r="I2" s="836"/>
      <c r="J2" s="836"/>
    </row>
    <row r="3" spans="1:15" ht="3" customHeight="1">
      <c r="A3" s="837"/>
      <c r="B3" s="838"/>
      <c r="C3" s="838"/>
      <c r="D3" s="838"/>
      <c r="E3" s="838"/>
      <c r="F3" s="838"/>
      <c r="G3" s="838"/>
      <c r="H3" s="838"/>
      <c r="I3" s="838"/>
      <c r="J3" s="838"/>
    </row>
    <row r="4" spans="1:15" ht="20.25" customHeight="1">
      <c r="A4" s="836"/>
      <c r="B4" s="839"/>
      <c r="C4" s="839"/>
      <c r="D4" s="839"/>
      <c r="E4" s="839"/>
      <c r="F4" s="839"/>
      <c r="G4" s="839"/>
      <c r="H4" s="839"/>
      <c r="I4" s="839"/>
      <c r="J4" s="839"/>
      <c r="K4"/>
      <c r="L4" s="1741"/>
      <c r="M4" s="1741"/>
      <c r="N4" s="1741"/>
      <c r="O4"/>
    </row>
    <row r="5" spans="1:15" ht="14.25" customHeight="1">
      <c r="A5" s="836"/>
      <c r="B5" s="3309" t="s">
        <v>1522</v>
      </c>
      <c r="C5" s="3310"/>
      <c r="D5" s="3311"/>
      <c r="E5" s="836"/>
      <c r="F5" s="3309" t="s">
        <v>1523</v>
      </c>
      <c r="G5" s="3310"/>
      <c r="H5" s="3311"/>
      <c r="I5" s="840"/>
      <c r="J5" s="836"/>
    </row>
    <row r="6" spans="1:15">
      <c r="A6" s="836"/>
      <c r="B6" s="841"/>
      <c r="C6" s="842" t="s">
        <v>1524</v>
      </c>
      <c r="D6" s="843">
        <f>'Wksht Print Separately'!E14</f>
        <v>0</v>
      </c>
      <c r="E6" s="836"/>
      <c r="F6" s="841"/>
      <c r="G6" s="842" t="s">
        <v>1525</v>
      </c>
      <c r="H6" s="843" t="str">
        <f>IF(Values_Entered,-PMT(Interest_Rate/Num_Pmt_Per_Year,Loan_Years*Num_Pmt_Per_Year,Loan_Amount),"")</f>
        <v/>
      </c>
      <c r="I6" s="844"/>
      <c r="J6" s="836"/>
    </row>
    <row r="7" spans="1:15">
      <c r="A7" s="836"/>
      <c r="B7" s="841"/>
      <c r="C7" s="842" t="s">
        <v>1526</v>
      </c>
      <c r="D7" s="867">
        <f>IFERROR(INDEX('Pmt Calcs'!I35:I37,MATCH('Wksht Print Separately'!C25,'Pmt Calcs'!A35:A37,0)),0)</f>
        <v>0</v>
      </c>
      <c r="E7" s="836"/>
      <c r="F7" s="841"/>
      <c r="G7" s="842" t="s">
        <v>1527</v>
      </c>
      <c r="H7" s="845" t="str">
        <f>IF(Values_Entered,Loan_Years*Num_Pmt_Per_Year,"")</f>
        <v/>
      </c>
      <c r="I7" s="846"/>
      <c r="J7" s="836"/>
    </row>
    <row r="8" spans="1:15">
      <c r="A8" s="836"/>
      <c r="B8" s="841"/>
      <c r="C8" s="842" t="s">
        <v>1528</v>
      </c>
      <c r="D8" s="845">
        <f>'Wksht Print Separately'!G70/12</f>
        <v>0</v>
      </c>
      <c r="E8" s="836"/>
      <c r="F8" s="841"/>
      <c r="G8" s="842" t="s">
        <v>1529</v>
      </c>
      <c r="H8" s="845" t="str">
        <f>IF(Values_Entered,Number_of_Payments,"")</f>
        <v/>
      </c>
      <c r="I8" s="846"/>
      <c r="J8" s="836"/>
    </row>
    <row r="9" spans="1:15">
      <c r="A9" s="836"/>
      <c r="B9" s="841"/>
      <c r="C9" s="842" t="s">
        <v>1530</v>
      </c>
      <c r="D9" s="845">
        <v>12</v>
      </c>
      <c r="E9" s="836"/>
      <c r="F9" s="841"/>
      <c r="G9" s="842" t="s">
        <v>1531</v>
      </c>
      <c r="H9" s="843" t="str">
        <f>IF(Values_Entered,SUMIF(Beg_Bal,"&gt;0",Extra_Pay),"")</f>
        <v/>
      </c>
      <c r="I9" s="844"/>
      <c r="J9" s="836"/>
    </row>
    <row r="10" spans="1:15">
      <c r="A10" s="836"/>
      <c r="B10" s="841"/>
      <c r="C10" s="842" t="s">
        <v>1532</v>
      </c>
      <c r="D10" s="868">
        <v>45627</v>
      </c>
      <c r="E10" s="836"/>
      <c r="F10" s="847"/>
      <c r="G10" s="848" t="s">
        <v>1533</v>
      </c>
      <c r="H10" s="843" t="str">
        <f>IF(Values_Entered,SUMIF(Beg_Bal,"&gt;0",Int),"")</f>
        <v/>
      </c>
      <c r="I10" s="844"/>
      <c r="J10" s="836"/>
    </row>
    <row r="11" spans="1:15">
      <c r="A11" s="836"/>
      <c r="B11" s="847"/>
      <c r="C11" s="848" t="s">
        <v>1534</v>
      </c>
      <c r="D11" s="869"/>
      <c r="E11" s="836"/>
      <c r="F11" s="839"/>
      <c r="G11" s="839"/>
      <c r="H11" s="839"/>
      <c r="I11" s="839"/>
      <c r="J11" s="836"/>
    </row>
    <row r="12" spans="1:15">
      <c r="A12" s="836"/>
      <c r="B12" s="839"/>
      <c r="C12" s="839"/>
      <c r="D12" s="839"/>
      <c r="E12" s="839"/>
      <c r="F12" s="839"/>
      <c r="G12" s="839"/>
      <c r="H12" s="839"/>
      <c r="I12" s="839"/>
      <c r="J12" s="839"/>
    </row>
    <row r="13" spans="1:15">
      <c r="A13" s="836"/>
      <c r="B13" s="849" t="s">
        <v>1535</v>
      </c>
      <c r="C13" s="3312"/>
      <c r="D13" s="3313"/>
      <c r="E13" s="839"/>
      <c r="F13" s="839"/>
      <c r="G13" s="839"/>
      <c r="H13" s="839"/>
      <c r="I13" s="839"/>
      <c r="J13" s="839"/>
    </row>
    <row r="14" spans="1:15">
      <c r="A14" s="836"/>
      <c r="B14" s="849"/>
      <c r="C14" s="870"/>
      <c r="D14" s="870"/>
      <c r="E14" s="839"/>
      <c r="F14" s="839"/>
      <c r="G14" s="839"/>
      <c r="H14" s="839"/>
      <c r="I14" s="839"/>
      <c r="J14" s="839"/>
    </row>
    <row r="15" spans="1:15" ht="6" customHeight="1">
      <c r="A15" s="837"/>
      <c r="B15" s="838"/>
      <c r="C15" s="838"/>
      <c r="D15" s="838"/>
      <c r="E15" s="838"/>
      <c r="F15" s="838"/>
      <c r="G15" s="838"/>
      <c r="H15" s="838"/>
      <c r="I15" s="838"/>
      <c r="J15" s="838"/>
    </row>
    <row r="16" spans="1:15" ht="3.75" customHeight="1">
      <c r="A16" s="836"/>
      <c r="B16" s="839"/>
      <c r="C16" s="839"/>
      <c r="D16" s="839"/>
      <c r="E16" s="839"/>
      <c r="F16" s="839"/>
      <c r="G16" s="839"/>
      <c r="H16" s="839"/>
      <c r="I16" s="839"/>
      <c r="J16" s="839"/>
    </row>
    <row r="17" spans="1:13" s="851" customFormat="1" ht="28.5" customHeight="1">
      <c r="A17" s="850" t="s">
        <v>1536</v>
      </c>
      <c r="B17" s="850" t="s">
        <v>1537</v>
      </c>
      <c r="C17" s="850" t="s">
        <v>969</v>
      </c>
      <c r="D17" s="850" t="s">
        <v>1538</v>
      </c>
      <c r="E17" s="850" t="s">
        <v>1539</v>
      </c>
      <c r="F17" s="850" t="s">
        <v>1540</v>
      </c>
      <c r="G17" s="850" t="s">
        <v>1541</v>
      </c>
      <c r="H17" s="850" t="s">
        <v>205</v>
      </c>
      <c r="I17" s="850" t="s">
        <v>980</v>
      </c>
      <c r="J17" s="850" t="s">
        <v>1542</v>
      </c>
    </row>
    <row r="18" spans="1:13" s="851" customFormat="1" ht="6" customHeight="1">
      <c r="A18" s="852"/>
      <c r="B18" s="853"/>
      <c r="C18" s="853"/>
      <c r="D18" s="853"/>
      <c r="E18" s="853"/>
      <c r="F18" s="853"/>
      <c r="G18" s="853"/>
      <c r="H18" s="853"/>
      <c r="I18" s="853"/>
      <c r="J18" s="854"/>
    </row>
    <row r="19" spans="1:13" s="851" customFormat="1">
      <c r="A19" s="855" t="str">
        <f>IF(Values_Entered,1,"")</f>
        <v/>
      </c>
      <c r="B19" s="856" t="str">
        <f t="shared" ref="B19:B82" si="0">IF(Pay_Num&lt;&gt;"",DATE(YEAR(Loan_Start),MONTH(Loan_Start)+(Pay_Num)*12/Num_Pmt_Per_Year,DAY(Loan_Start)),"")</f>
        <v/>
      </c>
      <c r="C19" s="857" t="str">
        <f>IF(Values_Entered,Loan_Amount,"")</f>
        <v/>
      </c>
      <c r="D19" s="857" t="str">
        <f>IF(Pay_Num&lt;&gt;"",Scheduled_Monthly_Payment,"")</f>
        <v/>
      </c>
      <c r="E19" s="857" t="e">
        <f t="shared" ref="E19:E82" si="1">IF(AND(Pay_Num&lt;&gt;"",Sched_Pay+Scheduled_Extra_Payments&lt;Beg_Bal),Scheduled_Extra_Payments,IF(AND(Pay_Num&lt;&gt;"",Beg_Bal-Sched_Pay&gt;0),Beg_Bal-Sched_Pay,IF(Pay_Num&lt;&gt;"",0,"")))</f>
        <v>#VALUE!</v>
      </c>
      <c r="F19" s="857" t="e">
        <f t="shared" ref="F19:F82" si="2">IF(AND(Pay_Num&lt;&gt;"",Sched_Pay+Extra_Pay&lt;Beg_Bal),Sched_Pay+Extra_Pay,IF(Pay_Num&lt;&gt;"",Beg_Bal,""))</f>
        <v>#VALUE!</v>
      </c>
      <c r="G19" s="857" t="str">
        <f>IF(Pay_Num&lt;&gt;"",Total_Pay-Int,"")</f>
        <v/>
      </c>
      <c r="H19" s="857" t="str">
        <f>IF(Pay_Num&lt;&gt;"",Beg_Bal*(Interest_Rate/Num_Pmt_Per_Year),"")</f>
        <v/>
      </c>
      <c r="I19" s="857" t="e">
        <f t="shared" ref="I19:I82" si="3">IF(AND(Pay_Num&lt;&gt;"",Sched_Pay+Extra_Pay&lt;Beg_Bal),Beg_Bal-Princ,IF(Pay_Num&lt;&gt;"",0,""))</f>
        <v>#VALUE!</v>
      </c>
      <c r="J19" s="857">
        <f>SUM($H$19:$H19)</f>
        <v>0</v>
      </c>
      <c r="K19" s="835" t="s">
        <v>1543</v>
      </c>
      <c r="M19" s="858">
        <f>SUM(G19:G30)</f>
        <v>0</v>
      </c>
    </row>
    <row r="20" spans="1:13" s="851" customFormat="1" ht="12.75" customHeight="1">
      <c r="A20" s="859" t="str">
        <f t="shared" ref="A20:A83" si="4">IF(Values_Entered,A19+1,"")</f>
        <v/>
      </c>
      <c r="B20" s="860" t="str">
        <f t="shared" si="0"/>
        <v/>
      </c>
      <c r="C20" s="861" t="str">
        <f t="shared" ref="C20:C83" si="5">IF(Pay_Num&lt;&gt;"",I19,"")</f>
        <v/>
      </c>
      <c r="D20" s="861" t="str">
        <f>IF(Pay_Num&lt;&gt;"",Scheduled_Monthly_Payment,"")</f>
        <v/>
      </c>
      <c r="E20" s="862" t="e">
        <f t="shared" si="1"/>
        <v>#VALUE!</v>
      </c>
      <c r="F20" s="861" t="e">
        <f t="shared" si="2"/>
        <v>#VALUE!</v>
      </c>
      <c r="G20" s="861" t="str">
        <f t="shared" ref="G20:G83" si="6">IF(Pay_Num&lt;&gt;"",Total_Pay-Int,"")</f>
        <v/>
      </c>
      <c r="H20" s="861" t="str">
        <f t="shared" ref="H20:H83" si="7">IF(Pay_Num&lt;&gt;"",Beg_Bal*Interest_Rate/Num_Pmt_Per_Year,"")</f>
        <v/>
      </c>
      <c r="I20" s="861" t="e">
        <f t="shared" si="3"/>
        <v>#VALUE!</v>
      </c>
      <c r="J20" s="861">
        <f>SUM($H$19:$H20)</f>
        <v>0</v>
      </c>
      <c r="K20" s="835" t="s">
        <v>1544</v>
      </c>
      <c r="M20" s="858">
        <f>SUM(H19:H30)</f>
        <v>0</v>
      </c>
    </row>
    <row r="21" spans="1:13" s="851" customFormat="1" ht="12.75" customHeight="1">
      <c r="A21" s="859" t="str">
        <f t="shared" si="4"/>
        <v/>
      </c>
      <c r="B21" s="860" t="str">
        <f t="shared" si="0"/>
        <v/>
      </c>
      <c r="C21" s="861" t="str">
        <f t="shared" si="5"/>
        <v/>
      </c>
      <c r="D21" s="861" t="str">
        <f t="shared" ref="D21:D84" si="8">IF(Pay_Num&lt;&gt;"",Scheduled_Monthly_Payment,"")</f>
        <v/>
      </c>
      <c r="E21" s="862" t="e">
        <f t="shared" si="1"/>
        <v>#VALUE!</v>
      </c>
      <c r="F21" s="861" t="e">
        <f t="shared" si="2"/>
        <v>#VALUE!</v>
      </c>
      <c r="G21" s="861" t="str">
        <f t="shared" si="6"/>
        <v/>
      </c>
      <c r="H21" s="861" t="str">
        <f t="shared" si="7"/>
        <v/>
      </c>
      <c r="I21" s="861" t="e">
        <f t="shared" si="3"/>
        <v>#VALUE!</v>
      </c>
      <c r="J21" s="861">
        <f>SUM($H$19:$H21)</f>
        <v>0</v>
      </c>
    </row>
    <row r="22" spans="1:13" s="851" customFormat="1">
      <c r="A22" s="859" t="str">
        <f t="shared" si="4"/>
        <v/>
      </c>
      <c r="B22" s="860" t="str">
        <f t="shared" si="0"/>
        <v/>
      </c>
      <c r="C22" s="861" t="str">
        <f t="shared" si="5"/>
        <v/>
      </c>
      <c r="D22" s="861" t="str">
        <f>IF(Pay_Num&lt;&gt;"",Scheduled_Monthly_Payment,"")</f>
        <v/>
      </c>
      <c r="E22" s="862" t="e">
        <f t="shared" si="1"/>
        <v>#VALUE!</v>
      </c>
      <c r="F22" s="861" t="e">
        <f t="shared" si="2"/>
        <v>#VALUE!</v>
      </c>
      <c r="G22" s="861" t="str">
        <f t="shared" si="6"/>
        <v/>
      </c>
      <c r="H22" s="861" t="str">
        <f t="shared" si="7"/>
        <v/>
      </c>
      <c r="I22" s="861" t="e">
        <f t="shared" si="3"/>
        <v>#VALUE!</v>
      </c>
      <c r="J22" s="861">
        <f>SUM($H$19:$H22)</f>
        <v>0</v>
      </c>
    </row>
    <row r="23" spans="1:13" s="851" customFormat="1">
      <c r="A23" s="859" t="str">
        <f t="shared" si="4"/>
        <v/>
      </c>
      <c r="B23" s="860" t="str">
        <f t="shared" si="0"/>
        <v/>
      </c>
      <c r="C23" s="861" t="str">
        <f t="shared" si="5"/>
        <v/>
      </c>
      <c r="D23" s="861" t="str">
        <f t="shared" si="8"/>
        <v/>
      </c>
      <c r="E23" s="862" t="e">
        <f t="shared" si="1"/>
        <v>#VALUE!</v>
      </c>
      <c r="F23" s="861" t="e">
        <f t="shared" si="2"/>
        <v>#VALUE!</v>
      </c>
      <c r="G23" s="861" t="str">
        <f t="shared" si="6"/>
        <v/>
      </c>
      <c r="H23" s="861" t="str">
        <f t="shared" si="7"/>
        <v/>
      </c>
      <c r="I23" s="861" t="e">
        <f t="shared" si="3"/>
        <v>#VALUE!</v>
      </c>
      <c r="J23" s="861">
        <f>SUM($H$19:$H23)</f>
        <v>0</v>
      </c>
    </row>
    <row r="24" spans="1:13">
      <c r="A24" s="859" t="str">
        <f t="shared" si="4"/>
        <v/>
      </c>
      <c r="B24" s="860" t="str">
        <f t="shared" si="0"/>
        <v/>
      </c>
      <c r="C24" s="861" t="str">
        <f t="shared" si="5"/>
        <v/>
      </c>
      <c r="D24" s="861" t="str">
        <f t="shared" si="8"/>
        <v/>
      </c>
      <c r="E24" s="862" t="e">
        <f t="shared" si="1"/>
        <v>#VALUE!</v>
      </c>
      <c r="F24" s="861" t="e">
        <f t="shared" si="2"/>
        <v>#VALUE!</v>
      </c>
      <c r="G24" s="861" t="str">
        <f t="shared" si="6"/>
        <v/>
      </c>
      <c r="H24" s="861" t="str">
        <f t="shared" si="7"/>
        <v/>
      </c>
      <c r="I24" s="861" t="e">
        <f t="shared" si="3"/>
        <v>#VALUE!</v>
      </c>
      <c r="J24" s="861">
        <f>SUM($H$19:$H24)</f>
        <v>0</v>
      </c>
    </row>
    <row r="25" spans="1:13">
      <c r="A25" s="859" t="str">
        <f t="shared" si="4"/>
        <v/>
      </c>
      <c r="B25" s="860" t="str">
        <f t="shared" si="0"/>
        <v/>
      </c>
      <c r="C25" s="861" t="str">
        <f t="shared" si="5"/>
        <v/>
      </c>
      <c r="D25" s="861" t="str">
        <f t="shared" si="8"/>
        <v/>
      </c>
      <c r="E25" s="862" t="e">
        <f t="shared" si="1"/>
        <v>#VALUE!</v>
      </c>
      <c r="F25" s="861" t="e">
        <f t="shared" si="2"/>
        <v>#VALUE!</v>
      </c>
      <c r="G25" s="861" t="str">
        <f t="shared" si="6"/>
        <v/>
      </c>
      <c r="H25" s="861" t="str">
        <f t="shared" si="7"/>
        <v/>
      </c>
      <c r="I25" s="861" t="e">
        <f t="shared" si="3"/>
        <v>#VALUE!</v>
      </c>
      <c r="J25" s="861">
        <f>SUM($H$19:$H25)</f>
        <v>0</v>
      </c>
    </row>
    <row r="26" spans="1:13">
      <c r="A26" s="859" t="str">
        <f t="shared" si="4"/>
        <v/>
      </c>
      <c r="B26" s="860" t="str">
        <f t="shared" si="0"/>
        <v/>
      </c>
      <c r="C26" s="861" t="str">
        <f t="shared" si="5"/>
        <v/>
      </c>
      <c r="D26" s="861" t="str">
        <f t="shared" si="8"/>
        <v/>
      </c>
      <c r="E26" s="862" t="e">
        <f t="shared" si="1"/>
        <v>#VALUE!</v>
      </c>
      <c r="F26" s="861" t="e">
        <f t="shared" si="2"/>
        <v>#VALUE!</v>
      </c>
      <c r="G26" s="861" t="str">
        <f t="shared" si="6"/>
        <v/>
      </c>
      <c r="H26" s="861" t="str">
        <f t="shared" si="7"/>
        <v/>
      </c>
      <c r="I26" s="861" t="e">
        <f t="shared" si="3"/>
        <v>#VALUE!</v>
      </c>
      <c r="J26" s="861">
        <f>SUM($H$19:$H26)</f>
        <v>0</v>
      </c>
    </row>
    <row r="27" spans="1:13">
      <c r="A27" s="859" t="str">
        <f t="shared" si="4"/>
        <v/>
      </c>
      <c r="B27" s="860" t="str">
        <f t="shared" si="0"/>
        <v/>
      </c>
      <c r="C27" s="861" t="str">
        <f t="shared" si="5"/>
        <v/>
      </c>
      <c r="D27" s="861" t="str">
        <f t="shared" si="8"/>
        <v/>
      </c>
      <c r="E27" s="862" t="e">
        <f t="shared" si="1"/>
        <v>#VALUE!</v>
      </c>
      <c r="F27" s="861" t="e">
        <f t="shared" si="2"/>
        <v>#VALUE!</v>
      </c>
      <c r="G27" s="861" t="str">
        <f t="shared" si="6"/>
        <v/>
      </c>
      <c r="H27" s="861" t="str">
        <f t="shared" si="7"/>
        <v/>
      </c>
      <c r="I27" s="861" t="e">
        <f t="shared" si="3"/>
        <v>#VALUE!</v>
      </c>
      <c r="J27" s="861">
        <f>SUM($H$19:$H27)</f>
        <v>0</v>
      </c>
    </row>
    <row r="28" spans="1:13">
      <c r="A28" s="859" t="str">
        <f t="shared" si="4"/>
        <v/>
      </c>
      <c r="B28" s="860" t="str">
        <f t="shared" si="0"/>
        <v/>
      </c>
      <c r="C28" s="861" t="str">
        <f t="shared" si="5"/>
        <v/>
      </c>
      <c r="D28" s="861" t="str">
        <f t="shared" si="8"/>
        <v/>
      </c>
      <c r="E28" s="862" t="e">
        <f t="shared" si="1"/>
        <v>#VALUE!</v>
      </c>
      <c r="F28" s="861" t="e">
        <f t="shared" si="2"/>
        <v>#VALUE!</v>
      </c>
      <c r="G28" s="861" t="str">
        <f t="shared" si="6"/>
        <v/>
      </c>
      <c r="H28" s="861" t="str">
        <f t="shared" si="7"/>
        <v/>
      </c>
      <c r="I28" s="861" t="e">
        <f t="shared" si="3"/>
        <v>#VALUE!</v>
      </c>
      <c r="J28" s="861">
        <f>SUM($H$19:$H28)</f>
        <v>0</v>
      </c>
    </row>
    <row r="29" spans="1:13">
      <c r="A29" s="859" t="str">
        <f t="shared" si="4"/>
        <v/>
      </c>
      <c r="B29" s="860" t="str">
        <f t="shared" si="0"/>
        <v/>
      </c>
      <c r="C29" s="861" t="str">
        <f t="shared" si="5"/>
        <v/>
      </c>
      <c r="D29" s="861" t="str">
        <f t="shared" si="8"/>
        <v/>
      </c>
      <c r="E29" s="862" t="e">
        <f t="shared" si="1"/>
        <v>#VALUE!</v>
      </c>
      <c r="F29" s="861" t="e">
        <f t="shared" si="2"/>
        <v>#VALUE!</v>
      </c>
      <c r="G29" s="861" t="str">
        <f t="shared" si="6"/>
        <v/>
      </c>
      <c r="H29" s="861" t="str">
        <f t="shared" si="7"/>
        <v/>
      </c>
      <c r="I29" s="861" t="e">
        <f t="shared" si="3"/>
        <v>#VALUE!</v>
      </c>
      <c r="J29" s="861">
        <f>SUM($H$19:$H29)</f>
        <v>0</v>
      </c>
    </row>
    <row r="30" spans="1:13">
      <c r="A30" s="859" t="str">
        <f t="shared" si="4"/>
        <v/>
      </c>
      <c r="B30" s="860" t="str">
        <f t="shared" si="0"/>
        <v/>
      </c>
      <c r="C30" s="861" t="str">
        <f t="shared" si="5"/>
        <v/>
      </c>
      <c r="D30" s="861" t="str">
        <f t="shared" si="8"/>
        <v/>
      </c>
      <c r="E30" s="862" t="e">
        <f t="shared" si="1"/>
        <v>#VALUE!</v>
      </c>
      <c r="F30" s="861" t="e">
        <f t="shared" si="2"/>
        <v>#VALUE!</v>
      </c>
      <c r="G30" s="861" t="str">
        <f t="shared" si="6"/>
        <v/>
      </c>
      <c r="H30" s="861" t="str">
        <f t="shared" si="7"/>
        <v/>
      </c>
      <c r="I30" s="861" t="e">
        <f t="shared" si="3"/>
        <v>#VALUE!</v>
      </c>
      <c r="J30" s="861">
        <f>SUM($H$19:$H30)</f>
        <v>0</v>
      </c>
    </row>
    <row r="31" spans="1:13">
      <c r="A31" s="859" t="str">
        <f t="shared" si="4"/>
        <v/>
      </c>
      <c r="B31" s="860" t="str">
        <f t="shared" si="0"/>
        <v/>
      </c>
      <c r="C31" s="861" t="str">
        <f t="shared" si="5"/>
        <v/>
      </c>
      <c r="D31" s="861" t="str">
        <f t="shared" si="8"/>
        <v/>
      </c>
      <c r="E31" s="862" t="e">
        <f t="shared" si="1"/>
        <v>#VALUE!</v>
      </c>
      <c r="F31" s="861" t="e">
        <f t="shared" si="2"/>
        <v>#VALUE!</v>
      </c>
      <c r="G31" s="861" t="str">
        <f t="shared" si="6"/>
        <v/>
      </c>
      <c r="H31" s="861" t="str">
        <f t="shared" si="7"/>
        <v/>
      </c>
      <c r="I31" s="861" t="e">
        <f t="shared" si="3"/>
        <v>#VALUE!</v>
      </c>
      <c r="J31" s="861">
        <f>SUM($H$19:$H31)</f>
        <v>0</v>
      </c>
    </row>
    <row r="32" spans="1:13">
      <c r="A32" s="859" t="str">
        <f t="shared" si="4"/>
        <v/>
      </c>
      <c r="B32" s="860" t="str">
        <f t="shared" si="0"/>
        <v/>
      </c>
      <c r="C32" s="861" t="str">
        <f t="shared" si="5"/>
        <v/>
      </c>
      <c r="D32" s="861" t="str">
        <f t="shared" si="8"/>
        <v/>
      </c>
      <c r="E32" s="862" t="e">
        <f t="shared" si="1"/>
        <v>#VALUE!</v>
      </c>
      <c r="F32" s="861" t="e">
        <f t="shared" si="2"/>
        <v>#VALUE!</v>
      </c>
      <c r="G32" s="861" t="str">
        <f t="shared" si="6"/>
        <v/>
      </c>
      <c r="H32" s="861" t="str">
        <f t="shared" si="7"/>
        <v/>
      </c>
      <c r="I32" s="861" t="e">
        <f t="shared" si="3"/>
        <v>#VALUE!</v>
      </c>
      <c r="J32" s="861">
        <f>SUM($H$19:$H32)</f>
        <v>0</v>
      </c>
    </row>
    <row r="33" spans="1:10">
      <c r="A33" s="859" t="str">
        <f t="shared" si="4"/>
        <v/>
      </c>
      <c r="B33" s="860" t="str">
        <f t="shared" si="0"/>
        <v/>
      </c>
      <c r="C33" s="861" t="str">
        <f t="shared" si="5"/>
        <v/>
      </c>
      <c r="D33" s="861" t="str">
        <f t="shared" si="8"/>
        <v/>
      </c>
      <c r="E33" s="862" t="e">
        <f t="shared" si="1"/>
        <v>#VALUE!</v>
      </c>
      <c r="F33" s="861" t="e">
        <f t="shared" si="2"/>
        <v>#VALUE!</v>
      </c>
      <c r="G33" s="861" t="str">
        <f t="shared" si="6"/>
        <v/>
      </c>
      <c r="H33" s="861" t="str">
        <f t="shared" si="7"/>
        <v/>
      </c>
      <c r="I33" s="861" t="e">
        <f t="shared" si="3"/>
        <v>#VALUE!</v>
      </c>
      <c r="J33" s="861">
        <f>SUM($H$19:$H33)</f>
        <v>0</v>
      </c>
    </row>
    <row r="34" spans="1:10">
      <c r="A34" s="859" t="str">
        <f t="shared" si="4"/>
        <v/>
      </c>
      <c r="B34" s="860" t="str">
        <f t="shared" si="0"/>
        <v/>
      </c>
      <c r="C34" s="861" t="str">
        <f t="shared" si="5"/>
        <v/>
      </c>
      <c r="D34" s="861" t="str">
        <f t="shared" si="8"/>
        <v/>
      </c>
      <c r="E34" s="862" t="e">
        <f t="shared" si="1"/>
        <v>#VALUE!</v>
      </c>
      <c r="F34" s="861" t="e">
        <f t="shared" si="2"/>
        <v>#VALUE!</v>
      </c>
      <c r="G34" s="861" t="str">
        <f t="shared" si="6"/>
        <v/>
      </c>
      <c r="H34" s="861" t="str">
        <f t="shared" si="7"/>
        <v/>
      </c>
      <c r="I34" s="861" t="e">
        <f t="shared" si="3"/>
        <v>#VALUE!</v>
      </c>
      <c r="J34" s="861">
        <f>SUM($H$19:$H34)</f>
        <v>0</v>
      </c>
    </row>
    <row r="35" spans="1:10">
      <c r="A35" s="859" t="str">
        <f t="shared" si="4"/>
        <v/>
      </c>
      <c r="B35" s="860" t="str">
        <f t="shared" si="0"/>
        <v/>
      </c>
      <c r="C35" s="861" t="str">
        <f t="shared" si="5"/>
        <v/>
      </c>
      <c r="D35" s="861" t="str">
        <f t="shared" si="8"/>
        <v/>
      </c>
      <c r="E35" s="862" t="e">
        <f t="shared" si="1"/>
        <v>#VALUE!</v>
      </c>
      <c r="F35" s="861" t="e">
        <f t="shared" si="2"/>
        <v>#VALUE!</v>
      </c>
      <c r="G35" s="861" t="str">
        <f t="shared" si="6"/>
        <v/>
      </c>
      <c r="H35" s="861" t="str">
        <f t="shared" si="7"/>
        <v/>
      </c>
      <c r="I35" s="861" t="e">
        <f t="shared" si="3"/>
        <v>#VALUE!</v>
      </c>
      <c r="J35" s="861">
        <f>SUM($H$19:$H35)</f>
        <v>0</v>
      </c>
    </row>
    <row r="36" spans="1:10">
      <c r="A36" s="859" t="str">
        <f t="shared" si="4"/>
        <v/>
      </c>
      <c r="B36" s="860" t="str">
        <f t="shared" si="0"/>
        <v/>
      </c>
      <c r="C36" s="861" t="str">
        <f t="shared" si="5"/>
        <v/>
      </c>
      <c r="D36" s="861" t="str">
        <f t="shared" si="8"/>
        <v/>
      </c>
      <c r="E36" s="862" t="e">
        <f t="shared" si="1"/>
        <v>#VALUE!</v>
      </c>
      <c r="F36" s="861" t="e">
        <f t="shared" si="2"/>
        <v>#VALUE!</v>
      </c>
      <c r="G36" s="861" t="str">
        <f t="shared" si="6"/>
        <v/>
      </c>
      <c r="H36" s="861" t="str">
        <f t="shared" si="7"/>
        <v/>
      </c>
      <c r="I36" s="861" t="e">
        <f t="shared" si="3"/>
        <v>#VALUE!</v>
      </c>
      <c r="J36" s="861">
        <f>SUM($H$19:$H36)</f>
        <v>0</v>
      </c>
    </row>
    <row r="37" spans="1:10">
      <c r="A37" s="859" t="str">
        <f t="shared" si="4"/>
        <v/>
      </c>
      <c r="B37" s="860" t="str">
        <f t="shared" si="0"/>
        <v/>
      </c>
      <c r="C37" s="861" t="str">
        <f t="shared" si="5"/>
        <v/>
      </c>
      <c r="D37" s="861" t="str">
        <f t="shared" si="8"/>
        <v/>
      </c>
      <c r="E37" s="862" t="e">
        <f t="shared" si="1"/>
        <v>#VALUE!</v>
      </c>
      <c r="F37" s="861" t="e">
        <f t="shared" si="2"/>
        <v>#VALUE!</v>
      </c>
      <c r="G37" s="861" t="str">
        <f t="shared" si="6"/>
        <v/>
      </c>
      <c r="H37" s="861" t="str">
        <f t="shared" si="7"/>
        <v/>
      </c>
      <c r="I37" s="861" t="e">
        <f t="shared" si="3"/>
        <v>#VALUE!</v>
      </c>
      <c r="J37" s="861">
        <f>SUM($H$19:$H37)</f>
        <v>0</v>
      </c>
    </row>
    <row r="38" spans="1:10">
      <c r="A38" s="859" t="str">
        <f t="shared" si="4"/>
        <v/>
      </c>
      <c r="B38" s="860" t="str">
        <f t="shared" si="0"/>
        <v/>
      </c>
      <c r="C38" s="861" t="str">
        <f t="shared" si="5"/>
        <v/>
      </c>
      <c r="D38" s="861" t="str">
        <f t="shared" si="8"/>
        <v/>
      </c>
      <c r="E38" s="862" t="e">
        <f t="shared" si="1"/>
        <v>#VALUE!</v>
      </c>
      <c r="F38" s="861" t="e">
        <f t="shared" si="2"/>
        <v>#VALUE!</v>
      </c>
      <c r="G38" s="861" t="str">
        <f t="shared" si="6"/>
        <v/>
      </c>
      <c r="H38" s="861" t="str">
        <f t="shared" si="7"/>
        <v/>
      </c>
      <c r="I38" s="861" t="e">
        <f t="shared" si="3"/>
        <v>#VALUE!</v>
      </c>
      <c r="J38" s="861">
        <f>SUM($H$19:$H38)</f>
        <v>0</v>
      </c>
    </row>
    <row r="39" spans="1:10">
      <c r="A39" s="859" t="str">
        <f t="shared" si="4"/>
        <v/>
      </c>
      <c r="B39" s="860" t="str">
        <f t="shared" si="0"/>
        <v/>
      </c>
      <c r="C39" s="861" t="str">
        <f t="shared" si="5"/>
        <v/>
      </c>
      <c r="D39" s="861" t="str">
        <f t="shared" si="8"/>
        <v/>
      </c>
      <c r="E39" s="862" t="e">
        <f t="shared" si="1"/>
        <v>#VALUE!</v>
      </c>
      <c r="F39" s="861" t="e">
        <f t="shared" si="2"/>
        <v>#VALUE!</v>
      </c>
      <c r="G39" s="861" t="str">
        <f t="shared" si="6"/>
        <v/>
      </c>
      <c r="H39" s="861" t="str">
        <f t="shared" si="7"/>
        <v/>
      </c>
      <c r="I39" s="861" t="e">
        <f t="shared" si="3"/>
        <v>#VALUE!</v>
      </c>
      <c r="J39" s="861">
        <f>SUM($H$19:$H39)</f>
        <v>0</v>
      </c>
    </row>
    <row r="40" spans="1:10">
      <c r="A40" s="859" t="str">
        <f t="shared" si="4"/>
        <v/>
      </c>
      <c r="B40" s="860" t="str">
        <f t="shared" si="0"/>
        <v/>
      </c>
      <c r="C40" s="861" t="str">
        <f t="shared" si="5"/>
        <v/>
      </c>
      <c r="D40" s="861" t="str">
        <f t="shared" si="8"/>
        <v/>
      </c>
      <c r="E40" s="862" t="e">
        <f t="shared" si="1"/>
        <v>#VALUE!</v>
      </c>
      <c r="F40" s="861" t="e">
        <f t="shared" si="2"/>
        <v>#VALUE!</v>
      </c>
      <c r="G40" s="861" t="str">
        <f t="shared" si="6"/>
        <v/>
      </c>
      <c r="H40" s="861" t="str">
        <f t="shared" si="7"/>
        <v/>
      </c>
      <c r="I40" s="861" t="e">
        <f t="shared" si="3"/>
        <v>#VALUE!</v>
      </c>
      <c r="J40" s="861">
        <f>SUM($H$19:$H40)</f>
        <v>0</v>
      </c>
    </row>
    <row r="41" spans="1:10">
      <c r="A41" s="859" t="str">
        <f t="shared" si="4"/>
        <v/>
      </c>
      <c r="B41" s="860" t="str">
        <f t="shared" si="0"/>
        <v/>
      </c>
      <c r="C41" s="861" t="str">
        <f t="shared" si="5"/>
        <v/>
      </c>
      <c r="D41" s="861" t="str">
        <f t="shared" si="8"/>
        <v/>
      </c>
      <c r="E41" s="862" t="e">
        <f t="shared" si="1"/>
        <v>#VALUE!</v>
      </c>
      <c r="F41" s="861" t="e">
        <f t="shared" si="2"/>
        <v>#VALUE!</v>
      </c>
      <c r="G41" s="861" t="str">
        <f t="shared" si="6"/>
        <v/>
      </c>
      <c r="H41" s="861" t="str">
        <f t="shared" si="7"/>
        <v/>
      </c>
      <c r="I41" s="861" t="e">
        <f t="shared" si="3"/>
        <v>#VALUE!</v>
      </c>
      <c r="J41" s="861">
        <f>SUM($H$19:$H41)</f>
        <v>0</v>
      </c>
    </row>
    <row r="42" spans="1:10">
      <c r="A42" s="859" t="str">
        <f t="shared" si="4"/>
        <v/>
      </c>
      <c r="B42" s="860" t="str">
        <f t="shared" si="0"/>
        <v/>
      </c>
      <c r="C42" s="861" t="str">
        <f t="shared" si="5"/>
        <v/>
      </c>
      <c r="D42" s="861" t="str">
        <f t="shared" si="8"/>
        <v/>
      </c>
      <c r="E42" s="862" t="e">
        <f t="shared" si="1"/>
        <v>#VALUE!</v>
      </c>
      <c r="F42" s="861" t="e">
        <f t="shared" si="2"/>
        <v>#VALUE!</v>
      </c>
      <c r="G42" s="861" t="str">
        <f t="shared" si="6"/>
        <v/>
      </c>
      <c r="H42" s="861" t="str">
        <f t="shared" si="7"/>
        <v/>
      </c>
      <c r="I42" s="861" t="e">
        <f t="shared" si="3"/>
        <v>#VALUE!</v>
      </c>
      <c r="J42" s="861">
        <f>SUM($H$19:$H42)</f>
        <v>0</v>
      </c>
    </row>
    <row r="43" spans="1:10">
      <c r="A43" s="859" t="str">
        <f t="shared" si="4"/>
        <v/>
      </c>
      <c r="B43" s="860" t="str">
        <f t="shared" si="0"/>
        <v/>
      </c>
      <c r="C43" s="861" t="str">
        <f t="shared" si="5"/>
        <v/>
      </c>
      <c r="D43" s="861" t="str">
        <f t="shared" si="8"/>
        <v/>
      </c>
      <c r="E43" s="862" t="e">
        <f t="shared" si="1"/>
        <v>#VALUE!</v>
      </c>
      <c r="F43" s="861" t="e">
        <f t="shared" si="2"/>
        <v>#VALUE!</v>
      </c>
      <c r="G43" s="861" t="str">
        <f t="shared" si="6"/>
        <v/>
      </c>
      <c r="H43" s="861" t="str">
        <f t="shared" si="7"/>
        <v/>
      </c>
      <c r="I43" s="861" t="e">
        <f t="shared" si="3"/>
        <v>#VALUE!</v>
      </c>
      <c r="J43" s="861">
        <f>SUM($H$19:$H43)</f>
        <v>0</v>
      </c>
    </row>
    <row r="44" spans="1:10">
      <c r="A44" s="859" t="str">
        <f t="shared" si="4"/>
        <v/>
      </c>
      <c r="B44" s="860" t="str">
        <f t="shared" si="0"/>
        <v/>
      </c>
      <c r="C44" s="861" t="str">
        <f t="shared" si="5"/>
        <v/>
      </c>
      <c r="D44" s="861" t="str">
        <f t="shared" si="8"/>
        <v/>
      </c>
      <c r="E44" s="862" t="e">
        <f t="shared" si="1"/>
        <v>#VALUE!</v>
      </c>
      <c r="F44" s="861" t="e">
        <f t="shared" si="2"/>
        <v>#VALUE!</v>
      </c>
      <c r="G44" s="861" t="str">
        <f t="shared" si="6"/>
        <v/>
      </c>
      <c r="H44" s="861" t="str">
        <f t="shared" si="7"/>
        <v/>
      </c>
      <c r="I44" s="861" t="e">
        <f t="shared" si="3"/>
        <v>#VALUE!</v>
      </c>
      <c r="J44" s="861">
        <f>SUM($H$19:$H44)</f>
        <v>0</v>
      </c>
    </row>
    <row r="45" spans="1:10">
      <c r="A45" s="859" t="str">
        <f t="shared" si="4"/>
        <v/>
      </c>
      <c r="B45" s="860" t="str">
        <f t="shared" si="0"/>
        <v/>
      </c>
      <c r="C45" s="861" t="str">
        <f t="shared" si="5"/>
        <v/>
      </c>
      <c r="D45" s="861" t="str">
        <f t="shared" si="8"/>
        <v/>
      </c>
      <c r="E45" s="862" t="e">
        <f t="shared" si="1"/>
        <v>#VALUE!</v>
      </c>
      <c r="F45" s="861" t="e">
        <f t="shared" si="2"/>
        <v>#VALUE!</v>
      </c>
      <c r="G45" s="861" t="str">
        <f t="shared" si="6"/>
        <v/>
      </c>
      <c r="H45" s="861" t="str">
        <f t="shared" si="7"/>
        <v/>
      </c>
      <c r="I45" s="861" t="e">
        <f t="shared" si="3"/>
        <v>#VALUE!</v>
      </c>
      <c r="J45" s="861">
        <f>SUM($H$19:$H45)</f>
        <v>0</v>
      </c>
    </row>
    <row r="46" spans="1:10">
      <c r="A46" s="859" t="str">
        <f t="shared" si="4"/>
        <v/>
      </c>
      <c r="B46" s="860" t="str">
        <f t="shared" si="0"/>
        <v/>
      </c>
      <c r="C46" s="861" t="str">
        <f t="shared" si="5"/>
        <v/>
      </c>
      <c r="D46" s="861" t="str">
        <f t="shared" si="8"/>
        <v/>
      </c>
      <c r="E46" s="862" t="e">
        <f t="shared" si="1"/>
        <v>#VALUE!</v>
      </c>
      <c r="F46" s="861" t="e">
        <f t="shared" si="2"/>
        <v>#VALUE!</v>
      </c>
      <c r="G46" s="861" t="str">
        <f t="shared" si="6"/>
        <v/>
      </c>
      <c r="H46" s="861" t="str">
        <f t="shared" si="7"/>
        <v/>
      </c>
      <c r="I46" s="861" t="e">
        <f t="shared" si="3"/>
        <v>#VALUE!</v>
      </c>
      <c r="J46" s="861">
        <f>SUM($H$19:$H46)</f>
        <v>0</v>
      </c>
    </row>
    <row r="47" spans="1:10">
      <c r="A47" s="859" t="str">
        <f t="shared" si="4"/>
        <v/>
      </c>
      <c r="B47" s="860" t="str">
        <f t="shared" si="0"/>
        <v/>
      </c>
      <c r="C47" s="861" t="str">
        <f t="shared" si="5"/>
        <v/>
      </c>
      <c r="D47" s="861" t="str">
        <f t="shared" si="8"/>
        <v/>
      </c>
      <c r="E47" s="862" t="e">
        <f t="shared" si="1"/>
        <v>#VALUE!</v>
      </c>
      <c r="F47" s="861" t="e">
        <f t="shared" si="2"/>
        <v>#VALUE!</v>
      </c>
      <c r="G47" s="861" t="str">
        <f t="shared" si="6"/>
        <v/>
      </c>
      <c r="H47" s="861" t="str">
        <f t="shared" si="7"/>
        <v/>
      </c>
      <c r="I47" s="861" t="e">
        <f t="shared" si="3"/>
        <v>#VALUE!</v>
      </c>
      <c r="J47" s="861">
        <f>SUM($H$19:$H47)</f>
        <v>0</v>
      </c>
    </row>
    <row r="48" spans="1:10">
      <c r="A48" s="859" t="str">
        <f t="shared" si="4"/>
        <v/>
      </c>
      <c r="B48" s="860" t="str">
        <f t="shared" si="0"/>
        <v/>
      </c>
      <c r="C48" s="861" t="str">
        <f t="shared" si="5"/>
        <v/>
      </c>
      <c r="D48" s="861" t="str">
        <f t="shared" si="8"/>
        <v/>
      </c>
      <c r="E48" s="862" t="e">
        <f t="shared" si="1"/>
        <v>#VALUE!</v>
      </c>
      <c r="F48" s="861" t="e">
        <f t="shared" si="2"/>
        <v>#VALUE!</v>
      </c>
      <c r="G48" s="861" t="str">
        <f t="shared" si="6"/>
        <v/>
      </c>
      <c r="H48" s="861" t="str">
        <f t="shared" si="7"/>
        <v/>
      </c>
      <c r="I48" s="861" t="e">
        <f t="shared" si="3"/>
        <v>#VALUE!</v>
      </c>
      <c r="J48" s="861">
        <f>SUM($H$19:$H48)</f>
        <v>0</v>
      </c>
    </row>
    <row r="49" spans="1:10">
      <c r="A49" s="859" t="str">
        <f t="shared" si="4"/>
        <v/>
      </c>
      <c r="B49" s="860" t="str">
        <f t="shared" si="0"/>
        <v/>
      </c>
      <c r="C49" s="861" t="str">
        <f t="shared" si="5"/>
        <v/>
      </c>
      <c r="D49" s="861" t="str">
        <f t="shared" si="8"/>
        <v/>
      </c>
      <c r="E49" s="862" t="e">
        <f t="shared" si="1"/>
        <v>#VALUE!</v>
      </c>
      <c r="F49" s="861" t="e">
        <f t="shared" si="2"/>
        <v>#VALUE!</v>
      </c>
      <c r="G49" s="861" t="str">
        <f t="shared" si="6"/>
        <v/>
      </c>
      <c r="H49" s="861" t="str">
        <f t="shared" si="7"/>
        <v/>
      </c>
      <c r="I49" s="861" t="e">
        <f t="shared" si="3"/>
        <v>#VALUE!</v>
      </c>
      <c r="J49" s="861">
        <f>SUM($H$19:$H49)</f>
        <v>0</v>
      </c>
    </row>
    <row r="50" spans="1:10">
      <c r="A50" s="859" t="str">
        <f t="shared" si="4"/>
        <v/>
      </c>
      <c r="B50" s="860" t="str">
        <f t="shared" si="0"/>
        <v/>
      </c>
      <c r="C50" s="861" t="str">
        <f t="shared" si="5"/>
        <v/>
      </c>
      <c r="D50" s="861" t="str">
        <f t="shared" si="8"/>
        <v/>
      </c>
      <c r="E50" s="862" t="e">
        <f t="shared" si="1"/>
        <v>#VALUE!</v>
      </c>
      <c r="F50" s="861" t="e">
        <f t="shared" si="2"/>
        <v>#VALUE!</v>
      </c>
      <c r="G50" s="861" t="str">
        <f t="shared" si="6"/>
        <v/>
      </c>
      <c r="H50" s="861" t="str">
        <f t="shared" si="7"/>
        <v/>
      </c>
      <c r="I50" s="861" t="e">
        <f t="shared" si="3"/>
        <v>#VALUE!</v>
      </c>
      <c r="J50" s="861">
        <f>SUM($H$19:$H50)</f>
        <v>0</v>
      </c>
    </row>
    <row r="51" spans="1:10">
      <c r="A51" s="859" t="str">
        <f t="shared" si="4"/>
        <v/>
      </c>
      <c r="B51" s="860" t="str">
        <f t="shared" si="0"/>
        <v/>
      </c>
      <c r="C51" s="861" t="str">
        <f t="shared" si="5"/>
        <v/>
      </c>
      <c r="D51" s="861" t="str">
        <f t="shared" si="8"/>
        <v/>
      </c>
      <c r="E51" s="862" t="e">
        <f t="shared" si="1"/>
        <v>#VALUE!</v>
      </c>
      <c r="F51" s="861" t="e">
        <f t="shared" si="2"/>
        <v>#VALUE!</v>
      </c>
      <c r="G51" s="861" t="str">
        <f t="shared" si="6"/>
        <v/>
      </c>
      <c r="H51" s="861" t="str">
        <f t="shared" si="7"/>
        <v/>
      </c>
      <c r="I51" s="861" t="e">
        <f t="shared" si="3"/>
        <v>#VALUE!</v>
      </c>
      <c r="J51" s="861">
        <f>SUM($H$19:$H51)</f>
        <v>0</v>
      </c>
    </row>
    <row r="52" spans="1:10">
      <c r="A52" s="863" t="str">
        <f t="shared" si="4"/>
        <v/>
      </c>
      <c r="B52" s="864" t="str">
        <f t="shared" si="0"/>
        <v/>
      </c>
      <c r="C52" s="865" t="str">
        <f t="shared" si="5"/>
        <v/>
      </c>
      <c r="D52" s="865" t="str">
        <f t="shared" si="8"/>
        <v/>
      </c>
      <c r="E52" s="866" t="e">
        <f t="shared" si="1"/>
        <v>#VALUE!</v>
      </c>
      <c r="F52" s="865" t="e">
        <f t="shared" si="2"/>
        <v>#VALUE!</v>
      </c>
      <c r="G52" s="865" t="str">
        <f t="shared" si="6"/>
        <v/>
      </c>
      <c r="H52" s="865" t="str">
        <f t="shared" si="7"/>
        <v/>
      </c>
      <c r="I52" s="865" t="e">
        <f t="shared" si="3"/>
        <v>#VALUE!</v>
      </c>
      <c r="J52" s="865">
        <f>SUM($H$19:$H52)</f>
        <v>0</v>
      </c>
    </row>
    <row r="53" spans="1:10">
      <c r="A53" s="863" t="str">
        <f t="shared" si="4"/>
        <v/>
      </c>
      <c r="B53" s="864" t="str">
        <f t="shared" si="0"/>
        <v/>
      </c>
      <c r="C53" s="865" t="str">
        <f t="shared" si="5"/>
        <v/>
      </c>
      <c r="D53" s="865" t="str">
        <f t="shared" si="8"/>
        <v/>
      </c>
      <c r="E53" s="866" t="e">
        <f t="shared" si="1"/>
        <v>#VALUE!</v>
      </c>
      <c r="F53" s="865" t="e">
        <f t="shared" si="2"/>
        <v>#VALUE!</v>
      </c>
      <c r="G53" s="865" t="str">
        <f t="shared" si="6"/>
        <v/>
      </c>
      <c r="H53" s="865" t="str">
        <f t="shared" si="7"/>
        <v/>
      </c>
      <c r="I53" s="865" t="e">
        <f t="shared" si="3"/>
        <v>#VALUE!</v>
      </c>
      <c r="J53" s="865">
        <f>SUM($H$19:$H53)</f>
        <v>0</v>
      </c>
    </row>
    <row r="54" spans="1:10">
      <c r="A54" s="863" t="str">
        <f t="shared" si="4"/>
        <v/>
      </c>
      <c r="B54" s="864" t="str">
        <f t="shared" si="0"/>
        <v/>
      </c>
      <c r="C54" s="865" t="str">
        <f t="shared" si="5"/>
        <v/>
      </c>
      <c r="D54" s="865" t="str">
        <f t="shared" si="8"/>
        <v/>
      </c>
      <c r="E54" s="866" t="e">
        <f t="shared" si="1"/>
        <v>#VALUE!</v>
      </c>
      <c r="F54" s="865" t="e">
        <f t="shared" si="2"/>
        <v>#VALUE!</v>
      </c>
      <c r="G54" s="865" t="str">
        <f t="shared" si="6"/>
        <v/>
      </c>
      <c r="H54" s="865" t="str">
        <f t="shared" si="7"/>
        <v/>
      </c>
      <c r="I54" s="865" t="e">
        <f t="shared" si="3"/>
        <v>#VALUE!</v>
      </c>
      <c r="J54" s="865">
        <f>SUM($H$19:$H54)</f>
        <v>0</v>
      </c>
    </row>
    <row r="55" spans="1:10">
      <c r="A55" s="863" t="str">
        <f t="shared" si="4"/>
        <v/>
      </c>
      <c r="B55" s="864" t="str">
        <f t="shared" si="0"/>
        <v/>
      </c>
      <c r="C55" s="865" t="str">
        <f t="shared" si="5"/>
        <v/>
      </c>
      <c r="D55" s="865" t="str">
        <f t="shared" si="8"/>
        <v/>
      </c>
      <c r="E55" s="866" t="e">
        <f t="shared" si="1"/>
        <v>#VALUE!</v>
      </c>
      <c r="F55" s="865" t="e">
        <f t="shared" si="2"/>
        <v>#VALUE!</v>
      </c>
      <c r="G55" s="865" t="str">
        <f t="shared" si="6"/>
        <v/>
      </c>
      <c r="H55" s="865" t="str">
        <f t="shared" si="7"/>
        <v/>
      </c>
      <c r="I55" s="865" t="e">
        <f t="shared" si="3"/>
        <v>#VALUE!</v>
      </c>
      <c r="J55" s="865">
        <f>SUM($H$19:$H55)</f>
        <v>0</v>
      </c>
    </row>
    <row r="56" spans="1:10">
      <c r="A56" s="863" t="str">
        <f t="shared" si="4"/>
        <v/>
      </c>
      <c r="B56" s="864" t="str">
        <f t="shared" si="0"/>
        <v/>
      </c>
      <c r="C56" s="865" t="str">
        <f t="shared" si="5"/>
        <v/>
      </c>
      <c r="D56" s="865" t="str">
        <f t="shared" si="8"/>
        <v/>
      </c>
      <c r="E56" s="866" t="e">
        <f t="shared" si="1"/>
        <v>#VALUE!</v>
      </c>
      <c r="F56" s="865" t="e">
        <f t="shared" si="2"/>
        <v>#VALUE!</v>
      </c>
      <c r="G56" s="865" t="str">
        <f t="shared" si="6"/>
        <v/>
      </c>
      <c r="H56" s="865" t="str">
        <f t="shared" si="7"/>
        <v/>
      </c>
      <c r="I56" s="865" t="e">
        <f t="shared" si="3"/>
        <v>#VALUE!</v>
      </c>
      <c r="J56" s="865">
        <f>SUM($H$19:$H56)</f>
        <v>0</v>
      </c>
    </row>
    <row r="57" spans="1:10">
      <c r="A57" s="863" t="str">
        <f t="shared" si="4"/>
        <v/>
      </c>
      <c r="B57" s="864" t="str">
        <f t="shared" si="0"/>
        <v/>
      </c>
      <c r="C57" s="865" t="str">
        <f t="shared" si="5"/>
        <v/>
      </c>
      <c r="D57" s="865" t="str">
        <f t="shared" si="8"/>
        <v/>
      </c>
      <c r="E57" s="866" t="e">
        <f t="shared" si="1"/>
        <v>#VALUE!</v>
      </c>
      <c r="F57" s="865" t="e">
        <f t="shared" si="2"/>
        <v>#VALUE!</v>
      </c>
      <c r="G57" s="865" t="str">
        <f t="shared" si="6"/>
        <v/>
      </c>
      <c r="H57" s="865" t="str">
        <f t="shared" si="7"/>
        <v/>
      </c>
      <c r="I57" s="865" t="e">
        <f t="shared" si="3"/>
        <v>#VALUE!</v>
      </c>
      <c r="J57" s="865">
        <f>SUM($H$19:$H57)</f>
        <v>0</v>
      </c>
    </row>
    <row r="58" spans="1:10">
      <c r="A58" s="863" t="str">
        <f t="shared" si="4"/>
        <v/>
      </c>
      <c r="B58" s="864" t="str">
        <f t="shared" si="0"/>
        <v/>
      </c>
      <c r="C58" s="865" t="str">
        <f t="shared" si="5"/>
        <v/>
      </c>
      <c r="D58" s="865" t="str">
        <f t="shared" si="8"/>
        <v/>
      </c>
      <c r="E58" s="866" t="e">
        <f t="shared" si="1"/>
        <v>#VALUE!</v>
      </c>
      <c r="F58" s="865" t="e">
        <f t="shared" si="2"/>
        <v>#VALUE!</v>
      </c>
      <c r="G58" s="865" t="str">
        <f t="shared" si="6"/>
        <v/>
      </c>
      <c r="H58" s="865" t="str">
        <f t="shared" si="7"/>
        <v/>
      </c>
      <c r="I58" s="865" t="e">
        <f t="shared" si="3"/>
        <v>#VALUE!</v>
      </c>
      <c r="J58" s="865">
        <f>SUM($H$19:$H58)</f>
        <v>0</v>
      </c>
    </row>
    <row r="59" spans="1:10">
      <c r="A59" s="863" t="str">
        <f t="shared" si="4"/>
        <v/>
      </c>
      <c r="B59" s="864" t="str">
        <f t="shared" si="0"/>
        <v/>
      </c>
      <c r="C59" s="865" t="str">
        <f t="shared" si="5"/>
        <v/>
      </c>
      <c r="D59" s="865" t="str">
        <f t="shared" si="8"/>
        <v/>
      </c>
      <c r="E59" s="866" t="e">
        <f t="shared" si="1"/>
        <v>#VALUE!</v>
      </c>
      <c r="F59" s="865" t="e">
        <f t="shared" si="2"/>
        <v>#VALUE!</v>
      </c>
      <c r="G59" s="865" t="str">
        <f t="shared" si="6"/>
        <v/>
      </c>
      <c r="H59" s="865" t="str">
        <f t="shared" si="7"/>
        <v/>
      </c>
      <c r="I59" s="865" t="e">
        <f t="shared" si="3"/>
        <v>#VALUE!</v>
      </c>
      <c r="J59" s="865">
        <f>SUM($H$19:$H59)</f>
        <v>0</v>
      </c>
    </row>
    <row r="60" spans="1:10">
      <c r="A60" s="863" t="str">
        <f t="shared" si="4"/>
        <v/>
      </c>
      <c r="B60" s="864" t="str">
        <f t="shared" si="0"/>
        <v/>
      </c>
      <c r="C60" s="865" t="str">
        <f t="shared" si="5"/>
        <v/>
      </c>
      <c r="D60" s="865" t="str">
        <f t="shared" si="8"/>
        <v/>
      </c>
      <c r="E60" s="866" t="e">
        <f t="shared" si="1"/>
        <v>#VALUE!</v>
      </c>
      <c r="F60" s="865" t="e">
        <f t="shared" si="2"/>
        <v>#VALUE!</v>
      </c>
      <c r="G60" s="865" t="str">
        <f t="shared" si="6"/>
        <v/>
      </c>
      <c r="H60" s="865" t="str">
        <f t="shared" si="7"/>
        <v/>
      </c>
      <c r="I60" s="865" t="e">
        <f t="shared" si="3"/>
        <v>#VALUE!</v>
      </c>
      <c r="J60" s="865">
        <f>SUM($H$19:$H60)</f>
        <v>0</v>
      </c>
    </row>
    <row r="61" spans="1:10">
      <c r="A61" s="863" t="str">
        <f t="shared" si="4"/>
        <v/>
      </c>
      <c r="B61" s="864" t="str">
        <f t="shared" si="0"/>
        <v/>
      </c>
      <c r="C61" s="865" t="str">
        <f t="shared" si="5"/>
        <v/>
      </c>
      <c r="D61" s="865" t="str">
        <f t="shared" si="8"/>
        <v/>
      </c>
      <c r="E61" s="866" t="e">
        <f t="shared" si="1"/>
        <v>#VALUE!</v>
      </c>
      <c r="F61" s="865" t="e">
        <f t="shared" si="2"/>
        <v>#VALUE!</v>
      </c>
      <c r="G61" s="865" t="str">
        <f t="shared" si="6"/>
        <v/>
      </c>
      <c r="H61" s="865" t="str">
        <f t="shared" si="7"/>
        <v/>
      </c>
      <c r="I61" s="865" t="e">
        <f t="shared" si="3"/>
        <v>#VALUE!</v>
      </c>
      <c r="J61" s="865">
        <f>SUM($H$19:$H61)</f>
        <v>0</v>
      </c>
    </row>
    <row r="62" spans="1:10">
      <c r="A62" s="863" t="str">
        <f t="shared" si="4"/>
        <v/>
      </c>
      <c r="B62" s="864" t="str">
        <f t="shared" si="0"/>
        <v/>
      </c>
      <c r="C62" s="865" t="str">
        <f t="shared" si="5"/>
        <v/>
      </c>
      <c r="D62" s="865" t="str">
        <f t="shared" si="8"/>
        <v/>
      </c>
      <c r="E62" s="866" t="e">
        <f t="shared" si="1"/>
        <v>#VALUE!</v>
      </c>
      <c r="F62" s="865" t="e">
        <f t="shared" si="2"/>
        <v>#VALUE!</v>
      </c>
      <c r="G62" s="865" t="str">
        <f t="shared" si="6"/>
        <v/>
      </c>
      <c r="H62" s="865" t="str">
        <f t="shared" si="7"/>
        <v/>
      </c>
      <c r="I62" s="865" t="e">
        <f t="shared" si="3"/>
        <v>#VALUE!</v>
      </c>
      <c r="J62" s="865">
        <f>SUM($H$19:$H62)</f>
        <v>0</v>
      </c>
    </row>
    <row r="63" spans="1:10">
      <c r="A63" s="863" t="str">
        <f t="shared" si="4"/>
        <v/>
      </c>
      <c r="B63" s="864" t="str">
        <f t="shared" si="0"/>
        <v/>
      </c>
      <c r="C63" s="865" t="str">
        <f t="shared" si="5"/>
        <v/>
      </c>
      <c r="D63" s="865" t="str">
        <f t="shared" si="8"/>
        <v/>
      </c>
      <c r="E63" s="866" t="e">
        <f t="shared" si="1"/>
        <v>#VALUE!</v>
      </c>
      <c r="F63" s="865" t="e">
        <f t="shared" si="2"/>
        <v>#VALUE!</v>
      </c>
      <c r="G63" s="865" t="str">
        <f t="shared" si="6"/>
        <v/>
      </c>
      <c r="H63" s="865" t="str">
        <f t="shared" si="7"/>
        <v/>
      </c>
      <c r="I63" s="865" t="e">
        <f t="shared" si="3"/>
        <v>#VALUE!</v>
      </c>
      <c r="J63" s="865">
        <f>SUM($H$19:$H63)</f>
        <v>0</v>
      </c>
    </row>
    <row r="64" spans="1:10">
      <c r="A64" s="863" t="str">
        <f t="shared" si="4"/>
        <v/>
      </c>
      <c r="B64" s="864" t="str">
        <f t="shared" si="0"/>
        <v/>
      </c>
      <c r="C64" s="865" t="str">
        <f t="shared" si="5"/>
        <v/>
      </c>
      <c r="D64" s="865" t="str">
        <f t="shared" si="8"/>
        <v/>
      </c>
      <c r="E64" s="866" t="e">
        <f t="shared" si="1"/>
        <v>#VALUE!</v>
      </c>
      <c r="F64" s="865" t="e">
        <f t="shared" si="2"/>
        <v>#VALUE!</v>
      </c>
      <c r="G64" s="865" t="str">
        <f t="shared" si="6"/>
        <v/>
      </c>
      <c r="H64" s="865" t="str">
        <f t="shared" si="7"/>
        <v/>
      </c>
      <c r="I64" s="865" t="e">
        <f t="shared" si="3"/>
        <v>#VALUE!</v>
      </c>
      <c r="J64" s="865">
        <f>SUM($H$19:$H64)</f>
        <v>0</v>
      </c>
    </row>
    <row r="65" spans="1:10">
      <c r="A65" s="863" t="str">
        <f t="shared" si="4"/>
        <v/>
      </c>
      <c r="B65" s="864" t="str">
        <f t="shared" si="0"/>
        <v/>
      </c>
      <c r="C65" s="865" t="str">
        <f t="shared" si="5"/>
        <v/>
      </c>
      <c r="D65" s="865" t="str">
        <f t="shared" si="8"/>
        <v/>
      </c>
      <c r="E65" s="866" t="e">
        <f t="shared" si="1"/>
        <v>#VALUE!</v>
      </c>
      <c r="F65" s="865" t="e">
        <f t="shared" si="2"/>
        <v>#VALUE!</v>
      </c>
      <c r="G65" s="865" t="str">
        <f t="shared" si="6"/>
        <v/>
      </c>
      <c r="H65" s="865" t="str">
        <f t="shared" si="7"/>
        <v/>
      </c>
      <c r="I65" s="865" t="e">
        <f t="shared" si="3"/>
        <v>#VALUE!</v>
      </c>
      <c r="J65" s="865">
        <f>SUM($H$19:$H65)</f>
        <v>0</v>
      </c>
    </row>
    <row r="66" spans="1:10">
      <c r="A66" s="863" t="str">
        <f t="shared" si="4"/>
        <v/>
      </c>
      <c r="B66" s="864" t="str">
        <f t="shared" si="0"/>
        <v/>
      </c>
      <c r="C66" s="865" t="str">
        <f t="shared" si="5"/>
        <v/>
      </c>
      <c r="D66" s="865" t="str">
        <f t="shared" si="8"/>
        <v/>
      </c>
      <c r="E66" s="866" t="e">
        <f t="shared" si="1"/>
        <v>#VALUE!</v>
      </c>
      <c r="F66" s="865" t="e">
        <f t="shared" si="2"/>
        <v>#VALUE!</v>
      </c>
      <c r="G66" s="865" t="str">
        <f t="shared" si="6"/>
        <v/>
      </c>
      <c r="H66" s="865" t="str">
        <f t="shared" si="7"/>
        <v/>
      </c>
      <c r="I66" s="865" t="e">
        <f t="shared" si="3"/>
        <v>#VALUE!</v>
      </c>
      <c r="J66" s="865">
        <f>SUM($H$19:$H66)</f>
        <v>0</v>
      </c>
    </row>
    <row r="67" spans="1:10">
      <c r="A67" s="863" t="str">
        <f t="shared" si="4"/>
        <v/>
      </c>
      <c r="B67" s="864" t="str">
        <f t="shared" si="0"/>
        <v/>
      </c>
      <c r="C67" s="865" t="str">
        <f t="shared" si="5"/>
        <v/>
      </c>
      <c r="D67" s="865" t="str">
        <f t="shared" si="8"/>
        <v/>
      </c>
      <c r="E67" s="866" t="e">
        <f t="shared" si="1"/>
        <v>#VALUE!</v>
      </c>
      <c r="F67" s="865" t="e">
        <f t="shared" si="2"/>
        <v>#VALUE!</v>
      </c>
      <c r="G67" s="865" t="str">
        <f t="shared" si="6"/>
        <v/>
      </c>
      <c r="H67" s="865" t="str">
        <f t="shared" si="7"/>
        <v/>
      </c>
      <c r="I67" s="865" t="e">
        <f t="shared" si="3"/>
        <v>#VALUE!</v>
      </c>
      <c r="J67" s="865">
        <f>SUM($H$19:$H67)</f>
        <v>0</v>
      </c>
    </row>
    <row r="68" spans="1:10">
      <c r="A68" s="863" t="str">
        <f t="shared" si="4"/>
        <v/>
      </c>
      <c r="B68" s="864" t="str">
        <f t="shared" si="0"/>
        <v/>
      </c>
      <c r="C68" s="865" t="str">
        <f t="shared" si="5"/>
        <v/>
      </c>
      <c r="D68" s="865" t="str">
        <f t="shared" si="8"/>
        <v/>
      </c>
      <c r="E68" s="866" t="e">
        <f t="shared" si="1"/>
        <v>#VALUE!</v>
      </c>
      <c r="F68" s="865" t="e">
        <f t="shared" si="2"/>
        <v>#VALUE!</v>
      </c>
      <c r="G68" s="865" t="str">
        <f t="shared" si="6"/>
        <v/>
      </c>
      <c r="H68" s="865" t="str">
        <f t="shared" si="7"/>
        <v/>
      </c>
      <c r="I68" s="865" t="e">
        <f t="shared" si="3"/>
        <v>#VALUE!</v>
      </c>
      <c r="J68" s="865">
        <f>SUM($H$19:$H68)</f>
        <v>0</v>
      </c>
    </row>
    <row r="69" spans="1:10">
      <c r="A69" s="863" t="str">
        <f t="shared" si="4"/>
        <v/>
      </c>
      <c r="B69" s="864" t="str">
        <f t="shared" si="0"/>
        <v/>
      </c>
      <c r="C69" s="865" t="str">
        <f t="shared" si="5"/>
        <v/>
      </c>
      <c r="D69" s="865" t="str">
        <f t="shared" si="8"/>
        <v/>
      </c>
      <c r="E69" s="866" t="e">
        <f t="shared" si="1"/>
        <v>#VALUE!</v>
      </c>
      <c r="F69" s="865" t="e">
        <f t="shared" si="2"/>
        <v>#VALUE!</v>
      </c>
      <c r="G69" s="865" t="str">
        <f t="shared" si="6"/>
        <v/>
      </c>
      <c r="H69" s="865" t="str">
        <f t="shared" si="7"/>
        <v/>
      </c>
      <c r="I69" s="865" t="e">
        <f t="shared" si="3"/>
        <v>#VALUE!</v>
      </c>
      <c r="J69" s="865">
        <f>SUM($H$19:$H69)</f>
        <v>0</v>
      </c>
    </row>
    <row r="70" spans="1:10">
      <c r="A70" s="863" t="str">
        <f t="shared" si="4"/>
        <v/>
      </c>
      <c r="B70" s="864" t="str">
        <f t="shared" si="0"/>
        <v/>
      </c>
      <c r="C70" s="865" t="str">
        <f t="shared" si="5"/>
        <v/>
      </c>
      <c r="D70" s="865" t="str">
        <f t="shared" si="8"/>
        <v/>
      </c>
      <c r="E70" s="866" t="e">
        <f t="shared" si="1"/>
        <v>#VALUE!</v>
      </c>
      <c r="F70" s="865" t="e">
        <f t="shared" si="2"/>
        <v>#VALUE!</v>
      </c>
      <c r="G70" s="865" t="str">
        <f t="shared" si="6"/>
        <v/>
      </c>
      <c r="H70" s="865" t="str">
        <f t="shared" si="7"/>
        <v/>
      </c>
      <c r="I70" s="865" t="e">
        <f t="shared" si="3"/>
        <v>#VALUE!</v>
      </c>
      <c r="J70" s="865">
        <f>SUM($H$19:$H70)</f>
        <v>0</v>
      </c>
    </row>
    <row r="71" spans="1:10">
      <c r="A71" s="863" t="str">
        <f t="shared" si="4"/>
        <v/>
      </c>
      <c r="B71" s="864" t="str">
        <f t="shared" si="0"/>
        <v/>
      </c>
      <c r="C71" s="865" t="str">
        <f t="shared" si="5"/>
        <v/>
      </c>
      <c r="D71" s="865" t="str">
        <f t="shared" si="8"/>
        <v/>
      </c>
      <c r="E71" s="866" t="e">
        <f t="shared" si="1"/>
        <v>#VALUE!</v>
      </c>
      <c r="F71" s="865" t="e">
        <f t="shared" si="2"/>
        <v>#VALUE!</v>
      </c>
      <c r="G71" s="865" t="str">
        <f t="shared" si="6"/>
        <v/>
      </c>
      <c r="H71" s="865" t="str">
        <f t="shared" si="7"/>
        <v/>
      </c>
      <c r="I71" s="865" t="e">
        <f t="shared" si="3"/>
        <v>#VALUE!</v>
      </c>
      <c r="J71" s="865">
        <f>SUM($H$19:$H71)</f>
        <v>0</v>
      </c>
    </row>
    <row r="72" spans="1:10">
      <c r="A72" s="863" t="str">
        <f t="shared" si="4"/>
        <v/>
      </c>
      <c r="B72" s="864" t="str">
        <f t="shared" si="0"/>
        <v/>
      </c>
      <c r="C72" s="865" t="str">
        <f t="shared" si="5"/>
        <v/>
      </c>
      <c r="D72" s="865" t="str">
        <f t="shared" si="8"/>
        <v/>
      </c>
      <c r="E72" s="866" t="e">
        <f t="shared" si="1"/>
        <v>#VALUE!</v>
      </c>
      <c r="F72" s="865" t="e">
        <f t="shared" si="2"/>
        <v>#VALUE!</v>
      </c>
      <c r="G72" s="865" t="str">
        <f t="shared" si="6"/>
        <v/>
      </c>
      <c r="H72" s="865" t="str">
        <f t="shared" si="7"/>
        <v/>
      </c>
      <c r="I72" s="865" t="e">
        <f t="shared" si="3"/>
        <v>#VALUE!</v>
      </c>
      <c r="J72" s="865">
        <f>SUM($H$19:$H72)</f>
        <v>0</v>
      </c>
    </row>
    <row r="73" spans="1:10">
      <c r="A73" s="863" t="str">
        <f t="shared" si="4"/>
        <v/>
      </c>
      <c r="B73" s="864" t="str">
        <f t="shared" si="0"/>
        <v/>
      </c>
      <c r="C73" s="865" t="str">
        <f t="shared" si="5"/>
        <v/>
      </c>
      <c r="D73" s="865" t="str">
        <f t="shared" si="8"/>
        <v/>
      </c>
      <c r="E73" s="866" t="e">
        <f t="shared" si="1"/>
        <v>#VALUE!</v>
      </c>
      <c r="F73" s="865" t="e">
        <f t="shared" si="2"/>
        <v>#VALUE!</v>
      </c>
      <c r="G73" s="865" t="str">
        <f t="shared" si="6"/>
        <v/>
      </c>
      <c r="H73" s="865" t="str">
        <f t="shared" si="7"/>
        <v/>
      </c>
      <c r="I73" s="865" t="e">
        <f t="shared" si="3"/>
        <v>#VALUE!</v>
      </c>
      <c r="J73" s="865">
        <f>SUM($H$19:$H73)</f>
        <v>0</v>
      </c>
    </row>
    <row r="74" spans="1:10">
      <c r="A74" s="863" t="str">
        <f t="shared" si="4"/>
        <v/>
      </c>
      <c r="B74" s="864" t="str">
        <f t="shared" si="0"/>
        <v/>
      </c>
      <c r="C74" s="865" t="str">
        <f t="shared" si="5"/>
        <v/>
      </c>
      <c r="D74" s="865" t="str">
        <f t="shared" si="8"/>
        <v/>
      </c>
      <c r="E74" s="866" t="e">
        <f t="shared" si="1"/>
        <v>#VALUE!</v>
      </c>
      <c r="F74" s="865" t="e">
        <f t="shared" si="2"/>
        <v>#VALUE!</v>
      </c>
      <c r="G74" s="865" t="str">
        <f t="shared" si="6"/>
        <v/>
      </c>
      <c r="H74" s="865" t="str">
        <f t="shared" si="7"/>
        <v/>
      </c>
      <c r="I74" s="865" t="e">
        <f t="shared" si="3"/>
        <v>#VALUE!</v>
      </c>
      <c r="J74" s="865">
        <f>SUM($H$19:$H74)</f>
        <v>0</v>
      </c>
    </row>
    <row r="75" spans="1:10">
      <c r="A75" s="863" t="str">
        <f t="shared" si="4"/>
        <v/>
      </c>
      <c r="B75" s="864" t="str">
        <f t="shared" si="0"/>
        <v/>
      </c>
      <c r="C75" s="865" t="str">
        <f t="shared" si="5"/>
        <v/>
      </c>
      <c r="D75" s="865" t="str">
        <f t="shared" si="8"/>
        <v/>
      </c>
      <c r="E75" s="866" t="e">
        <f t="shared" si="1"/>
        <v>#VALUE!</v>
      </c>
      <c r="F75" s="865" t="e">
        <f t="shared" si="2"/>
        <v>#VALUE!</v>
      </c>
      <c r="G75" s="865" t="str">
        <f t="shared" si="6"/>
        <v/>
      </c>
      <c r="H75" s="865" t="str">
        <f t="shared" si="7"/>
        <v/>
      </c>
      <c r="I75" s="865" t="e">
        <f t="shared" si="3"/>
        <v>#VALUE!</v>
      </c>
      <c r="J75" s="865">
        <f>SUM($H$19:$H75)</f>
        <v>0</v>
      </c>
    </row>
    <row r="76" spans="1:10">
      <c r="A76" s="863" t="str">
        <f t="shared" si="4"/>
        <v/>
      </c>
      <c r="B76" s="864" t="str">
        <f t="shared" si="0"/>
        <v/>
      </c>
      <c r="C76" s="865" t="str">
        <f t="shared" si="5"/>
        <v/>
      </c>
      <c r="D76" s="865" t="str">
        <f t="shared" si="8"/>
        <v/>
      </c>
      <c r="E76" s="866" t="e">
        <f t="shared" si="1"/>
        <v>#VALUE!</v>
      </c>
      <c r="F76" s="865" t="e">
        <f t="shared" si="2"/>
        <v>#VALUE!</v>
      </c>
      <c r="G76" s="865" t="str">
        <f t="shared" si="6"/>
        <v/>
      </c>
      <c r="H76" s="865" t="str">
        <f t="shared" si="7"/>
        <v/>
      </c>
      <c r="I76" s="865" t="e">
        <f t="shared" si="3"/>
        <v>#VALUE!</v>
      </c>
      <c r="J76" s="865">
        <f>SUM($H$19:$H76)</f>
        <v>0</v>
      </c>
    </row>
    <row r="77" spans="1:10">
      <c r="A77" s="863" t="str">
        <f t="shared" si="4"/>
        <v/>
      </c>
      <c r="B77" s="864" t="str">
        <f t="shared" si="0"/>
        <v/>
      </c>
      <c r="C77" s="865" t="str">
        <f t="shared" si="5"/>
        <v/>
      </c>
      <c r="D77" s="865" t="str">
        <f t="shared" si="8"/>
        <v/>
      </c>
      <c r="E77" s="866" t="e">
        <f t="shared" si="1"/>
        <v>#VALUE!</v>
      </c>
      <c r="F77" s="865" t="e">
        <f t="shared" si="2"/>
        <v>#VALUE!</v>
      </c>
      <c r="G77" s="865" t="str">
        <f t="shared" si="6"/>
        <v/>
      </c>
      <c r="H77" s="865" t="str">
        <f t="shared" si="7"/>
        <v/>
      </c>
      <c r="I77" s="865" t="e">
        <f t="shared" si="3"/>
        <v>#VALUE!</v>
      </c>
      <c r="J77" s="865">
        <f>SUM($H$19:$H77)</f>
        <v>0</v>
      </c>
    </row>
    <row r="78" spans="1:10">
      <c r="A78" s="863" t="str">
        <f t="shared" si="4"/>
        <v/>
      </c>
      <c r="B78" s="864" t="str">
        <f t="shared" si="0"/>
        <v/>
      </c>
      <c r="C78" s="865" t="str">
        <f t="shared" si="5"/>
        <v/>
      </c>
      <c r="D78" s="865" t="str">
        <f t="shared" si="8"/>
        <v/>
      </c>
      <c r="E78" s="866" t="e">
        <f t="shared" si="1"/>
        <v>#VALUE!</v>
      </c>
      <c r="F78" s="865" t="e">
        <f t="shared" si="2"/>
        <v>#VALUE!</v>
      </c>
      <c r="G78" s="865" t="str">
        <f t="shared" si="6"/>
        <v/>
      </c>
      <c r="H78" s="865" t="str">
        <f t="shared" si="7"/>
        <v/>
      </c>
      <c r="I78" s="865" t="e">
        <f t="shared" si="3"/>
        <v>#VALUE!</v>
      </c>
      <c r="J78" s="865">
        <f>SUM($H$19:$H78)</f>
        <v>0</v>
      </c>
    </row>
    <row r="79" spans="1:10">
      <c r="A79" s="863" t="str">
        <f t="shared" si="4"/>
        <v/>
      </c>
      <c r="B79" s="864" t="str">
        <f t="shared" si="0"/>
        <v/>
      </c>
      <c r="C79" s="865" t="str">
        <f t="shared" si="5"/>
        <v/>
      </c>
      <c r="D79" s="865" t="str">
        <f t="shared" si="8"/>
        <v/>
      </c>
      <c r="E79" s="866" t="e">
        <f t="shared" si="1"/>
        <v>#VALUE!</v>
      </c>
      <c r="F79" s="865" t="e">
        <f t="shared" si="2"/>
        <v>#VALUE!</v>
      </c>
      <c r="G79" s="865" t="str">
        <f t="shared" si="6"/>
        <v/>
      </c>
      <c r="H79" s="865" t="str">
        <f t="shared" si="7"/>
        <v/>
      </c>
      <c r="I79" s="865" t="e">
        <f t="shared" si="3"/>
        <v>#VALUE!</v>
      </c>
      <c r="J79" s="865">
        <f>SUM($H$19:$H79)</f>
        <v>0</v>
      </c>
    </row>
    <row r="80" spans="1:10">
      <c r="A80" s="863" t="str">
        <f t="shared" si="4"/>
        <v/>
      </c>
      <c r="B80" s="864" t="str">
        <f t="shared" si="0"/>
        <v/>
      </c>
      <c r="C80" s="865" t="str">
        <f t="shared" si="5"/>
        <v/>
      </c>
      <c r="D80" s="865" t="str">
        <f t="shared" si="8"/>
        <v/>
      </c>
      <c r="E80" s="866" t="e">
        <f t="shared" si="1"/>
        <v>#VALUE!</v>
      </c>
      <c r="F80" s="865" t="e">
        <f t="shared" si="2"/>
        <v>#VALUE!</v>
      </c>
      <c r="G80" s="865" t="str">
        <f t="shared" si="6"/>
        <v/>
      </c>
      <c r="H80" s="865" t="str">
        <f t="shared" si="7"/>
        <v/>
      </c>
      <c r="I80" s="865" t="e">
        <f t="shared" si="3"/>
        <v>#VALUE!</v>
      </c>
      <c r="J80" s="865">
        <f>SUM($H$19:$H80)</f>
        <v>0</v>
      </c>
    </row>
    <row r="81" spans="1:10">
      <c r="A81" s="863" t="str">
        <f t="shared" si="4"/>
        <v/>
      </c>
      <c r="B81" s="864" t="str">
        <f t="shared" si="0"/>
        <v/>
      </c>
      <c r="C81" s="865" t="str">
        <f t="shared" si="5"/>
        <v/>
      </c>
      <c r="D81" s="865" t="str">
        <f t="shared" si="8"/>
        <v/>
      </c>
      <c r="E81" s="866" t="e">
        <f t="shared" si="1"/>
        <v>#VALUE!</v>
      </c>
      <c r="F81" s="865" t="e">
        <f t="shared" si="2"/>
        <v>#VALUE!</v>
      </c>
      <c r="G81" s="865" t="str">
        <f t="shared" si="6"/>
        <v/>
      </c>
      <c r="H81" s="865" t="str">
        <f t="shared" si="7"/>
        <v/>
      </c>
      <c r="I81" s="865" t="e">
        <f t="shared" si="3"/>
        <v>#VALUE!</v>
      </c>
      <c r="J81" s="865">
        <f>SUM($H$19:$H81)</f>
        <v>0</v>
      </c>
    </row>
    <row r="82" spans="1:10">
      <c r="A82" s="863" t="str">
        <f t="shared" si="4"/>
        <v/>
      </c>
      <c r="B82" s="864" t="str">
        <f t="shared" si="0"/>
        <v/>
      </c>
      <c r="C82" s="865" t="str">
        <f t="shared" si="5"/>
        <v/>
      </c>
      <c r="D82" s="865" t="str">
        <f t="shared" si="8"/>
        <v/>
      </c>
      <c r="E82" s="866" t="e">
        <f t="shared" si="1"/>
        <v>#VALUE!</v>
      </c>
      <c r="F82" s="865" t="e">
        <f t="shared" si="2"/>
        <v>#VALUE!</v>
      </c>
      <c r="G82" s="865" t="str">
        <f t="shared" si="6"/>
        <v/>
      </c>
      <c r="H82" s="865" t="str">
        <f t="shared" si="7"/>
        <v/>
      </c>
      <c r="I82" s="865" t="e">
        <f t="shared" si="3"/>
        <v>#VALUE!</v>
      </c>
      <c r="J82" s="865">
        <f>SUM($H$19:$H82)</f>
        <v>0</v>
      </c>
    </row>
    <row r="83" spans="1:10">
      <c r="A83" s="863" t="str">
        <f t="shared" si="4"/>
        <v/>
      </c>
      <c r="B83" s="864" t="str">
        <f t="shared" ref="B83:B146" si="9">IF(Pay_Num&lt;&gt;"",DATE(YEAR(Loan_Start),MONTH(Loan_Start)+(Pay_Num)*12/Num_Pmt_Per_Year,DAY(Loan_Start)),"")</f>
        <v/>
      </c>
      <c r="C83" s="865" t="str">
        <f t="shared" si="5"/>
        <v/>
      </c>
      <c r="D83" s="865" t="str">
        <f t="shared" si="8"/>
        <v/>
      </c>
      <c r="E83" s="866" t="e">
        <f t="shared" ref="E83:E146" si="10">IF(AND(Pay_Num&lt;&gt;"",Sched_Pay+Scheduled_Extra_Payments&lt;Beg_Bal),Scheduled_Extra_Payments,IF(AND(Pay_Num&lt;&gt;"",Beg_Bal-Sched_Pay&gt;0),Beg_Bal-Sched_Pay,IF(Pay_Num&lt;&gt;"",0,"")))</f>
        <v>#VALUE!</v>
      </c>
      <c r="F83" s="865" t="e">
        <f t="shared" ref="F83:F146" si="11">IF(AND(Pay_Num&lt;&gt;"",Sched_Pay+Extra_Pay&lt;Beg_Bal),Sched_Pay+Extra_Pay,IF(Pay_Num&lt;&gt;"",Beg_Bal,""))</f>
        <v>#VALUE!</v>
      </c>
      <c r="G83" s="865" t="str">
        <f t="shared" si="6"/>
        <v/>
      </c>
      <c r="H83" s="865" t="str">
        <f t="shared" si="7"/>
        <v/>
      </c>
      <c r="I83" s="865" t="e">
        <f t="shared" ref="I83:I146" si="12">IF(AND(Pay_Num&lt;&gt;"",Sched_Pay+Extra_Pay&lt;Beg_Bal),Beg_Bal-Princ,IF(Pay_Num&lt;&gt;"",0,""))</f>
        <v>#VALUE!</v>
      </c>
      <c r="J83" s="865">
        <f>SUM($H$19:$H83)</f>
        <v>0</v>
      </c>
    </row>
    <row r="84" spans="1:10">
      <c r="A84" s="863" t="str">
        <f t="shared" ref="A84:A147" si="13">IF(Values_Entered,A83+1,"")</f>
        <v/>
      </c>
      <c r="B84" s="864" t="str">
        <f t="shared" si="9"/>
        <v/>
      </c>
      <c r="C84" s="865" t="str">
        <f t="shared" ref="C84:C147" si="14">IF(Pay_Num&lt;&gt;"",I83,"")</f>
        <v/>
      </c>
      <c r="D84" s="865" t="str">
        <f t="shared" si="8"/>
        <v/>
      </c>
      <c r="E84" s="866" t="e">
        <f t="shared" si="10"/>
        <v>#VALUE!</v>
      </c>
      <c r="F84" s="865" t="e">
        <f t="shared" si="11"/>
        <v>#VALUE!</v>
      </c>
      <c r="G84" s="865" t="str">
        <f t="shared" ref="G84:G147" si="15">IF(Pay_Num&lt;&gt;"",Total_Pay-Int,"")</f>
        <v/>
      </c>
      <c r="H84" s="865" t="str">
        <f t="shared" ref="H84:H147" si="16">IF(Pay_Num&lt;&gt;"",Beg_Bal*Interest_Rate/Num_Pmt_Per_Year,"")</f>
        <v/>
      </c>
      <c r="I84" s="865" t="e">
        <f t="shared" si="12"/>
        <v>#VALUE!</v>
      </c>
      <c r="J84" s="865">
        <f>SUM($H$19:$H84)</f>
        <v>0</v>
      </c>
    </row>
    <row r="85" spans="1:10">
      <c r="A85" s="863" t="str">
        <f t="shared" si="13"/>
        <v/>
      </c>
      <c r="B85" s="864" t="str">
        <f t="shared" si="9"/>
        <v/>
      </c>
      <c r="C85" s="865" t="str">
        <f t="shared" si="14"/>
        <v/>
      </c>
      <c r="D85" s="865" t="str">
        <f t="shared" ref="D85:D148" si="17">IF(Pay_Num&lt;&gt;"",Scheduled_Monthly_Payment,"")</f>
        <v/>
      </c>
      <c r="E85" s="866" t="e">
        <f t="shared" si="10"/>
        <v>#VALUE!</v>
      </c>
      <c r="F85" s="865" t="e">
        <f t="shared" si="11"/>
        <v>#VALUE!</v>
      </c>
      <c r="G85" s="865" t="str">
        <f t="shared" si="15"/>
        <v/>
      </c>
      <c r="H85" s="865" t="str">
        <f t="shared" si="16"/>
        <v/>
      </c>
      <c r="I85" s="865" t="e">
        <f t="shared" si="12"/>
        <v>#VALUE!</v>
      </c>
      <c r="J85" s="865">
        <f>SUM($H$19:$H85)</f>
        <v>0</v>
      </c>
    </row>
    <row r="86" spans="1:10">
      <c r="A86" s="863" t="str">
        <f t="shared" si="13"/>
        <v/>
      </c>
      <c r="B86" s="864" t="str">
        <f t="shared" si="9"/>
        <v/>
      </c>
      <c r="C86" s="865" t="str">
        <f t="shared" si="14"/>
        <v/>
      </c>
      <c r="D86" s="865" t="str">
        <f t="shared" si="17"/>
        <v/>
      </c>
      <c r="E86" s="866" t="e">
        <f t="shared" si="10"/>
        <v>#VALUE!</v>
      </c>
      <c r="F86" s="865" t="e">
        <f t="shared" si="11"/>
        <v>#VALUE!</v>
      </c>
      <c r="G86" s="865" t="str">
        <f t="shared" si="15"/>
        <v/>
      </c>
      <c r="H86" s="865" t="str">
        <f t="shared" si="16"/>
        <v/>
      </c>
      <c r="I86" s="865" t="e">
        <f t="shared" si="12"/>
        <v>#VALUE!</v>
      </c>
      <c r="J86" s="865">
        <f>SUM($H$19:$H86)</f>
        <v>0</v>
      </c>
    </row>
    <row r="87" spans="1:10">
      <c r="A87" s="863" t="str">
        <f t="shared" si="13"/>
        <v/>
      </c>
      <c r="B87" s="864" t="str">
        <f t="shared" si="9"/>
        <v/>
      </c>
      <c r="C87" s="865" t="str">
        <f t="shared" si="14"/>
        <v/>
      </c>
      <c r="D87" s="865" t="str">
        <f t="shared" si="17"/>
        <v/>
      </c>
      <c r="E87" s="866" t="e">
        <f t="shared" si="10"/>
        <v>#VALUE!</v>
      </c>
      <c r="F87" s="865" t="e">
        <f t="shared" si="11"/>
        <v>#VALUE!</v>
      </c>
      <c r="G87" s="865" t="str">
        <f t="shared" si="15"/>
        <v/>
      </c>
      <c r="H87" s="865" t="str">
        <f t="shared" si="16"/>
        <v/>
      </c>
      <c r="I87" s="865" t="e">
        <f t="shared" si="12"/>
        <v>#VALUE!</v>
      </c>
      <c r="J87" s="865">
        <f>SUM($H$19:$H87)</f>
        <v>0</v>
      </c>
    </row>
    <row r="88" spans="1:10">
      <c r="A88" s="863" t="str">
        <f t="shared" si="13"/>
        <v/>
      </c>
      <c r="B88" s="864" t="str">
        <f t="shared" si="9"/>
        <v/>
      </c>
      <c r="C88" s="865" t="str">
        <f t="shared" si="14"/>
        <v/>
      </c>
      <c r="D88" s="865" t="str">
        <f t="shared" si="17"/>
        <v/>
      </c>
      <c r="E88" s="866" t="e">
        <f t="shared" si="10"/>
        <v>#VALUE!</v>
      </c>
      <c r="F88" s="865" t="e">
        <f t="shared" si="11"/>
        <v>#VALUE!</v>
      </c>
      <c r="G88" s="865" t="str">
        <f t="shared" si="15"/>
        <v/>
      </c>
      <c r="H88" s="865" t="str">
        <f t="shared" si="16"/>
        <v/>
      </c>
      <c r="I88" s="865" t="e">
        <f t="shared" si="12"/>
        <v>#VALUE!</v>
      </c>
      <c r="J88" s="865">
        <f>SUM($H$19:$H88)</f>
        <v>0</v>
      </c>
    </row>
    <row r="89" spans="1:10">
      <c r="A89" s="863" t="str">
        <f t="shared" si="13"/>
        <v/>
      </c>
      <c r="B89" s="864" t="str">
        <f t="shared" si="9"/>
        <v/>
      </c>
      <c r="C89" s="865" t="str">
        <f t="shared" si="14"/>
        <v/>
      </c>
      <c r="D89" s="865" t="str">
        <f t="shared" si="17"/>
        <v/>
      </c>
      <c r="E89" s="866" t="e">
        <f t="shared" si="10"/>
        <v>#VALUE!</v>
      </c>
      <c r="F89" s="865" t="e">
        <f t="shared" si="11"/>
        <v>#VALUE!</v>
      </c>
      <c r="G89" s="865" t="str">
        <f t="shared" si="15"/>
        <v/>
      </c>
      <c r="H89" s="865" t="str">
        <f t="shared" si="16"/>
        <v/>
      </c>
      <c r="I89" s="865" t="e">
        <f t="shared" si="12"/>
        <v>#VALUE!</v>
      </c>
      <c r="J89" s="865">
        <f>SUM($H$19:$H89)</f>
        <v>0</v>
      </c>
    </row>
    <row r="90" spans="1:10">
      <c r="A90" s="863" t="str">
        <f t="shared" si="13"/>
        <v/>
      </c>
      <c r="B90" s="864" t="str">
        <f t="shared" si="9"/>
        <v/>
      </c>
      <c r="C90" s="865" t="str">
        <f t="shared" si="14"/>
        <v/>
      </c>
      <c r="D90" s="865" t="str">
        <f t="shared" si="17"/>
        <v/>
      </c>
      <c r="E90" s="866" t="e">
        <f t="shared" si="10"/>
        <v>#VALUE!</v>
      </c>
      <c r="F90" s="865" t="e">
        <f t="shared" si="11"/>
        <v>#VALUE!</v>
      </c>
      <c r="G90" s="865" t="str">
        <f t="shared" si="15"/>
        <v/>
      </c>
      <c r="H90" s="865" t="str">
        <f t="shared" si="16"/>
        <v/>
      </c>
      <c r="I90" s="865" t="e">
        <f t="shared" si="12"/>
        <v>#VALUE!</v>
      </c>
      <c r="J90" s="865">
        <f>SUM($H$19:$H90)</f>
        <v>0</v>
      </c>
    </row>
    <row r="91" spans="1:10">
      <c r="A91" s="863" t="str">
        <f t="shared" si="13"/>
        <v/>
      </c>
      <c r="B91" s="864" t="str">
        <f t="shared" si="9"/>
        <v/>
      </c>
      <c r="C91" s="865" t="str">
        <f t="shared" si="14"/>
        <v/>
      </c>
      <c r="D91" s="865" t="str">
        <f t="shared" si="17"/>
        <v/>
      </c>
      <c r="E91" s="866" t="e">
        <f t="shared" si="10"/>
        <v>#VALUE!</v>
      </c>
      <c r="F91" s="865" t="e">
        <f t="shared" si="11"/>
        <v>#VALUE!</v>
      </c>
      <c r="G91" s="865" t="str">
        <f t="shared" si="15"/>
        <v/>
      </c>
      <c r="H91" s="865" t="str">
        <f t="shared" si="16"/>
        <v/>
      </c>
      <c r="I91" s="865" t="e">
        <f t="shared" si="12"/>
        <v>#VALUE!</v>
      </c>
      <c r="J91" s="865">
        <f>SUM($H$19:$H91)</f>
        <v>0</v>
      </c>
    </row>
    <row r="92" spans="1:10">
      <c r="A92" s="863" t="str">
        <f t="shared" si="13"/>
        <v/>
      </c>
      <c r="B92" s="864" t="str">
        <f t="shared" si="9"/>
        <v/>
      </c>
      <c r="C92" s="865" t="str">
        <f t="shared" si="14"/>
        <v/>
      </c>
      <c r="D92" s="865" t="str">
        <f t="shared" si="17"/>
        <v/>
      </c>
      <c r="E92" s="866" t="e">
        <f t="shared" si="10"/>
        <v>#VALUE!</v>
      </c>
      <c r="F92" s="865" t="e">
        <f t="shared" si="11"/>
        <v>#VALUE!</v>
      </c>
      <c r="G92" s="865" t="str">
        <f t="shared" si="15"/>
        <v/>
      </c>
      <c r="H92" s="865" t="str">
        <f t="shared" si="16"/>
        <v/>
      </c>
      <c r="I92" s="865" t="e">
        <f t="shared" si="12"/>
        <v>#VALUE!</v>
      </c>
      <c r="J92" s="865">
        <f>SUM($H$19:$H92)</f>
        <v>0</v>
      </c>
    </row>
    <row r="93" spans="1:10">
      <c r="A93" s="863" t="str">
        <f t="shared" si="13"/>
        <v/>
      </c>
      <c r="B93" s="864" t="str">
        <f t="shared" si="9"/>
        <v/>
      </c>
      <c r="C93" s="865" t="str">
        <f t="shared" si="14"/>
        <v/>
      </c>
      <c r="D93" s="865" t="str">
        <f t="shared" si="17"/>
        <v/>
      </c>
      <c r="E93" s="866" t="e">
        <f t="shared" si="10"/>
        <v>#VALUE!</v>
      </c>
      <c r="F93" s="865" t="e">
        <f t="shared" si="11"/>
        <v>#VALUE!</v>
      </c>
      <c r="G93" s="865" t="str">
        <f t="shared" si="15"/>
        <v/>
      </c>
      <c r="H93" s="865" t="str">
        <f t="shared" si="16"/>
        <v/>
      </c>
      <c r="I93" s="865" t="e">
        <f t="shared" si="12"/>
        <v>#VALUE!</v>
      </c>
      <c r="J93" s="865">
        <f>SUM($H$19:$H93)</f>
        <v>0</v>
      </c>
    </row>
    <row r="94" spans="1:10">
      <c r="A94" s="863" t="str">
        <f t="shared" si="13"/>
        <v/>
      </c>
      <c r="B94" s="864" t="str">
        <f t="shared" si="9"/>
        <v/>
      </c>
      <c r="C94" s="865" t="str">
        <f t="shared" si="14"/>
        <v/>
      </c>
      <c r="D94" s="865" t="str">
        <f t="shared" si="17"/>
        <v/>
      </c>
      <c r="E94" s="866" t="e">
        <f t="shared" si="10"/>
        <v>#VALUE!</v>
      </c>
      <c r="F94" s="865" t="e">
        <f t="shared" si="11"/>
        <v>#VALUE!</v>
      </c>
      <c r="G94" s="865" t="str">
        <f t="shared" si="15"/>
        <v/>
      </c>
      <c r="H94" s="865" t="str">
        <f t="shared" si="16"/>
        <v/>
      </c>
      <c r="I94" s="865" t="e">
        <f t="shared" si="12"/>
        <v>#VALUE!</v>
      </c>
      <c r="J94" s="865">
        <f>SUM($H$19:$H94)</f>
        <v>0</v>
      </c>
    </row>
    <row r="95" spans="1:10">
      <c r="A95" s="863" t="str">
        <f t="shared" si="13"/>
        <v/>
      </c>
      <c r="B95" s="864" t="str">
        <f t="shared" si="9"/>
        <v/>
      </c>
      <c r="C95" s="865" t="str">
        <f t="shared" si="14"/>
        <v/>
      </c>
      <c r="D95" s="865" t="str">
        <f t="shared" si="17"/>
        <v/>
      </c>
      <c r="E95" s="866" t="e">
        <f t="shared" si="10"/>
        <v>#VALUE!</v>
      </c>
      <c r="F95" s="865" t="e">
        <f t="shared" si="11"/>
        <v>#VALUE!</v>
      </c>
      <c r="G95" s="865" t="str">
        <f t="shared" si="15"/>
        <v/>
      </c>
      <c r="H95" s="865" t="str">
        <f t="shared" si="16"/>
        <v/>
      </c>
      <c r="I95" s="865" t="e">
        <f t="shared" si="12"/>
        <v>#VALUE!</v>
      </c>
      <c r="J95" s="865">
        <f>SUM($H$19:$H95)</f>
        <v>0</v>
      </c>
    </row>
    <row r="96" spans="1:10">
      <c r="A96" s="863" t="str">
        <f t="shared" si="13"/>
        <v/>
      </c>
      <c r="B96" s="864" t="str">
        <f t="shared" si="9"/>
        <v/>
      </c>
      <c r="C96" s="865" t="str">
        <f t="shared" si="14"/>
        <v/>
      </c>
      <c r="D96" s="865" t="str">
        <f t="shared" si="17"/>
        <v/>
      </c>
      <c r="E96" s="866" t="e">
        <f t="shared" si="10"/>
        <v>#VALUE!</v>
      </c>
      <c r="F96" s="865" t="e">
        <f t="shared" si="11"/>
        <v>#VALUE!</v>
      </c>
      <c r="G96" s="865" t="str">
        <f t="shared" si="15"/>
        <v/>
      </c>
      <c r="H96" s="865" t="str">
        <f t="shared" si="16"/>
        <v/>
      </c>
      <c r="I96" s="865" t="e">
        <f t="shared" si="12"/>
        <v>#VALUE!</v>
      </c>
      <c r="J96" s="865">
        <f>SUM($H$19:$H96)</f>
        <v>0</v>
      </c>
    </row>
    <row r="97" spans="1:10">
      <c r="A97" s="863" t="str">
        <f t="shared" si="13"/>
        <v/>
      </c>
      <c r="B97" s="864" t="str">
        <f t="shared" si="9"/>
        <v/>
      </c>
      <c r="C97" s="865" t="str">
        <f t="shared" si="14"/>
        <v/>
      </c>
      <c r="D97" s="865" t="str">
        <f t="shared" si="17"/>
        <v/>
      </c>
      <c r="E97" s="866" t="e">
        <f t="shared" si="10"/>
        <v>#VALUE!</v>
      </c>
      <c r="F97" s="865" t="e">
        <f t="shared" si="11"/>
        <v>#VALUE!</v>
      </c>
      <c r="G97" s="865" t="str">
        <f t="shared" si="15"/>
        <v/>
      </c>
      <c r="H97" s="865" t="str">
        <f t="shared" si="16"/>
        <v/>
      </c>
      <c r="I97" s="865" t="e">
        <f t="shared" si="12"/>
        <v>#VALUE!</v>
      </c>
      <c r="J97" s="865">
        <f>SUM($H$19:$H97)</f>
        <v>0</v>
      </c>
    </row>
    <row r="98" spans="1:10">
      <c r="A98" s="863" t="str">
        <f t="shared" si="13"/>
        <v/>
      </c>
      <c r="B98" s="864" t="str">
        <f t="shared" si="9"/>
        <v/>
      </c>
      <c r="C98" s="865" t="str">
        <f t="shared" si="14"/>
        <v/>
      </c>
      <c r="D98" s="865" t="str">
        <f t="shared" si="17"/>
        <v/>
      </c>
      <c r="E98" s="866" t="e">
        <f t="shared" si="10"/>
        <v>#VALUE!</v>
      </c>
      <c r="F98" s="865" t="e">
        <f t="shared" si="11"/>
        <v>#VALUE!</v>
      </c>
      <c r="G98" s="865" t="str">
        <f t="shared" si="15"/>
        <v/>
      </c>
      <c r="H98" s="865" t="str">
        <f t="shared" si="16"/>
        <v/>
      </c>
      <c r="I98" s="865" t="e">
        <f t="shared" si="12"/>
        <v>#VALUE!</v>
      </c>
      <c r="J98" s="865">
        <f>SUM($H$19:$H98)</f>
        <v>0</v>
      </c>
    </row>
    <row r="99" spans="1:10">
      <c r="A99" s="863" t="str">
        <f t="shared" si="13"/>
        <v/>
      </c>
      <c r="B99" s="864" t="str">
        <f t="shared" si="9"/>
        <v/>
      </c>
      <c r="C99" s="865" t="str">
        <f t="shared" si="14"/>
        <v/>
      </c>
      <c r="D99" s="865" t="str">
        <f t="shared" si="17"/>
        <v/>
      </c>
      <c r="E99" s="866" t="e">
        <f t="shared" si="10"/>
        <v>#VALUE!</v>
      </c>
      <c r="F99" s="865" t="e">
        <f t="shared" si="11"/>
        <v>#VALUE!</v>
      </c>
      <c r="G99" s="865" t="str">
        <f t="shared" si="15"/>
        <v/>
      </c>
      <c r="H99" s="865" t="str">
        <f t="shared" si="16"/>
        <v/>
      </c>
      <c r="I99" s="865" t="e">
        <f t="shared" si="12"/>
        <v>#VALUE!</v>
      </c>
      <c r="J99" s="865">
        <f>SUM($H$19:$H99)</f>
        <v>0</v>
      </c>
    </row>
    <row r="100" spans="1:10">
      <c r="A100" s="863" t="str">
        <f t="shared" si="13"/>
        <v/>
      </c>
      <c r="B100" s="864" t="str">
        <f t="shared" si="9"/>
        <v/>
      </c>
      <c r="C100" s="865" t="str">
        <f t="shared" si="14"/>
        <v/>
      </c>
      <c r="D100" s="865" t="str">
        <f t="shared" si="17"/>
        <v/>
      </c>
      <c r="E100" s="866" t="e">
        <f t="shared" si="10"/>
        <v>#VALUE!</v>
      </c>
      <c r="F100" s="865" t="e">
        <f t="shared" si="11"/>
        <v>#VALUE!</v>
      </c>
      <c r="G100" s="865" t="str">
        <f t="shared" si="15"/>
        <v/>
      </c>
      <c r="H100" s="865" t="str">
        <f t="shared" si="16"/>
        <v/>
      </c>
      <c r="I100" s="865" t="e">
        <f t="shared" si="12"/>
        <v>#VALUE!</v>
      </c>
      <c r="J100" s="865">
        <f>SUM($H$19:$H100)</f>
        <v>0</v>
      </c>
    </row>
    <row r="101" spans="1:10">
      <c r="A101" s="863" t="str">
        <f t="shared" si="13"/>
        <v/>
      </c>
      <c r="B101" s="864" t="str">
        <f t="shared" si="9"/>
        <v/>
      </c>
      <c r="C101" s="865" t="str">
        <f t="shared" si="14"/>
        <v/>
      </c>
      <c r="D101" s="865" t="str">
        <f t="shared" si="17"/>
        <v/>
      </c>
      <c r="E101" s="866" t="e">
        <f t="shared" si="10"/>
        <v>#VALUE!</v>
      </c>
      <c r="F101" s="865" t="e">
        <f t="shared" si="11"/>
        <v>#VALUE!</v>
      </c>
      <c r="G101" s="865" t="str">
        <f t="shared" si="15"/>
        <v/>
      </c>
      <c r="H101" s="865" t="str">
        <f t="shared" si="16"/>
        <v/>
      </c>
      <c r="I101" s="865" t="e">
        <f t="shared" si="12"/>
        <v>#VALUE!</v>
      </c>
      <c r="J101" s="865">
        <f>SUM($H$19:$H101)</f>
        <v>0</v>
      </c>
    </row>
    <row r="102" spans="1:10">
      <c r="A102" s="863" t="str">
        <f t="shared" si="13"/>
        <v/>
      </c>
      <c r="B102" s="864" t="str">
        <f t="shared" si="9"/>
        <v/>
      </c>
      <c r="C102" s="865" t="str">
        <f t="shared" si="14"/>
        <v/>
      </c>
      <c r="D102" s="865" t="str">
        <f t="shared" si="17"/>
        <v/>
      </c>
      <c r="E102" s="866" t="e">
        <f t="shared" si="10"/>
        <v>#VALUE!</v>
      </c>
      <c r="F102" s="865" t="e">
        <f t="shared" si="11"/>
        <v>#VALUE!</v>
      </c>
      <c r="G102" s="865" t="str">
        <f t="shared" si="15"/>
        <v/>
      </c>
      <c r="H102" s="865" t="str">
        <f t="shared" si="16"/>
        <v/>
      </c>
      <c r="I102" s="865" t="e">
        <f t="shared" si="12"/>
        <v>#VALUE!</v>
      </c>
      <c r="J102" s="865">
        <f>SUM($H$19:$H102)</f>
        <v>0</v>
      </c>
    </row>
    <row r="103" spans="1:10">
      <c r="A103" s="863" t="str">
        <f t="shared" si="13"/>
        <v/>
      </c>
      <c r="B103" s="864" t="str">
        <f t="shared" si="9"/>
        <v/>
      </c>
      <c r="C103" s="865" t="str">
        <f t="shared" si="14"/>
        <v/>
      </c>
      <c r="D103" s="865" t="str">
        <f t="shared" si="17"/>
        <v/>
      </c>
      <c r="E103" s="866" t="e">
        <f t="shared" si="10"/>
        <v>#VALUE!</v>
      </c>
      <c r="F103" s="865" t="e">
        <f t="shared" si="11"/>
        <v>#VALUE!</v>
      </c>
      <c r="G103" s="865" t="str">
        <f t="shared" si="15"/>
        <v/>
      </c>
      <c r="H103" s="865" t="str">
        <f t="shared" si="16"/>
        <v/>
      </c>
      <c r="I103" s="865" t="e">
        <f t="shared" si="12"/>
        <v>#VALUE!</v>
      </c>
      <c r="J103" s="865">
        <f>SUM($H$19:$H103)</f>
        <v>0</v>
      </c>
    </row>
    <row r="104" spans="1:10">
      <c r="A104" s="863" t="str">
        <f t="shared" si="13"/>
        <v/>
      </c>
      <c r="B104" s="864" t="str">
        <f t="shared" si="9"/>
        <v/>
      </c>
      <c r="C104" s="865" t="str">
        <f t="shared" si="14"/>
        <v/>
      </c>
      <c r="D104" s="865" t="str">
        <f t="shared" si="17"/>
        <v/>
      </c>
      <c r="E104" s="866" t="e">
        <f t="shared" si="10"/>
        <v>#VALUE!</v>
      </c>
      <c r="F104" s="865" t="e">
        <f t="shared" si="11"/>
        <v>#VALUE!</v>
      </c>
      <c r="G104" s="865" t="str">
        <f t="shared" si="15"/>
        <v/>
      </c>
      <c r="H104" s="865" t="str">
        <f t="shared" si="16"/>
        <v/>
      </c>
      <c r="I104" s="865" t="e">
        <f t="shared" si="12"/>
        <v>#VALUE!</v>
      </c>
      <c r="J104" s="865">
        <f>SUM($H$19:$H104)</f>
        <v>0</v>
      </c>
    </row>
    <row r="105" spans="1:10">
      <c r="A105" s="863" t="str">
        <f t="shared" si="13"/>
        <v/>
      </c>
      <c r="B105" s="864" t="str">
        <f t="shared" si="9"/>
        <v/>
      </c>
      <c r="C105" s="865" t="str">
        <f t="shared" si="14"/>
        <v/>
      </c>
      <c r="D105" s="865" t="str">
        <f t="shared" si="17"/>
        <v/>
      </c>
      <c r="E105" s="866" t="e">
        <f t="shared" si="10"/>
        <v>#VALUE!</v>
      </c>
      <c r="F105" s="865" t="e">
        <f t="shared" si="11"/>
        <v>#VALUE!</v>
      </c>
      <c r="G105" s="865" t="str">
        <f t="shared" si="15"/>
        <v/>
      </c>
      <c r="H105" s="865" t="str">
        <f t="shared" si="16"/>
        <v/>
      </c>
      <c r="I105" s="865" t="e">
        <f t="shared" si="12"/>
        <v>#VALUE!</v>
      </c>
      <c r="J105" s="865">
        <f>SUM($H$19:$H105)</f>
        <v>0</v>
      </c>
    </row>
    <row r="106" spans="1:10">
      <c r="A106" s="863" t="str">
        <f t="shared" si="13"/>
        <v/>
      </c>
      <c r="B106" s="864" t="str">
        <f t="shared" si="9"/>
        <v/>
      </c>
      <c r="C106" s="865" t="str">
        <f t="shared" si="14"/>
        <v/>
      </c>
      <c r="D106" s="865" t="str">
        <f t="shared" si="17"/>
        <v/>
      </c>
      <c r="E106" s="866" t="e">
        <f t="shared" si="10"/>
        <v>#VALUE!</v>
      </c>
      <c r="F106" s="865" t="e">
        <f t="shared" si="11"/>
        <v>#VALUE!</v>
      </c>
      <c r="G106" s="865" t="str">
        <f t="shared" si="15"/>
        <v/>
      </c>
      <c r="H106" s="865" t="str">
        <f t="shared" si="16"/>
        <v/>
      </c>
      <c r="I106" s="865" t="e">
        <f t="shared" si="12"/>
        <v>#VALUE!</v>
      </c>
      <c r="J106" s="865">
        <f>SUM($H$19:$H106)</f>
        <v>0</v>
      </c>
    </row>
    <row r="107" spans="1:10">
      <c r="A107" s="863" t="str">
        <f t="shared" si="13"/>
        <v/>
      </c>
      <c r="B107" s="864" t="str">
        <f t="shared" si="9"/>
        <v/>
      </c>
      <c r="C107" s="865" t="str">
        <f t="shared" si="14"/>
        <v/>
      </c>
      <c r="D107" s="865" t="str">
        <f t="shared" si="17"/>
        <v/>
      </c>
      <c r="E107" s="866" t="e">
        <f t="shared" si="10"/>
        <v>#VALUE!</v>
      </c>
      <c r="F107" s="865" t="e">
        <f t="shared" si="11"/>
        <v>#VALUE!</v>
      </c>
      <c r="G107" s="865" t="str">
        <f t="shared" si="15"/>
        <v/>
      </c>
      <c r="H107" s="865" t="str">
        <f t="shared" si="16"/>
        <v/>
      </c>
      <c r="I107" s="865" t="e">
        <f t="shared" si="12"/>
        <v>#VALUE!</v>
      </c>
      <c r="J107" s="865">
        <f>SUM($H$19:$H107)</f>
        <v>0</v>
      </c>
    </row>
    <row r="108" spans="1:10">
      <c r="A108" s="863" t="str">
        <f t="shared" si="13"/>
        <v/>
      </c>
      <c r="B108" s="864" t="str">
        <f t="shared" si="9"/>
        <v/>
      </c>
      <c r="C108" s="865" t="str">
        <f t="shared" si="14"/>
        <v/>
      </c>
      <c r="D108" s="865" t="str">
        <f t="shared" si="17"/>
        <v/>
      </c>
      <c r="E108" s="866" t="e">
        <f t="shared" si="10"/>
        <v>#VALUE!</v>
      </c>
      <c r="F108" s="865" t="e">
        <f t="shared" si="11"/>
        <v>#VALUE!</v>
      </c>
      <c r="G108" s="865" t="str">
        <f t="shared" si="15"/>
        <v/>
      </c>
      <c r="H108" s="865" t="str">
        <f t="shared" si="16"/>
        <v/>
      </c>
      <c r="I108" s="865" t="e">
        <f t="shared" si="12"/>
        <v>#VALUE!</v>
      </c>
      <c r="J108" s="865">
        <f>SUM($H$19:$H108)</f>
        <v>0</v>
      </c>
    </row>
    <row r="109" spans="1:10">
      <c r="A109" s="863" t="str">
        <f t="shared" si="13"/>
        <v/>
      </c>
      <c r="B109" s="864" t="str">
        <f t="shared" si="9"/>
        <v/>
      </c>
      <c r="C109" s="865" t="str">
        <f t="shared" si="14"/>
        <v/>
      </c>
      <c r="D109" s="865" t="str">
        <f t="shared" si="17"/>
        <v/>
      </c>
      <c r="E109" s="866" t="e">
        <f t="shared" si="10"/>
        <v>#VALUE!</v>
      </c>
      <c r="F109" s="865" t="e">
        <f t="shared" si="11"/>
        <v>#VALUE!</v>
      </c>
      <c r="G109" s="865" t="str">
        <f t="shared" si="15"/>
        <v/>
      </c>
      <c r="H109" s="865" t="str">
        <f t="shared" si="16"/>
        <v/>
      </c>
      <c r="I109" s="865" t="e">
        <f t="shared" si="12"/>
        <v>#VALUE!</v>
      </c>
      <c r="J109" s="865">
        <f>SUM($H$19:$H109)</f>
        <v>0</v>
      </c>
    </row>
    <row r="110" spans="1:10">
      <c r="A110" s="863" t="str">
        <f t="shared" si="13"/>
        <v/>
      </c>
      <c r="B110" s="864" t="str">
        <f t="shared" si="9"/>
        <v/>
      </c>
      <c r="C110" s="865" t="str">
        <f t="shared" si="14"/>
        <v/>
      </c>
      <c r="D110" s="865" t="str">
        <f t="shared" si="17"/>
        <v/>
      </c>
      <c r="E110" s="866" t="e">
        <f t="shared" si="10"/>
        <v>#VALUE!</v>
      </c>
      <c r="F110" s="865" t="e">
        <f t="shared" si="11"/>
        <v>#VALUE!</v>
      </c>
      <c r="G110" s="865" t="str">
        <f t="shared" si="15"/>
        <v/>
      </c>
      <c r="H110" s="865" t="str">
        <f t="shared" si="16"/>
        <v/>
      </c>
      <c r="I110" s="865" t="e">
        <f t="shared" si="12"/>
        <v>#VALUE!</v>
      </c>
      <c r="J110" s="865">
        <f>SUM($H$19:$H110)</f>
        <v>0</v>
      </c>
    </row>
    <row r="111" spans="1:10">
      <c r="A111" s="863" t="str">
        <f t="shared" si="13"/>
        <v/>
      </c>
      <c r="B111" s="864" t="str">
        <f t="shared" si="9"/>
        <v/>
      </c>
      <c r="C111" s="865" t="str">
        <f t="shared" si="14"/>
        <v/>
      </c>
      <c r="D111" s="865" t="str">
        <f t="shared" si="17"/>
        <v/>
      </c>
      <c r="E111" s="866" t="e">
        <f t="shared" si="10"/>
        <v>#VALUE!</v>
      </c>
      <c r="F111" s="865" t="e">
        <f t="shared" si="11"/>
        <v>#VALUE!</v>
      </c>
      <c r="G111" s="865" t="str">
        <f t="shared" si="15"/>
        <v/>
      </c>
      <c r="H111" s="865" t="str">
        <f t="shared" si="16"/>
        <v/>
      </c>
      <c r="I111" s="865" t="e">
        <f t="shared" si="12"/>
        <v>#VALUE!</v>
      </c>
      <c r="J111" s="865">
        <f>SUM($H$19:$H111)</f>
        <v>0</v>
      </c>
    </row>
    <row r="112" spans="1:10">
      <c r="A112" s="863" t="str">
        <f t="shared" si="13"/>
        <v/>
      </c>
      <c r="B112" s="864" t="str">
        <f t="shared" si="9"/>
        <v/>
      </c>
      <c r="C112" s="865" t="str">
        <f t="shared" si="14"/>
        <v/>
      </c>
      <c r="D112" s="865" t="str">
        <f t="shared" si="17"/>
        <v/>
      </c>
      <c r="E112" s="866" t="e">
        <f t="shared" si="10"/>
        <v>#VALUE!</v>
      </c>
      <c r="F112" s="865" t="e">
        <f t="shared" si="11"/>
        <v>#VALUE!</v>
      </c>
      <c r="G112" s="865" t="str">
        <f t="shared" si="15"/>
        <v/>
      </c>
      <c r="H112" s="865" t="str">
        <f t="shared" si="16"/>
        <v/>
      </c>
      <c r="I112" s="865" t="e">
        <f t="shared" si="12"/>
        <v>#VALUE!</v>
      </c>
      <c r="J112" s="865">
        <f>SUM($H$19:$H112)</f>
        <v>0</v>
      </c>
    </row>
    <row r="113" spans="1:10">
      <c r="A113" s="863" t="str">
        <f t="shared" si="13"/>
        <v/>
      </c>
      <c r="B113" s="864" t="str">
        <f t="shared" si="9"/>
        <v/>
      </c>
      <c r="C113" s="865" t="str">
        <f t="shared" si="14"/>
        <v/>
      </c>
      <c r="D113" s="865" t="str">
        <f t="shared" si="17"/>
        <v/>
      </c>
      <c r="E113" s="866" t="e">
        <f t="shared" si="10"/>
        <v>#VALUE!</v>
      </c>
      <c r="F113" s="865" t="e">
        <f t="shared" si="11"/>
        <v>#VALUE!</v>
      </c>
      <c r="G113" s="865" t="str">
        <f t="shared" si="15"/>
        <v/>
      </c>
      <c r="H113" s="865" t="str">
        <f t="shared" si="16"/>
        <v/>
      </c>
      <c r="I113" s="865" t="e">
        <f t="shared" si="12"/>
        <v>#VALUE!</v>
      </c>
      <c r="J113" s="865">
        <f>SUM($H$19:$H113)</f>
        <v>0</v>
      </c>
    </row>
    <row r="114" spans="1:10">
      <c r="A114" s="863" t="str">
        <f t="shared" si="13"/>
        <v/>
      </c>
      <c r="B114" s="864" t="str">
        <f t="shared" si="9"/>
        <v/>
      </c>
      <c r="C114" s="865" t="str">
        <f t="shared" si="14"/>
        <v/>
      </c>
      <c r="D114" s="865" t="str">
        <f t="shared" si="17"/>
        <v/>
      </c>
      <c r="E114" s="866" t="e">
        <f t="shared" si="10"/>
        <v>#VALUE!</v>
      </c>
      <c r="F114" s="865" t="e">
        <f t="shared" si="11"/>
        <v>#VALUE!</v>
      </c>
      <c r="G114" s="865" t="str">
        <f t="shared" si="15"/>
        <v/>
      </c>
      <c r="H114" s="865" t="str">
        <f t="shared" si="16"/>
        <v/>
      </c>
      <c r="I114" s="865" t="e">
        <f t="shared" si="12"/>
        <v>#VALUE!</v>
      </c>
      <c r="J114" s="865">
        <f>SUM($H$19:$H114)</f>
        <v>0</v>
      </c>
    </row>
    <row r="115" spans="1:10">
      <c r="A115" s="863" t="str">
        <f t="shared" si="13"/>
        <v/>
      </c>
      <c r="B115" s="864" t="str">
        <f t="shared" si="9"/>
        <v/>
      </c>
      <c r="C115" s="865" t="str">
        <f t="shared" si="14"/>
        <v/>
      </c>
      <c r="D115" s="865" t="str">
        <f t="shared" si="17"/>
        <v/>
      </c>
      <c r="E115" s="866" t="e">
        <f t="shared" si="10"/>
        <v>#VALUE!</v>
      </c>
      <c r="F115" s="865" t="e">
        <f t="shared" si="11"/>
        <v>#VALUE!</v>
      </c>
      <c r="G115" s="865" t="str">
        <f t="shared" si="15"/>
        <v/>
      </c>
      <c r="H115" s="865" t="str">
        <f t="shared" si="16"/>
        <v/>
      </c>
      <c r="I115" s="865" t="e">
        <f t="shared" si="12"/>
        <v>#VALUE!</v>
      </c>
      <c r="J115" s="865">
        <f>SUM($H$19:$H115)</f>
        <v>0</v>
      </c>
    </row>
    <row r="116" spans="1:10">
      <c r="A116" s="863" t="str">
        <f t="shared" si="13"/>
        <v/>
      </c>
      <c r="B116" s="864" t="str">
        <f t="shared" si="9"/>
        <v/>
      </c>
      <c r="C116" s="865" t="str">
        <f t="shared" si="14"/>
        <v/>
      </c>
      <c r="D116" s="865" t="str">
        <f t="shared" si="17"/>
        <v/>
      </c>
      <c r="E116" s="866" t="e">
        <f t="shared" si="10"/>
        <v>#VALUE!</v>
      </c>
      <c r="F116" s="865" t="e">
        <f t="shared" si="11"/>
        <v>#VALUE!</v>
      </c>
      <c r="G116" s="865" t="str">
        <f t="shared" si="15"/>
        <v/>
      </c>
      <c r="H116" s="865" t="str">
        <f t="shared" si="16"/>
        <v/>
      </c>
      <c r="I116" s="865" t="e">
        <f t="shared" si="12"/>
        <v>#VALUE!</v>
      </c>
      <c r="J116" s="865">
        <f>SUM($H$19:$H116)</f>
        <v>0</v>
      </c>
    </row>
    <row r="117" spans="1:10">
      <c r="A117" s="863" t="str">
        <f t="shared" si="13"/>
        <v/>
      </c>
      <c r="B117" s="864" t="str">
        <f t="shared" si="9"/>
        <v/>
      </c>
      <c r="C117" s="865" t="str">
        <f t="shared" si="14"/>
        <v/>
      </c>
      <c r="D117" s="865" t="str">
        <f t="shared" si="17"/>
        <v/>
      </c>
      <c r="E117" s="866" t="e">
        <f t="shared" si="10"/>
        <v>#VALUE!</v>
      </c>
      <c r="F117" s="865" t="e">
        <f t="shared" si="11"/>
        <v>#VALUE!</v>
      </c>
      <c r="G117" s="865" t="str">
        <f t="shared" si="15"/>
        <v/>
      </c>
      <c r="H117" s="865" t="str">
        <f t="shared" si="16"/>
        <v/>
      </c>
      <c r="I117" s="865" t="e">
        <f t="shared" si="12"/>
        <v>#VALUE!</v>
      </c>
      <c r="J117" s="865">
        <f>SUM($H$19:$H117)</f>
        <v>0</v>
      </c>
    </row>
    <row r="118" spans="1:10">
      <c r="A118" s="863" t="str">
        <f t="shared" si="13"/>
        <v/>
      </c>
      <c r="B118" s="864" t="str">
        <f t="shared" si="9"/>
        <v/>
      </c>
      <c r="C118" s="865" t="str">
        <f t="shared" si="14"/>
        <v/>
      </c>
      <c r="D118" s="865" t="str">
        <f t="shared" si="17"/>
        <v/>
      </c>
      <c r="E118" s="866" t="e">
        <f t="shared" si="10"/>
        <v>#VALUE!</v>
      </c>
      <c r="F118" s="865" t="e">
        <f t="shared" si="11"/>
        <v>#VALUE!</v>
      </c>
      <c r="G118" s="865" t="str">
        <f t="shared" si="15"/>
        <v/>
      </c>
      <c r="H118" s="865" t="str">
        <f t="shared" si="16"/>
        <v/>
      </c>
      <c r="I118" s="865" t="e">
        <f t="shared" si="12"/>
        <v>#VALUE!</v>
      </c>
      <c r="J118" s="865">
        <f>SUM($H$19:$H118)</f>
        <v>0</v>
      </c>
    </row>
    <row r="119" spans="1:10">
      <c r="A119" s="863" t="str">
        <f t="shared" si="13"/>
        <v/>
      </c>
      <c r="B119" s="864" t="str">
        <f t="shared" si="9"/>
        <v/>
      </c>
      <c r="C119" s="865" t="str">
        <f t="shared" si="14"/>
        <v/>
      </c>
      <c r="D119" s="865" t="str">
        <f t="shared" si="17"/>
        <v/>
      </c>
      <c r="E119" s="866" t="e">
        <f t="shared" si="10"/>
        <v>#VALUE!</v>
      </c>
      <c r="F119" s="865" t="e">
        <f t="shared" si="11"/>
        <v>#VALUE!</v>
      </c>
      <c r="G119" s="865" t="str">
        <f t="shared" si="15"/>
        <v/>
      </c>
      <c r="H119" s="865" t="str">
        <f t="shared" si="16"/>
        <v/>
      </c>
      <c r="I119" s="865" t="e">
        <f t="shared" si="12"/>
        <v>#VALUE!</v>
      </c>
      <c r="J119" s="865">
        <f>SUM($H$19:$H119)</f>
        <v>0</v>
      </c>
    </row>
    <row r="120" spans="1:10">
      <c r="A120" s="863" t="str">
        <f t="shared" si="13"/>
        <v/>
      </c>
      <c r="B120" s="864" t="str">
        <f t="shared" si="9"/>
        <v/>
      </c>
      <c r="C120" s="865" t="str">
        <f t="shared" si="14"/>
        <v/>
      </c>
      <c r="D120" s="865" t="str">
        <f t="shared" si="17"/>
        <v/>
      </c>
      <c r="E120" s="866" t="e">
        <f t="shared" si="10"/>
        <v>#VALUE!</v>
      </c>
      <c r="F120" s="865" t="e">
        <f t="shared" si="11"/>
        <v>#VALUE!</v>
      </c>
      <c r="G120" s="865" t="str">
        <f t="shared" si="15"/>
        <v/>
      </c>
      <c r="H120" s="865" t="str">
        <f t="shared" si="16"/>
        <v/>
      </c>
      <c r="I120" s="865" t="e">
        <f t="shared" si="12"/>
        <v>#VALUE!</v>
      </c>
      <c r="J120" s="865">
        <f>SUM($H$19:$H120)</f>
        <v>0</v>
      </c>
    </row>
    <row r="121" spans="1:10">
      <c r="A121" s="863" t="str">
        <f t="shared" si="13"/>
        <v/>
      </c>
      <c r="B121" s="864" t="str">
        <f t="shared" si="9"/>
        <v/>
      </c>
      <c r="C121" s="865" t="str">
        <f t="shared" si="14"/>
        <v/>
      </c>
      <c r="D121" s="865" t="str">
        <f t="shared" si="17"/>
        <v/>
      </c>
      <c r="E121" s="866" t="e">
        <f t="shared" si="10"/>
        <v>#VALUE!</v>
      </c>
      <c r="F121" s="865" t="e">
        <f t="shared" si="11"/>
        <v>#VALUE!</v>
      </c>
      <c r="G121" s="865" t="str">
        <f t="shared" si="15"/>
        <v/>
      </c>
      <c r="H121" s="865" t="str">
        <f t="shared" si="16"/>
        <v/>
      </c>
      <c r="I121" s="865" t="e">
        <f t="shared" si="12"/>
        <v>#VALUE!</v>
      </c>
      <c r="J121" s="865">
        <f>SUM($H$19:$H121)</f>
        <v>0</v>
      </c>
    </row>
    <row r="122" spans="1:10">
      <c r="A122" s="863" t="str">
        <f t="shared" si="13"/>
        <v/>
      </c>
      <c r="B122" s="864" t="str">
        <f t="shared" si="9"/>
        <v/>
      </c>
      <c r="C122" s="865" t="str">
        <f t="shared" si="14"/>
        <v/>
      </c>
      <c r="D122" s="865" t="str">
        <f t="shared" si="17"/>
        <v/>
      </c>
      <c r="E122" s="866" t="e">
        <f t="shared" si="10"/>
        <v>#VALUE!</v>
      </c>
      <c r="F122" s="865" t="e">
        <f t="shared" si="11"/>
        <v>#VALUE!</v>
      </c>
      <c r="G122" s="865" t="str">
        <f t="shared" si="15"/>
        <v/>
      </c>
      <c r="H122" s="865" t="str">
        <f t="shared" si="16"/>
        <v/>
      </c>
      <c r="I122" s="865" t="e">
        <f t="shared" si="12"/>
        <v>#VALUE!</v>
      </c>
      <c r="J122" s="865">
        <f>SUM($H$19:$H122)</f>
        <v>0</v>
      </c>
    </row>
    <row r="123" spans="1:10">
      <c r="A123" s="863" t="str">
        <f t="shared" si="13"/>
        <v/>
      </c>
      <c r="B123" s="864" t="str">
        <f t="shared" si="9"/>
        <v/>
      </c>
      <c r="C123" s="865" t="str">
        <f t="shared" si="14"/>
        <v/>
      </c>
      <c r="D123" s="865" t="str">
        <f t="shared" si="17"/>
        <v/>
      </c>
      <c r="E123" s="866" t="e">
        <f t="shared" si="10"/>
        <v>#VALUE!</v>
      </c>
      <c r="F123" s="865" t="e">
        <f t="shared" si="11"/>
        <v>#VALUE!</v>
      </c>
      <c r="G123" s="865" t="str">
        <f t="shared" si="15"/>
        <v/>
      </c>
      <c r="H123" s="865" t="str">
        <f t="shared" si="16"/>
        <v/>
      </c>
      <c r="I123" s="865" t="e">
        <f t="shared" si="12"/>
        <v>#VALUE!</v>
      </c>
      <c r="J123" s="865">
        <f>SUM($H$19:$H123)</f>
        <v>0</v>
      </c>
    </row>
    <row r="124" spans="1:10">
      <c r="A124" s="863" t="str">
        <f t="shared" si="13"/>
        <v/>
      </c>
      <c r="B124" s="864" t="str">
        <f t="shared" si="9"/>
        <v/>
      </c>
      <c r="C124" s="865" t="str">
        <f t="shared" si="14"/>
        <v/>
      </c>
      <c r="D124" s="865" t="str">
        <f t="shared" si="17"/>
        <v/>
      </c>
      <c r="E124" s="866" t="e">
        <f t="shared" si="10"/>
        <v>#VALUE!</v>
      </c>
      <c r="F124" s="865" t="e">
        <f t="shared" si="11"/>
        <v>#VALUE!</v>
      </c>
      <c r="G124" s="865" t="str">
        <f t="shared" si="15"/>
        <v/>
      </c>
      <c r="H124" s="865" t="str">
        <f t="shared" si="16"/>
        <v/>
      </c>
      <c r="I124" s="865" t="e">
        <f t="shared" si="12"/>
        <v>#VALUE!</v>
      </c>
      <c r="J124" s="865">
        <f>SUM($H$19:$H124)</f>
        <v>0</v>
      </c>
    </row>
    <row r="125" spans="1:10">
      <c r="A125" s="863" t="str">
        <f t="shared" si="13"/>
        <v/>
      </c>
      <c r="B125" s="864" t="str">
        <f t="shared" si="9"/>
        <v/>
      </c>
      <c r="C125" s="865" t="str">
        <f t="shared" si="14"/>
        <v/>
      </c>
      <c r="D125" s="865" t="str">
        <f t="shared" si="17"/>
        <v/>
      </c>
      <c r="E125" s="866" t="e">
        <f t="shared" si="10"/>
        <v>#VALUE!</v>
      </c>
      <c r="F125" s="865" t="e">
        <f t="shared" si="11"/>
        <v>#VALUE!</v>
      </c>
      <c r="G125" s="865" t="str">
        <f t="shared" si="15"/>
        <v/>
      </c>
      <c r="H125" s="865" t="str">
        <f t="shared" si="16"/>
        <v/>
      </c>
      <c r="I125" s="865" t="e">
        <f t="shared" si="12"/>
        <v>#VALUE!</v>
      </c>
      <c r="J125" s="865">
        <f>SUM($H$19:$H125)</f>
        <v>0</v>
      </c>
    </row>
    <row r="126" spans="1:10">
      <c r="A126" s="863" t="str">
        <f t="shared" si="13"/>
        <v/>
      </c>
      <c r="B126" s="864" t="str">
        <f t="shared" si="9"/>
        <v/>
      </c>
      <c r="C126" s="865" t="str">
        <f t="shared" si="14"/>
        <v/>
      </c>
      <c r="D126" s="865" t="str">
        <f t="shared" si="17"/>
        <v/>
      </c>
      <c r="E126" s="866" t="e">
        <f t="shared" si="10"/>
        <v>#VALUE!</v>
      </c>
      <c r="F126" s="865" t="e">
        <f t="shared" si="11"/>
        <v>#VALUE!</v>
      </c>
      <c r="G126" s="865" t="str">
        <f t="shared" si="15"/>
        <v/>
      </c>
      <c r="H126" s="865" t="str">
        <f t="shared" si="16"/>
        <v/>
      </c>
      <c r="I126" s="865" t="e">
        <f t="shared" si="12"/>
        <v>#VALUE!</v>
      </c>
      <c r="J126" s="865">
        <f>SUM($H$19:$H126)</f>
        <v>0</v>
      </c>
    </row>
    <row r="127" spans="1:10">
      <c r="A127" s="863" t="str">
        <f t="shared" si="13"/>
        <v/>
      </c>
      <c r="B127" s="864" t="str">
        <f t="shared" si="9"/>
        <v/>
      </c>
      <c r="C127" s="865" t="str">
        <f t="shared" si="14"/>
        <v/>
      </c>
      <c r="D127" s="865" t="str">
        <f t="shared" si="17"/>
        <v/>
      </c>
      <c r="E127" s="866" t="e">
        <f t="shared" si="10"/>
        <v>#VALUE!</v>
      </c>
      <c r="F127" s="865" t="e">
        <f t="shared" si="11"/>
        <v>#VALUE!</v>
      </c>
      <c r="G127" s="865" t="str">
        <f t="shared" si="15"/>
        <v/>
      </c>
      <c r="H127" s="865" t="str">
        <f t="shared" si="16"/>
        <v/>
      </c>
      <c r="I127" s="865" t="e">
        <f t="shared" si="12"/>
        <v>#VALUE!</v>
      </c>
      <c r="J127" s="865">
        <f>SUM($H$19:$H127)</f>
        <v>0</v>
      </c>
    </row>
    <row r="128" spans="1:10">
      <c r="A128" s="863" t="str">
        <f t="shared" si="13"/>
        <v/>
      </c>
      <c r="B128" s="864" t="str">
        <f t="shared" si="9"/>
        <v/>
      </c>
      <c r="C128" s="865" t="str">
        <f t="shared" si="14"/>
        <v/>
      </c>
      <c r="D128" s="865" t="str">
        <f t="shared" si="17"/>
        <v/>
      </c>
      <c r="E128" s="866" t="e">
        <f t="shared" si="10"/>
        <v>#VALUE!</v>
      </c>
      <c r="F128" s="865" t="e">
        <f t="shared" si="11"/>
        <v>#VALUE!</v>
      </c>
      <c r="G128" s="865" t="str">
        <f t="shared" si="15"/>
        <v/>
      </c>
      <c r="H128" s="865" t="str">
        <f t="shared" si="16"/>
        <v/>
      </c>
      <c r="I128" s="865" t="e">
        <f t="shared" si="12"/>
        <v>#VALUE!</v>
      </c>
      <c r="J128" s="865">
        <f>SUM($H$19:$H128)</f>
        <v>0</v>
      </c>
    </row>
    <row r="129" spans="1:10">
      <c r="A129" s="863" t="str">
        <f t="shared" si="13"/>
        <v/>
      </c>
      <c r="B129" s="864" t="str">
        <f t="shared" si="9"/>
        <v/>
      </c>
      <c r="C129" s="865" t="str">
        <f t="shared" si="14"/>
        <v/>
      </c>
      <c r="D129" s="865" t="str">
        <f t="shared" si="17"/>
        <v/>
      </c>
      <c r="E129" s="866" t="e">
        <f t="shared" si="10"/>
        <v>#VALUE!</v>
      </c>
      <c r="F129" s="865" t="e">
        <f t="shared" si="11"/>
        <v>#VALUE!</v>
      </c>
      <c r="G129" s="865" t="str">
        <f t="shared" si="15"/>
        <v/>
      </c>
      <c r="H129" s="865" t="str">
        <f t="shared" si="16"/>
        <v/>
      </c>
      <c r="I129" s="865" t="e">
        <f t="shared" si="12"/>
        <v>#VALUE!</v>
      </c>
      <c r="J129" s="865">
        <f>SUM($H$19:$H129)</f>
        <v>0</v>
      </c>
    </row>
    <row r="130" spans="1:10">
      <c r="A130" s="863" t="str">
        <f t="shared" si="13"/>
        <v/>
      </c>
      <c r="B130" s="864" t="str">
        <f t="shared" si="9"/>
        <v/>
      </c>
      <c r="C130" s="865" t="str">
        <f t="shared" si="14"/>
        <v/>
      </c>
      <c r="D130" s="865" t="str">
        <f t="shared" si="17"/>
        <v/>
      </c>
      <c r="E130" s="866" t="e">
        <f t="shared" si="10"/>
        <v>#VALUE!</v>
      </c>
      <c r="F130" s="865" t="e">
        <f t="shared" si="11"/>
        <v>#VALUE!</v>
      </c>
      <c r="G130" s="865" t="str">
        <f t="shared" si="15"/>
        <v/>
      </c>
      <c r="H130" s="865" t="str">
        <f t="shared" si="16"/>
        <v/>
      </c>
      <c r="I130" s="865" t="e">
        <f t="shared" si="12"/>
        <v>#VALUE!</v>
      </c>
      <c r="J130" s="865">
        <f>SUM($H$19:$H130)</f>
        <v>0</v>
      </c>
    </row>
    <row r="131" spans="1:10">
      <c r="A131" s="863" t="str">
        <f t="shared" si="13"/>
        <v/>
      </c>
      <c r="B131" s="864" t="str">
        <f t="shared" si="9"/>
        <v/>
      </c>
      <c r="C131" s="865" t="str">
        <f t="shared" si="14"/>
        <v/>
      </c>
      <c r="D131" s="865" t="str">
        <f t="shared" si="17"/>
        <v/>
      </c>
      <c r="E131" s="866" t="e">
        <f t="shared" si="10"/>
        <v>#VALUE!</v>
      </c>
      <c r="F131" s="865" t="e">
        <f t="shared" si="11"/>
        <v>#VALUE!</v>
      </c>
      <c r="G131" s="865" t="str">
        <f t="shared" si="15"/>
        <v/>
      </c>
      <c r="H131" s="865" t="str">
        <f t="shared" si="16"/>
        <v/>
      </c>
      <c r="I131" s="865" t="e">
        <f t="shared" si="12"/>
        <v>#VALUE!</v>
      </c>
      <c r="J131" s="865">
        <f>SUM($H$19:$H131)</f>
        <v>0</v>
      </c>
    </row>
    <row r="132" spans="1:10">
      <c r="A132" s="863" t="str">
        <f t="shared" si="13"/>
        <v/>
      </c>
      <c r="B132" s="864" t="str">
        <f t="shared" si="9"/>
        <v/>
      </c>
      <c r="C132" s="865" t="str">
        <f t="shared" si="14"/>
        <v/>
      </c>
      <c r="D132" s="865" t="str">
        <f t="shared" si="17"/>
        <v/>
      </c>
      <c r="E132" s="866" t="e">
        <f t="shared" si="10"/>
        <v>#VALUE!</v>
      </c>
      <c r="F132" s="865" t="e">
        <f t="shared" si="11"/>
        <v>#VALUE!</v>
      </c>
      <c r="G132" s="865" t="str">
        <f t="shared" si="15"/>
        <v/>
      </c>
      <c r="H132" s="865" t="str">
        <f t="shared" si="16"/>
        <v/>
      </c>
      <c r="I132" s="865" t="e">
        <f t="shared" si="12"/>
        <v>#VALUE!</v>
      </c>
      <c r="J132" s="865">
        <f>SUM($H$19:$H132)</f>
        <v>0</v>
      </c>
    </row>
    <row r="133" spans="1:10">
      <c r="A133" s="863" t="str">
        <f t="shared" si="13"/>
        <v/>
      </c>
      <c r="B133" s="864" t="str">
        <f t="shared" si="9"/>
        <v/>
      </c>
      <c r="C133" s="865" t="str">
        <f t="shared" si="14"/>
        <v/>
      </c>
      <c r="D133" s="865" t="str">
        <f t="shared" si="17"/>
        <v/>
      </c>
      <c r="E133" s="866" t="e">
        <f t="shared" si="10"/>
        <v>#VALUE!</v>
      </c>
      <c r="F133" s="865" t="e">
        <f t="shared" si="11"/>
        <v>#VALUE!</v>
      </c>
      <c r="G133" s="865" t="str">
        <f t="shared" si="15"/>
        <v/>
      </c>
      <c r="H133" s="865" t="str">
        <f t="shared" si="16"/>
        <v/>
      </c>
      <c r="I133" s="865" t="e">
        <f t="shared" si="12"/>
        <v>#VALUE!</v>
      </c>
      <c r="J133" s="865">
        <f>SUM($H$19:$H133)</f>
        <v>0</v>
      </c>
    </row>
    <row r="134" spans="1:10">
      <c r="A134" s="863" t="str">
        <f t="shared" si="13"/>
        <v/>
      </c>
      <c r="B134" s="864" t="str">
        <f t="shared" si="9"/>
        <v/>
      </c>
      <c r="C134" s="865" t="str">
        <f t="shared" si="14"/>
        <v/>
      </c>
      <c r="D134" s="865" t="str">
        <f t="shared" si="17"/>
        <v/>
      </c>
      <c r="E134" s="866" t="e">
        <f t="shared" si="10"/>
        <v>#VALUE!</v>
      </c>
      <c r="F134" s="865" t="e">
        <f t="shared" si="11"/>
        <v>#VALUE!</v>
      </c>
      <c r="G134" s="865" t="str">
        <f t="shared" si="15"/>
        <v/>
      </c>
      <c r="H134" s="865" t="str">
        <f t="shared" si="16"/>
        <v/>
      </c>
      <c r="I134" s="865" t="e">
        <f t="shared" si="12"/>
        <v>#VALUE!</v>
      </c>
      <c r="J134" s="865">
        <f>SUM($H$19:$H134)</f>
        <v>0</v>
      </c>
    </row>
    <row r="135" spans="1:10">
      <c r="A135" s="863" t="str">
        <f t="shared" si="13"/>
        <v/>
      </c>
      <c r="B135" s="864" t="str">
        <f t="shared" si="9"/>
        <v/>
      </c>
      <c r="C135" s="865" t="str">
        <f t="shared" si="14"/>
        <v/>
      </c>
      <c r="D135" s="865" t="str">
        <f t="shared" si="17"/>
        <v/>
      </c>
      <c r="E135" s="866" t="e">
        <f t="shared" si="10"/>
        <v>#VALUE!</v>
      </c>
      <c r="F135" s="865" t="e">
        <f t="shared" si="11"/>
        <v>#VALUE!</v>
      </c>
      <c r="G135" s="865" t="str">
        <f t="shared" si="15"/>
        <v/>
      </c>
      <c r="H135" s="865" t="str">
        <f t="shared" si="16"/>
        <v/>
      </c>
      <c r="I135" s="865" t="e">
        <f t="shared" si="12"/>
        <v>#VALUE!</v>
      </c>
      <c r="J135" s="865">
        <f>SUM($H$19:$H135)</f>
        <v>0</v>
      </c>
    </row>
    <row r="136" spans="1:10">
      <c r="A136" s="863" t="str">
        <f t="shared" si="13"/>
        <v/>
      </c>
      <c r="B136" s="864" t="str">
        <f t="shared" si="9"/>
        <v/>
      </c>
      <c r="C136" s="865" t="str">
        <f t="shared" si="14"/>
        <v/>
      </c>
      <c r="D136" s="865" t="str">
        <f t="shared" si="17"/>
        <v/>
      </c>
      <c r="E136" s="866" t="e">
        <f t="shared" si="10"/>
        <v>#VALUE!</v>
      </c>
      <c r="F136" s="865" t="e">
        <f t="shared" si="11"/>
        <v>#VALUE!</v>
      </c>
      <c r="G136" s="865" t="str">
        <f t="shared" si="15"/>
        <v/>
      </c>
      <c r="H136" s="865" t="str">
        <f t="shared" si="16"/>
        <v/>
      </c>
      <c r="I136" s="865" t="e">
        <f t="shared" si="12"/>
        <v>#VALUE!</v>
      </c>
      <c r="J136" s="865">
        <f>SUM($H$19:$H136)</f>
        <v>0</v>
      </c>
    </row>
    <row r="137" spans="1:10">
      <c r="A137" s="863" t="str">
        <f t="shared" si="13"/>
        <v/>
      </c>
      <c r="B137" s="864" t="str">
        <f t="shared" si="9"/>
        <v/>
      </c>
      <c r="C137" s="865" t="str">
        <f t="shared" si="14"/>
        <v/>
      </c>
      <c r="D137" s="865" t="str">
        <f t="shared" si="17"/>
        <v/>
      </c>
      <c r="E137" s="866" t="e">
        <f t="shared" si="10"/>
        <v>#VALUE!</v>
      </c>
      <c r="F137" s="865" t="e">
        <f t="shared" si="11"/>
        <v>#VALUE!</v>
      </c>
      <c r="G137" s="865" t="str">
        <f t="shared" si="15"/>
        <v/>
      </c>
      <c r="H137" s="865" t="str">
        <f t="shared" si="16"/>
        <v/>
      </c>
      <c r="I137" s="865" t="e">
        <f t="shared" si="12"/>
        <v>#VALUE!</v>
      </c>
      <c r="J137" s="865">
        <f>SUM($H$19:$H137)</f>
        <v>0</v>
      </c>
    </row>
    <row r="138" spans="1:10">
      <c r="A138" s="863" t="str">
        <f t="shared" si="13"/>
        <v/>
      </c>
      <c r="B138" s="864" t="str">
        <f t="shared" si="9"/>
        <v/>
      </c>
      <c r="C138" s="865" t="str">
        <f t="shared" si="14"/>
        <v/>
      </c>
      <c r="D138" s="865" t="str">
        <f t="shared" si="17"/>
        <v/>
      </c>
      <c r="E138" s="866" t="e">
        <f t="shared" si="10"/>
        <v>#VALUE!</v>
      </c>
      <c r="F138" s="865" t="e">
        <f t="shared" si="11"/>
        <v>#VALUE!</v>
      </c>
      <c r="G138" s="865" t="str">
        <f t="shared" si="15"/>
        <v/>
      </c>
      <c r="H138" s="865" t="str">
        <f t="shared" si="16"/>
        <v/>
      </c>
      <c r="I138" s="865" t="e">
        <f t="shared" si="12"/>
        <v>#VALUE!</v>
      </c>
      <c r="J138" s="865">
        <f>SUM($H$19:$H138)</f>
        <v>0</v>
      </c>
    </row>
    <row r="139" spans="1:10">
      <c r="A139" s="863" t="str">
        <f t="shared" si="13"/>
        <v/>
      </c>
      <c r="B139" s="864" t="str">
        <f t="shared" si="9"/>
        <v/>
      </c>
      <c r="C139" s="865" t="str">
        <f t="shared" si="14"/>
        <v/>
      </c>
      <c r="D139" s="865" t="str">
        <f t="shared" si="17"/>
        <v/>
      </c>
      <c r="E139" s="866" t="e">
        <f t="shared" si="10"/>
        <v>#VALUE!</v>
      </c>
      <c r="F139" s="865" t="e">
        <f t="shared" si="11"/>
        <v>#VALUE!</v>
      </c>
      <c r="G139" s="865" t="str">
        <f t="shared" si="15"/>
        <v/>
      </c>
      <c r="H139" s="865" t="str">
        <f t="shared" si="16"/>
        <v/>
      </c>
      <c r="I139" s="865" t="e">
        <f t="shared" si="12"/>
        <v>#VALUE!</v>
      </c>
      <c r="J139" s="865">
        <f>SUM($H$19:$H139)</f>
        <v>0</v>
      </c>
    </row>
    <row r="140" spans="1:10">
      <c r="A140" s="863" t="str">
        <f t="shared" si="13"/>
        <v/>
      </c>
      <c r="B140" s="864" t="str">
        <f t="shared" si="9"/>
        <v/>
      </c>
      <c r="C140" s="865" t="str">
        <f t="shared" si="14"/>
        <v/>
      </c>
      <c r="D140" s="865" t="str">
        <f t="shared" si="17"/>
        <v/>
      </c>
      <c r="E140" s="866" t="e">
        <f t="shared" si="10"/>
        <v>#VALUE!</v>
      </c>
      <c r="F140" s="865" t="e">
        <f t="shared" si="11"/>
        <v>#VALUE!</v>
      </c>
      <c r="G140" s="865" t="str">
        <f t="shared" si="15"/>
        <v/>
      </c>
      <c r="H140" s="865" t="str">
        <f t="shared" si="16"/>
        <v/>
      </c>
      <c r="I140" s="865" t="e">
        <f t="shared" si="12"/>
        <v>#VALUE!</v>
      </c>
      <c r="J140" s="865">
        <f>SUM($H$19:$H140)</f>
        <v>0</v>
      </c>
    </row>
    <row r="141" spans="1:10">
      <c r="A141" s="863" t="str">
        <f t="shared" si="13"/>
        <v/>
      </c>
      <c r="B141" s="864" t="str">
        <f t="shared" si="9"/>
        <v/>
      </c>
      <c r="C141" s="865" t="str">
        <f t="shared" si="14"/>
        <v/>
      </c>
      <c r="D141" s="865" t="str">
        <f t="shared" si="17"/>
        <v/>
      </c>
      <c r="E141" s="866" t="e">
        <f t="shared" si="10"/>
        <v>#VALUE!</v>
      </c>
      <c r="F141" s="865" t="e">
        <f t="shared" si="11"/>
        <v>#VALUE!</v>
      </c>
      <c r="G141" s="865" t="str">
        <f t="shared" si="15"/>
        <v/>
      </c>
      <c r="H141" s="865" t="str">
        <f t="shared" si="16"/>
        <v/>
      </c>
      <c r="I141" s="865" t="e">
        <f t="shared" si="12"/>
        <v>#VALUE!</v>
      </c>
      <c r="J141" s="865">
        <f>SUM($H$19:$H141)</f>
        <v>0</v>
      </c>
    </row>
    <row r="142" spans="1:10">
      <c r="A142" s="863" t="str">
        <f t="shared" si="13"/>
        <v/>
      </c>
      <c r="B142" s="864" t="str">
        <f t="shared" si="9"/>
        <v/>
      </c>
      <c r="C142" s="865" t="str">
        <f t="shared" si="14"/>
        <v/>
      </c>
      <c r="D142" s="865" t="str">
        <f t="shared" si="17"/>
        <v/>
      </c>
      <c r="E142" s="866" t="e">
        <f t="shared" si="10"/>
        <v>#VALUE!</v>
      </c>
      <c r="F142" s="865" t="e">
        <f t="shared" si="11"/>
        <v>#VALUE!</v>
      </c>
      <c r="G142" s="865" t="str">
        <f t="shared" si="15"/>
        <v/>
      </c>
      <c r="H142" s="865" t="str">
        <f t="shared" si="16"/>
        <v/>
      </c>
      <c r="I142" s="865" t="e">
        <f t="shared" si="12"/>
        <v>#VALUE!</v>
      </c>
      <c r="J142" s="865">
        <f>SUM($H$19:$H142)</f>
        <v>0</v>
      </c>
    </row>
    <row r="143" spans="1:10">
      <c r="A143" s="863" t="str">
        <f t="shared" si="13"/>
        <v/>
      </c>
      <c r="B143" s="864" t="str">
        <f t="shared" si="9"/>
        <v/>
      </c>
      <c r="C143" s="865" t="str">
        <f t="shared" si="14"/>
        <v/>
      </c>
      <c r="D143" s="865" t="str">
        <f t="shared" si="17"/>
        <v/>
      </c>
      <c r="E143" s="866" t="e">
        <f t="shared" si="10"/>
        <v>#VALUE!</v>
      </c>
      <c r="F143" s="865" t="e">
        <f t="shared" si="11"/>
        <v>#VALUE!</v>
      </c>
      <c r="G143" s="865" t="str">
        <f t="shared" si="15"/>
        <v/>
      </c>
      <c r="H143" s="865" t="str">
        <f t="shared" si="16"/>
        <v/>
      </c>
      <c r="I143" s="865" t="e">
        <f t="shared" si="12"/>
        <v>#VALUE!</v>
      </c>
      <c r="J143" s="865">
        <f>SUM($H$19:$H143)</f>
        <v>0</v>
      </c>
    </row>
    <row r="144" spans="1:10">
      <c r="A144" s="863" t="str">
        <f t="shared" si="13"/>
        <v/>
      </c>
      <c r="B144" s="864" t="str">
        <f t="shared" si="9"/>
        <v/>
      </c>
      <c r="C144" s="865" t="str">
        <f t="shared" si="14"/>
        <v/>
      </c>
      <c r="D144" s="865" t="str">
        <f t="shared" si="17"/>
        <v/>
      </c>
      <c r="E144" s="866" t="e">
        <f t="shared" si="10"/>
        <v>#VALUE!</v>
      </c>
      <c r="F144" s="865" t="e">
        <f t="shared" si="11"/>
        <v>#VALUE!</v>
      </c>
      <c r="G144" s="865" t="str">
        <f t="shared" si="15"/>
        <v/>
      </c>
      <c r="H144" s="865" t="str">
        <f t="shared" si="16"/>
        <v/>
      </c>
      <c r="I144" s="865" t="e">
        <f t="shared" si="12"/>
        <v>#VALUE!</v>
      </c>
      <c r="J144" s="865">
        <f>SUM($H$19:$H144)</f>
        <v>0</v>
      </c>
    </row>
    <row r="145" spans="1:10">
      <c r="A145" s="863" t="str">
        <f t="shared" si="13"/>
        <v/>
      </c>
      <c r="B145" s="864" t="str">
        <f t="shared" si="9"/>
        <v/>
      </c>
      <c r="C145" s="865" t="str">
        <f t="shared" si="14"/>
        <v/>
      </c>
      <c r="D145" s="865" t="str">
        <f t="shared" si="17"/>
        <v/>
      </c>
      <c r="E145" s="866" t="e">
        <f t="shared" si="10"/>
        <v>#VALUE!</v>
      </c>
      <c r="F145" s="865" t="e">
        <f t="shared" si="11"/>
        <v>#VALUE!</v>
      </c>
      <c r="G145" s="865" t="str">
        <f t="shared" si="15"/>
        <v/>
      </c>
      <c r="H145" s="865" t="str">
        <f t="shared" si="16"/>
        <v/>
      </c>
      <c r="I145" s="865" t="e">
        <f t="shared" si="12"/>
        <v>#VALUE!</v>
      </c>
      <c r="J145" s="865">
        <f>SUM($H$19:$H145)</f>
        <v>0</v>
      </c>
    </row>
    <row r="146" spans="1:10">
      <c r="A146" s="863" t="str">
        <f t="shared" si="13"/>
        <v/>
      </c>
      <c r="B146" s="864" t="str">
        <f t="shared" si="9"/>
        <v/>
      </c>
      <c r="C146" s="865" t="str">
        <f t="shared" si="14"/>
        <v/>
      </c>
      <c r="D146" s="865" t="str">
        <f t="shared" si="17"/>
        <v/>
      </c>
      <c r="E146" s="866" t="e">
        <f t="shared" si="10"/>
        <v>#VALUE!</v>
      </c>
      <c r="F146" s="865" t="e">
        <f t="shared" si="11"/>
        <v>#VALUE!</v>
      </c>
      <c r="G146" s="865" t="str">
        <f t="shared" si="15"/>
        <v/>
      </c>
      <c r="H146" s="865" t="str">
        <f t="shared" si="16"/>
        <v/>
      </c>
      <c r="I146" s="865" t="e">
        <f t="shared" si="12"/>
        <v>#VALUE!</v>
      </c>
      <c r="J146" s="865">
        <f>SUM($H$19:$H146)</f>
        <v>0</v>
      </c>
    </row>
    <row r="147" spans="1:10">
      <c r="A147" s="863" t="str">
        <f t="shared" si="13"/>
        <v/>
      </c>
      <c r="B147" s="864" t="str">
        <f t="shared" ref="B147:B210" si="18">IF(Pay_Num&lt;&gt;"",DATE(YEAR(Loan_Start),MONTH(Loan_Start)+(Pay_Num)*12/Num_Pmt_Per_Year,DAY(Loan_Start)),"")</f>
        <v/>
      </c>
      <c r="C147" s="865" t="str">
        <f t="shared" si="14"/>
        <v/>
      </c>
      <c r="D147" s="865" t="str">
        <f t="shared" si="17"/>
        <v/>
      </c>
      <c r="E147" s="866" t="e">
        <f t="shared" ref="E147:E210" si="19">IF(AND(Pay_Num&lt;&gt;"",Sched_Pay+Scheduled_Extra_Payments&lt;Beg_Bal),Scheduled_Extra_Payments,IF(AND(Pay_Num&lt;&gt;"",Beg_Bal-Sched_Pay&gt;0),Beg_Bal-Sched_Pay,IF(Pay_Num&lt;&gt;"",0,"")))</f>
        <v>#VALUE!</v>
      </c>
      <c r="F147" s="865" t="e">
        <f t="shared" ref="F147:F210" si="20">IF(AND(Pay_Num&lt;&gt;"",Sched_Pay+Extra_Pay&lt;Beg_Bal),Sched_Pay+Extra_Pay,IF(Pay_Num&lt;&gt;"",Beg_Bal,""))</f>
        <v>#VALUE!</v>
      </c>
      <c r="G147" s="865" t="str">
        <f t="shared" si="15"/>
        <v/>
      </c>
      <c r="H147" s="865" t="str">
        <f t="shared" si="16"/>
        <v/>
      </c>
      <c r="I147" s="865" t="e">
        <f t="shared" ref="I147:I210" si="21">IF(AND(Pay_Num&lt;&gt;"",Sched_Pay+Extra_Pay&lt;Beg_Bal),Beg_Bal-Princ,IF(Pay_Num&lt;&gt;"",0,""))</f>
        <v>#VALUE!</v>
      </c>
      <c r="J147" s="865">
        <f>SUM($H$19:$H147)</f>
        <v>0</v>
      </c>
    </row>
    <row r="148" spans="1:10">
      <c r="A148" s="863" t="str">
        <f t="shared" ref="A148:A211" si="22">IF(Values_Entered,A147+1,"")</f>
        <v/>
      </c>
      <c r="B148" s="864" t="str">
        <f t="shared" si="18"/>
        <v/>
      </c>
      <c r="C148" s="865" t="str">
        <f t="shared" ref="C148:C211" si="23">IF(Pay_Num&lt;&gt;"",I147,"")</f>
        <v/>
      </c>
      <c r="D148" s="865" t="str">
        <f t="shared" si="17"/>
        <v/>
      </c>
      <c r="E148" s="866" t="e">
        <f t="shared" si="19"/>
        <v>#VALUE!</v>
      </c>
      <c r="F148" s="865" t="e">
        <f t="shared" si="20"/>
        <v>#VALUE!</v>
      </c>
      <c r="G148" s="865" t="str">
        <f t="shared" ref="G148:G211" si="24">IF(Pay_Num&lt;&gt;"",Total_Pay-Int,"")</f>
        <v/>
      </c>
      <c r="H148" s="865" t="str">
        <f t="shared" ref="H148:H211" si="25">IF(Pay_Num&lt;&gt;"",Beg_Bal*Interest_Rate/Num_Pmt_Per_Year,"")</f>
        <v/>
      </c>
      <c r="I148" s="865" t="e">
        <f t="shared" si="21"/>
        <v>#VALUE!</v>
      </c>
      <c r="J148" s="865">
        <f>SUM($H$19:$H148)</f>
        <v>0</v>
      </c>
    </row>
    <row r="149" spans="1:10">
      <c r="A149" s="863" t="str">
        <f t="shared" si="22"/>
        <v/>
      </c>
      <c r="B149" s="864" t="str">
        <f t="shared" si="18"/>
        <v/>
      </c>
      <c r="C149" s="865" t="str">
        <f t="shared" si="23"/>
        <v/>
      </c>
      <c r="D149" s="865" t="str">
        <f t="shared" ref="D149:D212" si="26">IF(Pay_Num&lt;&gt;"",Scheduled_Monthly_Payment,"")</f>
        <v/>
      </c>
      <c r="E149" s="866" t="e">
        <f t="shared" si="19"/>
        <v>#VALUE!</v>
      </c>
      <c r="F149" s="865" t="e">
        <f t="shared" si="20"/>
        <v>#VALUE!</v>
      </c>
      <c r="G149" s="865" t="str">
        <f t="shared" si="24"/>
        <v/>
      </c>
      <c r="H149" s="865" t="str">
        <f t="shared" si="25"/>
        <v/>
      </c>
      <c r="I149" s="865" t="e">
        <f t="shared" si="21"/>
        <v>#VALUE!</v>
      </c>
      <c r="J149" s="865">
        <f>SUM($H$19:$H149)</f>
        <v>0</v>
      </c>
    </row>
    <row r="150" spans="1:10">
      <c r="A150" s="863" t="str">
        <f t="shared" si="22"/>
        <v/>
      </c>
      <c r="B150" s="864" t="str">
        <f t="shared" si="18"/>
        <v/>
      </c>
      <c r="C150" s="865" t="str">
        <f t="shared" si="23"/>
        <v/>
      </c>
      <c r="D150" s="865" t="str">
        <f t="shared" si="26"/>
        <v/>
      </c>
      <c r="E150" s="866" t="e">
        <f t="shared" si="19"/>
        <v>#VALUE!</v>
      </c>
      <c r="F150" s="865" t="e">
        <f t="shared" si="20"/>
        <v>#VALUE!</v>
      </c>
      <c r="G150" s="865" t="str">
        <f t="shared" si="24"/>
        <v/>
      </c>
      <c r="H150" s="865" t="str">
        <f t="shared" si="25"/>
        <v/>
      </c>
      <c r="I150" s="865" t="e">
        <f t="shared" si="21"/>
        <v>#VALUE!</v>
      </c>
      <c r="J150" s="865">
        <f>SUM($H$19:$H150)</f>
        <v>0</v>
      </c>
    </row>
    <row r="151" spans="1:10">
      <c r="A151" s="863" t="str">
        <f t="shared" si="22"/>
        <v/>
      </c>
      <c r="B151" s="864" t="str">
        <f t="shared" si="18"/>
        <v/>
      </c>
      <c r="C151" s="865" t="str">
        <f t="shared" si="23"/>
        <v/>
      </c>
      <c r="D151" s="865" t="str">
        <f t="shared" si="26"/>
        <v/>
      </c>
      <c r="E151" s="866" t="e">
        <f t="shared" si="19"/>
        <v>#VALUE!</v>
      </c>
      <c r="F151" s="865" t="e">
        <f t="shared" si="20"/>
        <v>#VALUE!</v>
      </c>
      <c r="G151" s="865" t="str">
        <f t="shared" si="24"/>
        <v/>
      </c>
      <c r="H151" s="865" t="str">
        <f t="shared" si="25"/>
        <v/>
      </c>
      <c r="I151" s="865" t="e">
        <f t="shared" si="21"/>
        <v>#VALUE!</v>
      </c>
      <c r="J151" s="865">
        <f>SUM($H$19:$H151)</f>
        <v>0</v>
      </c>
    </row>
    <row r="152" spans="1:10">
      <c r="A152" s="863" t="str">
        <f t="shared" si="22"/>
        <v/>
      </c>
      <c r="B152" s="864" t="str">
        <f t="shared" si="18"/>
        <v/>
      </c>
      <c r="C152" s="865" t="str">
        <f t="shared" si="23"/>
        <v/>
      </c>
      <c r="D152" s="865" t="str">
        <f t="shared" si="26"/>
        <v/>
      </c>
      <c r="E152" s="866" t="e">
        <f t="shared" si="19"/>
        <v>#VALUE!</v>
      </c>
      <c r="F152" s="865" t="e">
        <f t="shared" si="20"/>
        <v>#VALUE!</v>
      </c>
      <c r="G152" s="865" t="str">
        <f t="shared" si="24"/>
        <v/>
      </c>
      <c r="H152" s="865" t="str">
        <f t="shared" si="25"/>
        <v/>
      </c>
      <c r="I152" s="865" t="e">
        <f t="shared" si="21"/>
        <v>#VALUE!</v>
      </c>
      <c r="J152" s="865">
        <f>SUM($H$19:$H152)</f>
        <v>0</v>
      </c>
    </row>
    <row r="153" spans="1:10">
      <c r="A153" s="863" t="str">
        <f t="shared" si="22"/>
        <v/>
      </c>
      <c r="B153" s="864" t="str">
        <f t="shared" si="18"/>
        <v/>
      </c>
      <c r="C153" s="865" t="str">
        <f t="shared" si="23"/>
        <v/>
      </c>
      <c r="D153" s="865" t="str">
        <f t="shared" si="26"/>
        <v/>
      </c>
      <c r="E153" s="866" t="e">
        <f t="shared" si="19"/>
        <v>#VALUE!</v>
      </c>
      <c r="F153" s="865" t="e">
        <f t="shared" si="20"/>
        <v>#VALUE!</v>
      </c>
      <c r="G153" s="865" t="str">
        <f t="shared" si="24"/>
        <v/>
      </c>
      <c r="H153" s="865" t="str">
        <f t="shared" si="25"/>
        <v/>
      </c>
      <c r="I153" s="865" t="e">
        <f t="shared" si="21"/>
        <v>#VALUE!</v>
      </c>
      <c r="J153" s="865">
        <f>SUM($H$19:$H153)</f>
        <v>0</v>
      </c>
    </row>
    <row r="154" spans="1:10">
      <c r="A154" s="863" t="str">
        <f t="shared" si="22"/>
        <v/>
      </c>
      <c r="B154" s="864" t="str">
        <f t="shared" si="18"/>
        <v/>
      </c>
      <c r="C154" s="865" t="str">
        <f t="shared" si="23"/>
        <v/>
      </c>
      <c r="D154" s="865" t="str">
        <f t="shared" si="26"/>
        <v/>
      </c>
      <c r="E154" s="866" t="e">
        <f t="shared" si="19"/>
        <v>#VALUE!</v>
      </c>
      <c r="F154" s="865" t="e">
        <f t="shared" si="20"/>
        <v>#VALUE!</v>
      </c>
      <c r="G154" s="865" t="str">
        <f t="shared" si="24"/>
        <v/>
      </c>
      <c r="H154" s="865" t="str">
        <f t="shared" si="25"/>
        <v/>
      </c>
      <c r="I154" s="865" t="e">
        <f t="shared" si="21"/>
        <v>#VALUE!</v>
      </c>
      <c r="J154" s="865">
        <f>SUM($H$19:$H154)</f>
        <v>0</v>
      </c>
    </row>
    <row r="155" spans="1:10">
      <c r="A155" s="863" t="str">
        <f t="shared" si="22"/>
        <v/>
      </c>
      <c r="B155" s="864" t="str">
        <f t="shared" si="18"/>
        <v/>
      </c>
      <c r="C155" s="865" t="str">
        <f t="shared" si="23"/>
        <v/>
      </c>
      <c r="D155" s="865" t="str">
        <f t="shared" si="26"/>
        <v/>
      </c>
      <c r="E155" s="866" t="e">
        <f t="shared" si="19"/>
        <v>#VALUE!</v>
      </c>
      <c r="F155" s="865" t="e">
        <f t="shared" si="20"/>
        <v>#VALUE!</v>
      </c>
      <c r="G155" s="865" t="str">
        <f t="shared" si="24"/>
        <v/>
      </c>
      <c r="H155" s="865" t="str">
        <f t="shared" si="25"/>
        <v/>
      </c>
      <c r="I155" s="865" t="e">
        <f t="shared" si="21"/>
        <v>#VALUE!</v>
      </c>
      <c r="J155" s="865">
        <f>SUM($H$19:$H155)</f>
        <v>0</v>
      </c>
    </row>
    <row r="156" spans="1:10">
      <c r="A156" s="863" t="str">
        <f t="shared" si="22"/>
        <v/>
      </c>
      <c r="B156" s="864" t="str">
        <f t="shared" si="18"/>
        <v/>
      </c>
      <c r="C156" s="865" t="str">
        <f t="shared" si="23"/>
        <v/>
      </c>
      <c r="D156" s="865" t="str">
        <f t="shared" si="26"/>
        <v/>
      </c>
      <c r="E156" s="866" t="e">
        <f t="shared" si="19"/>
        <v>#VALUE!</v>
      </c>
      <c r="F156" s="865" t="e">
        <f t="shared" si="20"/>
        <v>#VALUE!</v>
      </c>
      <c r="G156" s="865" t="str">
        <f t="shared" si="24"/>
        <v/>
      </c>
      <c r="H156" s="865" t="str">
        <f t="shared" si="25"/>
        <v/>
      </c>
      <c r="I156" s="865" t="e">
        <f t="shared" si="21"/>
        <v>#VALUE!</v>
      </c>
      <c r="J156" s="865">
        <f>SUM($H$19:$H156)</f>
        <v>0</v>
      </c>
    </row>
    <row r="157" spans="1:10">
      <c r="A157" s="863" t="str">
        <f t="shared" si="22"/>
        <v/>
      </c>
      <c r="B157" s="864" t="str">
        <f t="shared" si="18"/>
        <v/>
      </c>
      <c r="C157" s="865" t="str">
        <f t="shared" si="23"/>
        <v/>
      </c>
      <c r="D157" s="865" t="str">
        <f t="shared" si="26"/>
        <v/>
      </c>
      <c r="E157" s="866" t="e">
        <f t="shared" si="19"/>
        <v>#VALUE!</v>
      </c>
      <c r="F157" s="865" t="e">
        <f t="shared" si="20"/>
        <v>#VALUE!</v>
      </c>
      <c r="G157" s="865" t="str">
        <f t="shared" si="24"/>
        <v/>
      </c>
      <c r="H157" s="865" t="str">
        <f t="shared" si="25"/>
        <v/>
      </c>
      <c r="I157" s="865" t="e">
        <f t="shared" si="21"/>
        <v>#VALUE!</v>
      </c>
      <c r="J157" s="865">
        <f>SUM($H$19:$H157)</f>
        <v>0</v>
      </c>
    </row>
    <row r="158" spans="1:10">
      <c r="A158" s="863" t="str">
        <f t="shared" si="22"/>
        <v/>
      </c>
      <c r="B158" s="864" t="str">
        <f t="shared" si="18"/>
        <v/>
      </c>
      <c r="C158" s="865" t="str">
        <f t="shared" si="23"/>
        <v/>
      </c>
      <c r="D158" s="865" t="str">
        <f t="shared" si="26"/>
        <v/>
      </c>
      <c r="E158" s="866" t="e">
        <f t="shared" si="19"/>
        <v>#VALUE!</v>
      </c>
      <c r="F158" s="865" t="e">
        <f t="shared" si="20"/>
        <v>#VALUE!</v>
      </c>
      <c r="G158" s="865" t="str">
        <f t="shared" si="24"/>
        <v/>
      </c>
      <c r="H158" s="865" t="str">
        <f t="shared" si="25"/>
        <v/>
      </c>
      <c r="I158" s="865" t="e">
        <f t="shared" si="21"/>
        <v>#VALUE!</v>
      </c>
      <c r="J158" s="865">
        <f>SUM($H$19:$H158)</f>
        <v>0</v>
      </c>
    </row>
    <row r="159" spans="1:10">
      <c r="A159" s="863" t="str">
        <f t="shared" si="22"/>
        <v/>
      </c>
      <c r="B159" s="864" t="str">
        <f t="shared" si="18"/>
        <v/>
      </c>
      <c r="C159" s="865" t="str">
        <f t="shared" si="23"/>
        <v/>
      </c>
      <c r="D159" s="865" t="str">
        <f t="shared" si="26"/>
        <v/>
      </c>
      <c r="E159" s="866" t="e">
        <f t="shared" si="19"/>
        <v>#VALUE!</v>
      </c>
      <c r="F159" s="865" t="e">
        <f t="shared" si="20"/>
        <v>#VALUE!</v>
      </c>
      <c r="G159" s="865" t="str">
        <f t="shared" si="24"/>
        <v/>
      </c>
      <c r="H159" s="865" t="str">
        <f t="shared" si="25"/>
        <v/>
      </c>
      <c r="I159" s="865" t="e">
        <f t="shared" si="21"/>
        <v>#VALUE!</v>
      </c>
      <c r="J159" s="865">
        <f>SUM($H$19:$H159)</f>
        <v>0</v>
      </c>
    </row>
    <row r="160" spans="1:10">
      <c r="A160" s="863" t="str">
        <f t="shared" si="22"/>
        <v/>
      </c>
      <c r="B160" s="864" t="str">
        <f t="shared" si="18"/>
        <v/>
      </c>
      <c r="C160" s="865" t="str">
        <f t="shared" si="23"/>
        <v/>
      </c>
      <c r="D160" s="865" t="str">
        <f t="shared" si="26"/>
        <v/>
      </c>
      <c r="E160" s="866" t="e">
        <f t="shared" si="19"/>
        <v>#VALUE!</v>
      </c>
      <c r="F160" s="865" t="e">
        <f t="shared" si="20"/>
        <v>#VALUE!</v>
      </c>
      <c r="G160" s="865" t="str">
        <f t="shared" si="24"/>
        <v/>
      </c>
      <c r="H160" s="865" t="str">
        <f t="shared" si="25"/>
        <v/>
      </c>
      <c r="I160" s="865" t="e">
        <f t="shared" si="21"/>
        <v>#VALUE!</v>
      </c>
      <c r="J160" s="865">
        <f>SUM($H$19:$H160)</f>
        <v>0</v>
      </c>
    </row>
    <row r="161" spans="1:10">
      <c r="A161" s="863" t="str">
        <f t="shared" si="22"/>
        <v/>
      </c>
      <c r="B161" s="864" t="str">
        <f t="shared" si="18"/>
        <v/>
      </c>
      <c r="C161" s="865" t="str">
        <f t="shared" si="23"/>
        <v/>
      </c>
      <c r="D161" s="865" t="str">
        <f t="shared" si="26"/>
        <v/>
      </c>
      <c r="E161" s="866" t="e">
        <f t="shared" si="19"/>
        <v>#VALUE!</v>
      </c>
      <c r="F161" s="865" t="e">
        <f t="shared" si="20"/>
        <v>#VALUE!</v>
      </c>
      <c r="G161" s="865" t="str">
        <f t="shared" si="24"/>
        <v/>
      </c>
      <c r="H161" s="865" t="str">
        <f t="shared" si="25"/>
        <v/>
      </c>
      <c r="I161" s="865" t="e">
        <f t="shared" si="21"/>
        <v>#VALUE!</v>
      </c>
      <c r="J161" s="865">
        <f>SUM($H$19:$H161)</f>
        <v>0</v>
      </c>
    </row>
    <row r="162" spans="1:10">
      <c r="A162" s="863" t="str">
        <f t="shared" si="22"/>
        <v/>
      </c>
      <c r="B162" s="864" t="str">
        <f t="shared" si="18"/>
        <v/>
      </c>
      <c r="C162" s="865" t="str">
        <f t="shared" si="23"/>
        <v/>
      </c>
      <c r="D162" s="865" t="str">
        <f t="shared" si="26"/>
        <v/>
      </c>
      <c r="E162" s="866" t="e">
        <f t="shared" si="19"/>
        <v>#VALUE!</v>
      </c>
      <c r="F162" s="865" t="e">
        <f t="shared" si="20"/>
        <v>#VALUE!</v>
      </c>
      <c r="G162" s="865" t="str">
        <f t="shared" si="24"/>
        <v/>
      </c>
      <c r="H162" s="865" t="str">
        <f t="shared" si="25"/>
        <v/>
      </c>
      <c r="I162" s="865" t="e">
        <f t="shared" si="21"/>
        <v>#VALUE!</v>
      </c>
      <c r="J162" s="865">
        <f>SUM($H$19:$H162)</f>
        <v>0</v>
      </c>
    </row>
    <row r="163" spans="1:10">
      <c r="A163" s="863" t="str">
        <f t="shared" si="22"/>
        <v/>
      </c>
      <c r="B163" s="864" t="str">
        <f t="shared" si="18"/>
        <v/>
      </c>
      <c r="C163" s="865" t="str">
        <f t="shared" si="23"/>
        <v/>
      </c>
      <c r="D163" s="865" t="str">
        <f t="shared" si="26"/>
        <v/>
      </c>
      <c r="E163" s="866" t="e">
        <f t="shared" si="19"/>
        <v>#VALUE!</v>
      </c>
      <c r="F163" s="865" t="e">
        <f t="shared" si="20"/>
        <v>#VALUE!</v>
      </c>
      <c r="G163" s="865" t="str">
        <f t="shared" si="24"/>
        <v/>
      </c>
      <c r="H163" s="865" t="str">
        <f t="shared" si="25"/>
        <v/>
      </c>
      <c r="I163" s="865" t="e">
        <f t="shared" si="21"/>
        <v>#VALUE!</v>
      </c>
      <c r="J163" s="865">
        <f>SUM($H$19:$H163)</f>
        <v>0</v>
      </c>
    </row>
    <row r="164" spans="1:10">
      <c r="A164" s="863" t="str">
        <f t="shared" si="22"/>
        <v/>
      </c>
      <c r="B164" s="864" t="str">
        <f t="shared" si="18"/>
        <v/>
      </c>
      <c r="C164" s="865" t="str">
        <f t="shared" si="23"/>
        <v/>
      </c>
      <c r="D164" s="865" t="str">
        <f t="shared" si="26"/>
        <v/>
      </c>
      <c r="E164" s="866" t="e">
        <f t="shared" si="19"/>
        <v>#VALUE!</v>
      </c>
      <c r="F164" s="865" t="e">
        <f t="shared" si="20"/>
        <v>#VALUE!</v>
      </c>
      <c r="G164" s="865" t="str">
        <f t="shared" si="24"/>
        <v/>
      </c>
      <c r="H164" s="865" t="str">
        <f t="shared" si="25"/>
        <v/>
      </c>
      <c r="I164" s="865" t="e">
        <f t="shared" si="21"/>
        <v>#VALUE!</v>
      </c>
      <c r="J164" s="865">
        <f>SUM($H$19:$H164)</f>
        <v>0</v>
      </c>
    </row>
    <row r="165" spans="1:10">
      <c r="A165" s="863" t="str">
        <f t="shared" si="22"/>
        <v/>
      </c>
      <c r="B165" s="864" t="str">
        <f t="shared" si="18"/>
        <v/>
      </c>
      <c r="C165" s="865" t="str">
        <f t="shared" si="23"/>
        <v/>
      </c>
      <c r="D165" s="865" t="str">
        <f t="shared" si="26"/>
        <v/>
      </c>
      <c r="E165" s="866" t="e">
        <f t="shared" si="19"/>
        <v>#VALUE!</v>
      </c>
      <c r="F165" s="865" t="e">
        <f t="shared" si="20"/>
        <v>#VALUE!</v>
      </c>
      <c r="G165" s="865" t="str">
        <f t="shared" si="24"/>
        <v/>
      </c>
      <c r="H165" s="865" t="str">
        <f t="shared" si="25"/>
        <v/>
      </c>
      <c r="I165" s="865" t="e">
        <f t="shared" si="21"/>
        <v>#VALUE!</v>
      </c>
      <c r="J165" s="865">
        <f>SUM($H$19:$H165)</f>
        <v>0</v>
      </c>
    </row>
    <row r="166" spans="1:10">
      <c r="A166" s="863" t="str">
        <f t="shared" si="22"/>
        <v/>
      </c>
      <c r="B166" s="864" t="str">
        <f t="shared" si="18"/>
        <v/>
      </c>
      <c r="C166" s="865" t="str">
        <f t="shared" si="23"/>
        <v/>
      </c>
      <c r="D166" s="865" t="str">
        <f t="shared" si="26"/>
        <v/>
      </c>
      <c r="E166" s="866" t="e">
        <f t="shared" si="19"/>
        <v>#VALUE!</v>
      </c>
      <c r="F166" s="865" t="e">
        <f t="shared" si="20"/>
        <v>#VALUE!</v>
      </c>
      <c r="G166" s="865" t="str">
        <f t="shared" si="24"/>
        <v/>
      </c>
      <c r="H166" s="865" t="str">
        <f t="shared" si="25"/>
        <v/>
      </c>
      <c r="I166" s="865" t="e">
        <f t="shared" si="21"/>
        <v>#VALUE!</v>
      </c>
      <c r="J166" s="865">
        <f>SUM($H$19:$H166)</f>
        <v>0</v>
      </c>
    </row>
    <row r="167" spans="1:10">
      <c r="A167" s="863" t="str">
        <f t="shared" si="22"/>
        <v/>
      </c>
      <c r="B167" s="864" t="str">
        <f t="shared" si="18"/>
        <v/>
      </c>
      <c r="C167" s="865" t="str">
        <f t="shared" si="23"/>
        <v/>
      </c>
      <c r="D167" s="865" t="str">
        <f t="shared" si="26"/>
        <v/>
      </c>
      <c r="E167" s="866" t="e">
        <f t="shared" si="19"/>
        <v>#VALUE!</v>
      </c>
      <c r="F167" s="865" t="e">
        <f t="shared" si="20"/>
        <v>#VALUE!</v>
      </c>
      <c r="G167" s="865" t="str">
        <f t="shared" si="24"/>
        <v/>
      </c>
      <c r="H167" s="865" t="str">
        <f t="shared" si="25"/>
        <v/>
      </c>
      <c r="I167" s="865" t="e">
        <f t="shared" si="21"/>
        <v>#VALUE!</v>
      </c>
      <c r="J167" s="865">
        <f>SUM($H$19:$H167)</f>
        <v>0</v>
      </c>
    </row>
    <row r="168" spans="1:10">
      <c r="A168" s="863" t="str">
        <f t="shared" si="22"/>
        <v/>
      </c>
      <c r="B168" s="864" t="str">
        <f t="shared" si="18"/>
        <v/>
      </c>
      <c r="C168" s="865" t="str">
        <f t="shared" si="23"/>
        <v/>
      </c>
      <c r="D168" s="865" t="str">
        <f t="shared" si="26"/>
        <v/>
      </c>
      <c r="E168" s="866" t="e">
        <f t="shared" si="19"/>
        <v>#VALUE!</v>
      </c>
      <c r="F168" s="865" t="e">
        <f t="shared" si="20"/>
        <v>#VALUE!</v>
      </c>
      <c r="G168" s="865" t="str">
        <f t="shared" si="24"/>
        <v/>
      </c>
      <c r="H168" s="865" t="str">
        <f t="shared" si="25"/>
        <v/>
      </c>
      <c r="I168" s="865" t="e">
        <f t="shared" si="21"/>
        <v>#VALUE!</v>
      </c>
      <c r="J168" s="865">
        <f>SUM($H$19:$H168)</f>
        <v>0</v>
      </c>
    </row>
    <row r="169" spans="1:10">
      <c r="A169" s="863" t="str">
        <f t="shared" si="22"/>
        <v/>
      </c>
      <c r="B169" s="864" t="str">
        <f t="shared" si="18"/>
        <v/>
      </c>
      <c r="C169" s="865" t="str">
        <f t="shared" si="23"/>
        <v/>
      </c>
      <c r="D169" s="865" t="str">
        <f t="shared" si="26"/>
        <v/>
      </c>
      <c r="E169" s="866" t="e">
        <f t="shared" si="19"/>
        <v>#VALUE!</v>
      </c>
      <c r="F169" s="865" t="e">
        <f t="shared" si="20"/>
        <v>#VALUE!</v>
      </c>
      <c r="G169" s="865" t="str">
        <f t="shared" si="24"/>
        <v/>
      </c>
      <c r="H169" s="865" t="str">
        <f t="shared" si="25"/>
        <v/>
      </c>
      <c r="I169" s="865" t="e">
        <f t="shared" si="21"/>
        <v>#VALUE!</v>
      </c>
      <c r="J169" s="865">
        <f>SUM($H$19:$H169)</f>
        <v>0</v>
      </c>
    </row>
    <row r="170" spans="1:10">
      <c r="A170" s="863" t="str">
        <f t="shared" si="22"/>
        <v/>
      </c>
      <c r="B170" s="864" t="str">
        <f t="shared" si="18"/>
        <v/>
      </c>
      <c r="C170" s="865" t="str">
        <f t="shared" si="23"/>
        <v/>
      </c>
      <c r="D170" s="865" t="str">
        <f t="shared" si="26"/>
        <v/>
      </c>
      <c r="E170" s="866" t="e">
        <f t="shared" si="19"/>
        <v>#VALUE!</v>
      </c>
      <c r="F170" s="865" t="e">
        <f t="shared" si="20"/>
        <v>#VALUE!</v>
      </c>
      <c r="G170" s="865" t="str">
        <f t="shared" si="24"/>
        <v/>
      </c>
      <c r="H170" s="865" t="str">
        <f t="shared" si="25"/>
        <v/>
      </c>
      <c r="I170" s="865" t="e">
        <f t="shared" si="21"/>
        <v>#VALUE!</v>
      </c>
      <c r="J170" s="865">
        <f>SUM($H$19:$H170)</f>
        <v>0</v>
      </c>
    </row>
    <row r="171" spans="1:10">
      <c r="A171" s="863" t="str">
        <f t="shared" si="22"/>
        <v/>
      </c>
      <c r="B171" s="864" t="str">
        <f t="shared" si="18"/>
        <v/>
      </c>
      <c r="C171" s="865" t="str">
        <f t="shared" si="23"/>
        <v/>
      </c>
      <c r="D171" s="865" t="str">
        <f t="shared" si="26"/>
        <v/>
      </c>
      <c r="E171" s="866" t="e">
        <f t="shared" si="19"/>
        <v>#VALUE!</v>
      </c>
      <c r="F171" s="865" t="e">
        <f t="shared" si="20"/>
        <v>#VALUE!</v>
      </c>
      <c r="G171" s="865" t="str">
        <f t="shared" si="24"/>
        <v/>
      </c>
      <c r="H171" s="865" t="str">
        <f t="shared" si="25"/>
        <v/>
      </c>
      <c r="I171" s="865" t="e">
        <f t="shared" si="21"/>
        <v>#VALUE!</v>
      </c>
      <c r="J171" s="865">
        <f>SUM($H$19:$H171)</f>
        <v>0</v>
      </c>
    </row>
    <row r="172" spans="1:10">
      <c r="A172" s="863" t="str">
        <f t="shared" si="22"/>
        <v/>
      </c>
      <c r="B172" s="864" t="str">
        <f t="shared" si="18"/>
        <v/>
      </c>
      <c r="C172" s="865" t="str">
        <f t="shared" si="23"/>
        <v/>
      </c>
      <c r="D172" s="865" t="str">
        <f t="shared" si="26"/>
        <v/>
      </c>
      <c r="E172" s="866" t="e">
        <f t="shared" si="19"/>
        <v>#VALUE!</v>
      </c>
      <c r="F172" s="865" t="e">
        <f t="shared" si="20"/>
        <v>#VALUE!</v>
      </c>
      <c r="G172" s="865" t="str">
        <f t="shared" si="24"/>
        <v/>
      </c>
      <c r="H172" s="865" t="str">
        <f t="shared" si="25"/>
        <v/>
      </c>
      <c r="I172" s="865" t="e">
        <f t="shared" si="21"/>
        <v>#VALUE!</v>
      </c>
      <c r="J172" s="865">
        <f>SUM($H$19:$H172)</f>
        <v>0</v>
      </c>
    </row>
    <row r="173" spans="1:10">
      <c r="A173" s="863" t="str">
        <f t="shared" si="22"/>
        <v/>
      </c>
      <c r="B173" s="864" t="str">
        <f t="shared" si="18"/>
        <v/>
      </c>
      <c r="C173" s="865" t="str">
        <f t="shared" si="23"/>
        <v/>
      </c>
      <c r="D173" s="865" t="str">
        <f t="shared" si="26"/>
        <v/>
      </c>
      <c r="E173" s="866" t="e">
        <f t="shared" si="19"/>
        <v>#VALUE!</v>
      </c>
      <c r="F173" s="865" t="e">
        <f t="shared" si="20"/>
        <v>#VALUE!</v>
      </c>
      <c r="G173" s="865" t="str">
        <f t="shared" si="24"/>
        <v/>
      </c>
      <c r="H173" s="865" t="str">
        <f t="shared" si="25"/>
        <v/>
      </c>
      <c r="I173" s="865" t="e">
        <f t="shared" si="21"/>
        <v>#VALUE!</v>
      </c>
      <c r="J173" s="865">
        <f>SUM($H$19:$H173)</f>
        <v>0</v>
      </c>
    </row>
    <row r="174" spans="1:10">
      <c r="A174" s="863" t="str">
        <f t="shared" si="22"/>
        <v/>
      </c>
      <c r="B174" s="864" t="str">
        <f t="shared" si="18"/>
        <v/>
      </c>
      <c r="C174" s="865" t="str">
        <f t="shared" si="23"/>
        <v/>
      </c>
      <c r="D174" s="865" t="str">
        <f t="shared" si="26"/>
        <v/>
      </c>
      <c r="E174" s="866" t="e">
        <f t="shared" si="19"/>
        <v>#VALUE!</v>
      </c>
      <c r="F174" s="865" t="e">
        <f t="shared" si="20"/>
        <v>#VALUE!</v>
      </c>
      <c r="G174" s="865" t="str">
        <f t="shared" si="24"/>
        <v/>
      </c>
      <c r="H174" s="865" t="str">
        <f t="shared" si="25"/>
        <v/>
      </c>
      <c r="I174" s="865" t="e">
        <f t="shared" si="21"/>
        <v>#VALUE!</v>
      </c>
      <c r="J174" s="865">
        <f>SUM($H$19:$H174)</f>
        <v>0</v>
      </c>
    </row>
    <row r="175" spans="1:10">
      <c r="A175" s="863" t="str">
        <f t="shared" si="22"/>
        <v/>
      </c>
      <c r="B175" s="864" t="str">
        <f t="shared" si="18"/>
        <v/>
      </c>
      <c r="C175" s="865" t="str">
        <f t="shared" si="23"/>
        <v/>
      </c>
      <c r="D175" s="865" t="str">
        <f t="shared" si="26"/>
        <v/>
      </c>
      <c r="E175" s="866" t="e">
        <f t="shared" si="19"/>
        <v>#VALUE!</v>
      </c>
      <c r="F175" s="865" t="e">
        <f t="shared" si="20"/>
        <v>#VALUE!</v>
      </c>
      <c r="G175" s="865" t="str">
        <f t="shared" si="24"/>
        <v/>
      </c>
      <c r="H175" s="865" t="str">
        <f t="shared" si="25"/>
        <v/>
      </c>
      <c r="I175" s="865" t="e">
        <f t="shared" si="21"/>
        <v>#VALUE!</v>
      </c>
      <c r="J175" s="865">
        <f>SUM($H$19:$H175)</f>
        <v>0</v>
      </c>
    </row>
    <row r="176" spans="1:10">
      <c r="A176" s="863" t="str">
        <f t="shared" si="22"/>
        <v/>
      </c>
      <c r="B176" s="864" t="str">
        <f t="shared" si="18"/>
        <v/>
      </c>
      <c r="C176" s="865" t="str">
        <f t="shared" si="23"/>
        <v/>
      </c>
      <c r="D176" s="865" t="str">
        <f t="shared" si="26"/>
        <v/>
      </c>
      <c r="E176" s="866" t="e">
        <f t="shared" si="19"/>
        <v>#VALUE!</v>
      </c>
      <c r="F176" s="865" t="e">
        <f t="shared" si="20"/>
        <v>#VALUE!</v>
      </c>
      <c r="G176" s="865" t="str">
        <f t="shared" si="24"/>
        <v/>
      </c>
      <c r="H176" s="865" t="str">
        <f t="shared" si="25"/>
        <v/>
      </c>
      <c r="I176" s="865" t="e">
        <f t="shared" si="21"/>
        <v>#VALUE!</v>
      </c>
      <c r="J176" s="865">
        <f>SUM($H$19:$H176)</f>
        <v>0</v>
      </c>
    </row>
    <row r="177" spans="1:10">
      <c r="A177" s="863" t="str">
        <f t="shared" si="22"/>
        <v/>
      </c>
      <c r="B177" s="864" t="str">
        <f t="shared" si="18"/>
        <v/>
      </c>
      <c r="C177" s="865" t="str">
        <f t="shared" si="23"/>
        <v/>
      </c>
      <c r="D177" s="865" t="str">
        <f t="shared" si="26"/>
        <v/>
      </c>
      <c r="E177" s="866" t="e">
        <f t="shared" si="19"/>
        <v>#VALUE!</v>
      </c>
      <c r="F177" s="865" t="e">
        <f t="shared" si="20"/>
        <v>#VALUE!</v>
      </c>
      <c r="G177" s="865" t="str">
        <f t="shared" si="24"/>
        <v/>
      </c>
      <c r="H177" s="865" t="str">
        <f t="shared" si="25"/>
        <v/>
      </c>
      <c r="I177" s="865" t="e">
        <f t="shared" si="21"/>
        <v>#VALUE!</v>
      </c>
      <c r="J177" s="865">
        <f>SUM($H$19:$H177)</f>
        <v>0</v>
      </c>
    </row>
    <row r="178" spans="1:10">
      <c r="A178" s="863" t="str">
        <f t="shared" si="22"/>
        <v/>
      </c>
      <c r="B178" s="864" t="str">
        <f t="shared" si="18"/>
        <v/>
      </c>
      <c r="C178" s="865" t="str">
        <f t="shared" si="23"/>
        <v/>
      </c>
      <c r="D178" s="865" t="str">
        <f t="shared" si="26"/>
        <v/>
      </c>
      <c r="E178" s="866" t="e">
        <f t="shared" si="19"/>
        <v>#VALUE!</v>
      </c>
      <c r="F178" s="865" t="e">
        <f t="shared" si="20"/>
        <v>#VALUE!</v>
      </c>
      <c r="G178" s="865" t="str">
        <f t="shared" si="24"/>
        <v/>
      </c>
      <c r="H178" s="865" t="str">
        <f t="shared" si="25"/>
        <v/>
      </c>
      <c r="I178" s="865" t="e">
        <f t="shared" si="21"/>
        <v>#VALUE!</v>
      </c>
      <c r="J178" s="865">
        <f>SUM($H$19:$H178)</f>
        <v>0</v>
      </c>
    </row>
    <row r="179" spans="1:10">
      <c r="A179" s="863" t="str">
        <f t="shared" si="22"/>
        <v/>
      </c>
      <c r="B179" s="864" t="str">
        <f t="shared" si="18"/>
        <v/>
      </c>
      <c r="C179" s="865" t="str">
        <f t="shared" si="23"/>
        <v/>
      </c>
      <c r="D179" s="865" t="str">
        <f t="shared" si="26"/>
        <v/>
      </c>
      <c r="E179" s="866" t="e">
        <f t="shared" si="19"/>
        <v>#VALUE!</v>
      </c>
      <c r="F179" s="865" t="e">
        <f t="shared" si="20"/>
        <v>#VALUE!</v>
      </c>
      <c r="G179" s="865" t="str">
        <f t="shared" si="24"/>
        <v/>
      </c>
      <c r="H179" s="865" t="str">
        <f t="shared" si="25"/>
        <v/>
      </c>
      <c r="I179" s="865" t="e">
        <f t="shared" si="21"/>
        <v>#VALUE!</v>
      </c>
      <c r="J179" s="865">
        <f>SUM($H$19:$H179)</f>
        <v>0</v>
      </c>
    </row>
    <row r="180" spans="1:10">
      <c r="A180" s="863" t="str">
        <f t="shared" si="22"/>
        <v/>
      </c>
      <c r="B180" s="864" t="str">
        <f t="shared" si="18"/>
        <v/>
      </c>
      <c r="C180" s="865" t="str">
        <f t="shared" si="23"/>
        <v/>
      </c>
      <c r="D180" s="865" t="str">
        <f t="shared" si="26"/>
        <v/>
      </c>
      <c r="E180" s="866" t="e">
        <f t="shared" si="19"/>
        <v>#VALUE!</v>
      </c>
      <c r="F180" s="865" t="e">
        <f t="shared" si="20"/>
        <v>#VALUE!</v>
      </c>
      <c r="G180" s="865" t="str">
        <f t="shared" si="24"/>
        <v/>
      </c>
      <c r="H180" s="865" t="str">
        <f t="shared" si="25"/>
        <v/>
      </c>
      <c r="I180" s="865" t="e">
        <f t="shared" si="21"/>
        <v>#VALUE!</v>
      </c>
      <c r="J180" s="865">
        <f>SUM($H$19:$H180)</f>
        <v>0</v>
      </c>
    </row>
    <row r="181" spans="1:10">
      <c r="A181" s="863" t="str">
        <f t="shared" si="22"/>
        <v/>
      </c>
      <c r="B181" s="864" t="str">
        <f t="shared" si="18"/>
        <v/>
      </c>
      <c r="C181" s="865" t="str">
        <f t="shared" si="23"/>
        <v/>
      </c>
      <c r="D181" s="865" t="str">
        <f t="shared" si="26"/>
        <v/>
      </c>
      <c r="E181" s="866" t="e">
        <f t="shared" si="19"/>
        <v>#VALUE!</v>
      </c>
      <c r="F181" s="865" t="e">
        <f t="shared" si="20"/>
        <v>#VALUE!</v>
      </c>
      <c r="G181" s="865" t="str">
        <f t="shared" si="24"/>
        <v/>
      </c>
      <c r="H181" s="865" t="str">
        <f t="shared" si="25"/>
        <v/>
      </c>
      <c r="I181" s="865" t="e">
        <f t="shared" si="21"/>
        <v>#VALUE!</v>
      </c>
      <c r="J181" s="865">
        <f>SUM($H$19:$H181)</f>
        <v>0</v>
      </c>
    </row>
    <row r="182" spans="1:10">
      <c r="A182" s="863" t="str">
        <f t="shared" si="22"/>
        <v/>
      </c>
      <c r="B182" s="864" t="str">
        <f t="shared" si="18"/>
        <v/>
      </c>
      <c r="C182" s="865" t="str">
        <f t="shared" si="23"/>
        <v/>
      </c>
      <c r="D182" s="865" t="str">
        <f t="shared" si="26"/>
        <v/>
      </c>
      <c r="E182" s="866" t="e">
        <f t="shared" si="19"/>
        <v>#VALUE!</v>
      </c>
      <c r="F182" s="865" t="e">
        <f t="shared" si="20"/>
        <v>#VALUE!</v>
      </c>
      <c r="G182" s="865" t="str">
        <f t="shared" si="24"/>
        <v/>
      </c>
      <c r="H182" s="865" t="str">
        <f t="shared" si="25"/>
        <v/>
      </c>
      <c r="I182" s="865" t="e">
        <f t="shared" si="21"/>
        <v>#VALUE!</v>
      </c>
      <c r="J182" s="865">
        <f>SUM($H$19:$H182)</f>
        <v>0</v>
      </c>
    </row>
    <row r="183" spans="1:10">
      <c r="A183" s="863" t="str">
        <f t="shared" si="22"/>
        <v/>
      </c>
      <c r="B183" s="864" t="str">
        <f t="shared" si="18"/>
        <v/>
      </c>
      <c r="C183" s="865" t="str">
        <f t="shared" si="23"/>
        <v/>
      </c>
      <c r="D183" s="865" t="str">
        <f t="shared" si="26"/>
        <v/>
      </c>
      <c r="E183" s="866" t="e">
        <f t="shared" si="19"/>
        <v>#VALUE!</v>
      </c>
      <c r="F183" s="865" t="e">
        <f t="shared" si="20"/>
        <v>#VALUE!</v>
      </c>
      <c r="G183" s="865" t="str">
        <f t="shared" si="24"/>
        <v/>
      </c>
      <c r="H183" s="865" t="str">
        <f t="shared" si="25"/>
        <v/>
      </c>
      <c r="I183" s="865" t="e">
        <f t="shared" si="21"/>
        <v>#VALUE!</v>
      </c>
      <c r="J183" s="865">
        <f>SUM($H$19:$H183)</f>
        <v>0</v>
      </c>
    </row>
    <row r="184" spans="1:10">
      <c r="A184" s="863" t="str">
        <f t="shared" si="22"/>
        <v/>
      </c>
      <c r="B184" s="864" t="str">
        <f t="shared" si="18"/>
        <v/>
      </c>
      <c r="C184" s="865" t="str">
        <f t="shared" si="23"/>
        <v/>
      </c>
      <c r="D184" s="865" t="str">
        <f t="shared" si="26"/>
        <v/>
      </c>
      <c r="E184" s="866" t="e">
        <f t="shared" si="19"/>
        <v>#VALUE!</v>
      </c>
      <c r="F184" s="865" t="e">
        <f t="shared" si="20"/>
        <v>#VALUE!</v>
      </c>
      <c r="G184" s="865" t="str">
        <f t="shared" si="24"/>
        <v/>
      </c>
      <c r="H184" s="865" t="str">
        <f t="shared" si="25"/>
        <v/>
      </c>
      <c r="I184" s="865" t="e">
        <f t="shared" si="21"/>
        <v>#VALUE!</v>
      </c>
      <c r="J184" s="865">
        <f>SUM($H$19:$H184)</f>
        <v>0</v>
      </c>
    </row>
    <row r="185" spans="1:10">
      <c r="A185" s="863" t="str">
        <f t="shared" si="22"/>
        <v/>
      </c>
      <c r="B185" s="864" t="str">
        <f t="shared" si="18"/>
        <v/>
      </c>
      <c r="C185" s="865" t="str">
        <f t="shared" si="23"/>
        <v/>
      </c>
      <c r="D185" s="865" t="str">
        <f t="shared" si="26"/>
        <v/>
      </c>
      <c r="E185" s="866" t="e">
        <f t="shared" si="19"/>
        <v>#VALUE!</v>
      </c>
      <c r="F185" s="865" t="e">
        <f t="shared" si="20"/>
        <v>#VALUE!</v>
      </c>
      <c r="G185" s="865" t="str">
        <f t="shared" si="24"/>
        <v/>
      </c>
      <c r="H185" s="865" t="str">
        <f t="shared" si="25"/>
        <v/>
      </c>
      <c r="I185" s="865" t="e">
        <f t="shared" si="21"/>
        <v>#VALUE!</v>
      </c>
      <c r="J185" s="865">
        <f>SUM($H$19:$H185)</f>
        <v>0</v>
      </c>
    </row>
    <row r="186" spans="1:10">
      <c r="A186" s="863" t="str">
        <f t="shared" si="22"/>
        <v/>
      </c>
      <c r="B186" s="864" t="str">
        <f t="shared" si="18"/>
        <v/>
      </c>
      <c r="C186" s="865" t="str">
        <f t="shared" si="23"/>
        <v/>
      </c>
      <c r="D186" s="865" t="str">
        <f t="shared" si="26"/>
        <v/>
      </c>
      <c r="E186" s="866" t="e">
        <f t="shared" si="19"/>
        <v>#VALUE!</v>
      </c>
      <c r="F186" s="865" t="e">
        <f t="shared" si="20"/>
        <v>#VALUE!</v>
      </c>
      <c r="G186" s="865" t="str">
        <f t="shared" si="24"/>
        <v/>
      </c>
      <c r="H186" s="865" t="str">
        <f t="shared" si="25"/>
        <v/>
      </c>
      <c r="I186" s="865" t="e">
        <f t="shared" si="21"/>
        <v>#VALUE!</v>
      </c>
      <c r="J186" s="865">
        <f>SUM($H$19:$H186)</f>
        <v>0</v>
      </c>
    </row>
    <row r="187" spans="1:10">
      <c r="A187" s="863" t="str">
        <f t="shared" si="22"/>
        <v/>
      </c>
      <c r="B187" s="864" t="str">
        <f t="shared" si="18"/>
        <v/>
      </c>
      <c r="C187" s="865" t="str">
        <f t="shared" si="23"/>
        <v/>
      </c>
      <c r="D187" s="865" t="str">
        <f t="shared" si="26"/>
        <v/>
      </c>
      <c r="E187" s="866" t="e">
        <f t="shared" si="19"/>
        <v>#VALUE!</v>
      </c>
      <c r="F187" s="865" t="e">
        <f t="shared" si="20"/>
        <v>#VALUE!</v>
      </c>
      <c r="G187" s="865" t="str">
        <f t="shared" si="24"/>
        <v/>
      </c>
      <c r="H187" s="865" t="str">
        <f t="shared" si="25"/>
        <v/>
      </c>
      <c r="I187" s="865" t="e">
        <f t="shared" si="21"/>
        <v>#VALUE!</v>
      </c>
      <c r="J187" s="865">
        <f>SUM($H$19:$H187)</f>
        <v>0</v>
      </c>
    </row>
    <row r="188" spans="1:10">
      <c r="A188" s="863" t="str">
        <f t="shared" si="22"/>
        <v/>
      </c>
      <c r="B188" s="864" t="str">
        <f t="shared" si="18"/>
        <v/>
      </c>
      <c r="C188" s="865" t="str">
        <f t="shared" si="23"/>
        <v/>
      </c>
      <c r="D188" s="865" t="str">
        <f t="shared" si="26"/>
        <v/>
      </c>
      <c r="E188" s="866" t="e">
        <f t="shared" si="19"/>
        <v>#VALUE!</v>
      </c>
      <c r="F188" s="865" t="e">
        <f t="shared" si="20"/>
        <v>#VALUE!</v>
      </c>
      <c r="G188" s="865" t="str">
        <f t="shared" si="24"/>
        <v/>
      </c>
      <c r="H188" s="865" t="str">
        <f t="shared" si="25"/>
        <v/>
      </c>
      <c r="I188" s="865" t="e">
        <f t="shared" si="21"/>
        <v>#VALUE!</v>
      </c>
      <c r="J188" s="865">
        <f>SUM($H$19:$H188)</f>
        <v>0</v>
      </c>
    </row>
    <row r="189" spans="1:10">
      <c r="A189" s="863" t="str">
        <f t="shared" si="22"/>
        <v/>
      </c>
      <c r="B189" s="864" t="str">
        <f t="shared" si="18"/>
        <v/>
      </c>
      <c r="C189" s="865" t="str">
        <f t="shared" si="23"/>
        <v/>
      </c>
      <c r="D189" s="865" t="str">
        <f t="shared" si="26"/>
        <v/>
      </c>
      <c r="E189" s="866" t="e">
        <f t="shared" si="19"/>
        <v>#VALUE!</v>
      </c>
      <c r="F189" s="865" t="e">
        <f t="shared" si="20"/>
        <v>#VALUE!</v>
      </c>
      <c r="G189" s="865" t="str">
        <f t="shared" si="24"/>
        <v/>
      </c>
      <c r="H189" s="865" t="str">
        <f t="shared" si="25"/>
        <v/>
      </c>
      <c r="I189" s="865" t="e">
        <f t="shared" si="21"/>
        <v>#VALUE!</v>
      </c>
      <c r="J189" s="865">
        <f>SUM($H$19:$H189)</f>
        <v>0</v>
      </c>
    </row>
    <row r="190" spans="1:10">
      <c r="A190" s="863" t="str">
        <f t="shared" si="22"/>
        <v/>
      </c>
      <c r="B190" s="864" t="str">
        <f t="shared" si="18"/>
        <v/>
      </c>
      <c r="C190" s="865" t="str">
        <f t="shared" si="23"/>
        <v/>
      </c>
      <c r="D190" s="865" t="str">
        <f t="shared" si="26"/>
        <v/>
      </c>
      <c r="E190" s="866" t="e">
        <f t="shared" si="19"/>
        <v>#VALUE!</v>
      </c>
      <c r="F190" s="865" t="e">
        <f t="shared" si="20"/>
        <v>#VALUE!</v>
      </c>
      <c r="G190" s="865" t="str">
        <f t="shared" si="24"/>
        <v/>
      </c>
      <c r="H190" s="865" t="str">
        <f t="shared" si="25"/>
        <v/>
      </c>
      <c r="I190" s="865" t="e">
        <f t="shared" si="21"/>
        <v>#VALUE!</v>
      </c>
      <c r="J190" s="865">
        <f>SUM($H$19:$H190)</f>
        <v>0</v>
      </c>
    </row>
    <row r="191" spans="1:10">
      <c r="A191" s="863" t="str">
        <f t="shared" si="22"/>
        <v/>
      </c>
      <c r="B191" s="864" t="str">
        <f t="shared" si="18"/>
        <v/>
      </c>
      <c r="C191" s="865" t="str">
        <f t="shared" si="23"/>
        <v/>
      </c>
      <c r="D191" s="865" t="str">
        <f t="shared" si="26"/>
        <v/>
      </c>
      <c r="E191" s="866" t="e">
        <f t="shared" si="19"/>
        <v>#VALUE!</v>
      </c>
      <c r="F191" s="865" t="e">
        <f t="shared" si="20"/>
        <v>#VALUE!</v>
      </c>
      <c r="G191" s="865" t="str">
        <f t="shared" si="24"/>
        <v/>
      </c>
      <c r="H191" s="865" t="str">
        <f t="shared" si="25"/>
        <v/>
      </c>
      <c r="I191" s="865" t="e">
        <f t="shared" si="21"/>
        <v>#VALUE!</v>
      </c>
      <c r="J191" s="865">
        <f>SUM($H$19:$H191)</f>
        <v>0</v>
      </c>
    </row>
    <row r="192" spans="1:10">
      <c r="A192" s="863" t="str">
        <f t="shared" si="22"/>
        <v/>
      </c>
      <c r="B192" s="864" t="str">
        <f t="shared" si="18"/>
        <v/>
      </c>
      <c r="C192" s="865" t="str">
        <f t="shared" si="23"/>
        <v/>
      </c>
      <c r="D192" s="865" t="str">
        <f t="shared" si="26"/>
        <v/>
      </c>
      <c r="E192" s="866" t="e">
        <f t="shared" si="19"/>
        <v>#VALUE!</v>
      </c>
      <c r="F192" s="865" t="e">
        <f t="shared" si="20"/>
        <v>#VALUE!</v>
      </c>
      <c r="G192" s="865" t="str">
        <f t="shared" si="24"/>
        <v/>
      </c>
      <c r="H192" s="865" t="str">
        <f t="shared" si="25"/>
        <v/>
      </c>
      <c r="I192" s="865" t="e">
        <f t="shared" si="21"/>
        <v>#VALUE!</v>
      </c>
      <c r="J192" s="865">
        <f>SUM($H$19:$H192)</f>
        <v>0</v>
      </c>
    </row>
    <row r="193" spans="1:10">
      <c r="A193" s="863" t="str">
        <f t="shared" si="22"/>
        <v/>
      </c>
      <c r="B193" s="864" t="str">
        <f t="shared" si="18"/>
        <v/>
      </c>
      <c r="C193" s="865" t="str">
        <f t="shared" si="23"/>
        <v/>
      </c>
      <c r="D193" s="865" t="str">
        <f t="shared" si="26"/>
        <v/>
      </c>
      <c r="E193" s="866" t="e">
        <f t="shared" si="19"/>
        <v>#VALUE!</v>
      </c>
      <c r="F193" s="865" t="e">
        <f t="shared" si="20"/>
        <v>#VALUE!</v>
      </c>
      <c r="G193" s="865" t="str">
        <f t="shared" si="24"/>
        <v/>
      </c>
      <c r="H193" s="865" t="str">
        <f t="shared" si="25"/>
        <v/>
      </c>
      <c r="I193" s="865" t="e">
        <f t="shared" si="21"/>
        <v>#VALUE!</v>
      </c>
      <c r="J193" s="865">
        <f>SUM($H$19:$H193)</f>
        <v>0</v>
      </c>
    </row>
    <row r="194" spans="1:10">
      <c r="A194" s="863" t="str">
        <f t="shared" si="22"/>
        <v/>
      </c>
      <c r="B194" s="864" t="str">
        <f t="shared" si="18"/>
        <v/>
      </c>
      <c r="C194" s="865" t="str">
        <f t="shared" si="23"/>
        <v/>
      </c>
      <c r="D194" s="865" t="str">
        <f t="shared" si="26"/>
        <v/>
      </c>
      <c r="E194" s="866" t="e">
        <f t="shared" si="19"/>
        <v>#VALUE!</v>
      </c>
      <c r="F194" s="865" t="e">
        <f t="shared" si="20"/>
        <v>#VALUE!</v>
      </c>
      <c r="G194" s="865" t="str">
        <f t="shared" si="24"/>
        <v/>
      </c>
      <c r="H194" s="865" t="str">
        <f t="shared" si="25"/>
        <v/>
      </c>
      <c r="I194" s="865" t="e">
        <f t="shared" si="21"/>
        <v>#VALUE!</v>
      </c>
      <c r="J194" s="865">
        <f>SUM($H$19:$H194)</f>
        <v>0</v>
      </c>
    </row>
    <row r="195" spans="1:10">
      <c r="A195" s="863" t="str">
        <f t="shared" si="22"/>
        <v/>
      </c>
      <c r="B195" s="864" t="str">
        <f t="shared" si="18"/>
        <v/>
      </c>
      <c r="C195" s="865" t="str">
        <f t="shared" si="23"/>
        <v/>
      </c>
      <c r="D195" s="865" t="str">
        <f t="shared" si="26"/>
        <v/>
      </c>
      <c r="E195" s="866" t="e">
        <f t="shared" si="19"/>
        <v>#VALUE!</v>
      </c>
      <c r="F195" s="865" t="e">
        <f t="shared" si="20"/>
        <v>#VALUE!</v>
      </c>
      <c r="G195" s="865" t="str">
        <f t="shared" si="24"/>
        <v/>
      </c>
      <c r="H195" s="865" t="str">
        <f t="shared" si="25"/>
        <v/>
      </c>
      <c r="I195" s="865" t="e">
        <f t="shared" si="21"/>
        <v>#VALUE!</v>
      </c>
      <c r="J195" s="865">
        <f>SUM($H$19:$H195)</f>
        <v>0</v>
      </c>
    </row>
    <row r="196" spans="1:10">
      <c r="A196" s="863" t="str">
        <f t="shared" si="22"/>
        <v/>
      </c>
      <c r="B196" s="864" t="str">
        <f t="shared" si="18"/>
        <v/>
      </c>
      <c r="C196" s="865" t="str">
        <f t="shared" si="23"/>
        <v/>
      </c>
      <c r="D196" s="865" t="str">
        <f t="shared" si="26"/>
        <v/>
      </c>
      <c r="E196" s="866" t="e">
        <f t="shared" si="19"/>
        <v>#VALUE!</v>
      </c>
      <c r="F196" s="865" t="e">
        <f t="shared" si="20"/>
        <v>#VALUE!</v>
      </c>
      <c r="G196" s="865" t="str">
        <f t="shared" si="24"/>
        <v/>
      </c>
      <c r="H196" s="865" t="str">
        <f t="shared" si="25"/>
        <v/>
      </c>
      <c r="I196" s="865" t="e">
        <f t="shared" si="21"/>
        <v>#VALUE!</v>
      </c>
      <c r="J196" s="865">
        <f>SUM($H$19:$H196)</f>
        <v>0</v>
      </c>
    </row>
    <row r="197" spans="1:10">
      <c r="A197" s="863" t="str">
        <f t="shared" si="22"/>
        <v/>
      </c>
      <c r="B197" s="864" t="str">
        <f t="shared" si="18"/>
        <v/>
      </c>
      <c r="C197" s="865" t="str">
        <f t="shared" si="23"/>
        <v/>
      </c>
      <c r="D197" s="865" t="str">
        <f t="shared" si="26"/>
        <v/>
      </c>
      <c r="E197" s="866" t="e">
        <f t="shared" si="19"/>
        <v>#VALUE!</v>
      </c>
      <c r="F197" s="865" t="e">
        <f t="shared" si="20"/>
        <v>#VALUE!</v>
      </c>
      <c r="G197" s="865" t="str">
        <f t="shared" si="24"/>
        <v/>
      </c>
      <c r="H197" s="865" t="str">
        <f t="shared" si="25"/>
        <v/>
      </c>
      <c r="I197" s="865" t="e">
        <f t="shared" si="21"/>
        <v>#VALUE!</v>
      </c>
      <c r="J197" s="865">
        <f>SUM($H$19:$H197)</f>
        <v>0</v>
      </c>
    </row>
    <row r="198" spans="1:10">
      <c r="A198" s="863" t="str">
        <f t="shared" si="22"/>
        <v/>
      </c>
      <c r="B198" s="864" t="str">
        <f t="shared" si="18"/>
        <v/>
      </c>
      <c r="C198" s="865" t="str">
        <f t="shared" si="23"/>
        <v/>
      </c>
      <c r="D198" s="865" t="str">
        <f t="shared" si="26"/>
        <v/>
      </c>
      <c r="E198" s="866" t="e">
        <f t="shared" si="19"/>
        <v>#VALUE!</v>
      </c>
      <c r="F198" s="865" t="e">
        <f t="shared" si="20"/>
        <v>#VALUE!</v>
      </c>
      <c r="G198" s="865" t="str">
        <f t="shared" si="24"/>
        <v/>
      </c>
      <c r="H198" s="865" t="str">
        <f t="shared" si="25"/>
        <v/>
      </c>
      <c r="I198" s="865" t="e">
        <f t="shared" si="21"/>
        <v>#VALUE!</v>
      </c>
      <c r="J198" s="865">
        <f>SUM($H$19:$H198)</f>
        <v>0</v>
      </c>
    </row>
    <row r="199" spans="1:10">
      <c r="A199" s="863" t="str">
        <f t="shared" si="22"/>
        <v/>
      </c>
      <c r="B199" s="864" t="str">
        <f t="shared" si="18"/>
        <v/>
      </c>
      <c r="C199" s="865" t="str">
        <f t="shared" si="23"/>
        <v/>
      </c>
      <c r="D199" s="865" t="str">
        <f t="shared" si="26"/>
        <v/>
      </c>
      <c r="E199" s="866" t="e">
        <f t="shared" si="19"/>
        <v>#VALUE!</v>
      </c>
      <c r="F199" s="865" t="e">
        <f t="shared" si="20"/>
        <v>#VALUE!</v>
      </c>
      <c r="G199" s="865" t="str">
        <f t="shared" si="24"/>
        <v/>
      </c>
      <c r="H199" s="865" t="str">
        <f t="shared" si="25"/>
        <v/>
      </c>
      <c r="I199" s="865" t="e">
        <f t="shared" si="21"/>
        <v>#VALUE!</v>
      </c>
      <c r="J199" s="865">
        <f>SUM($H$19:$H199)</f>
        <v>0</v>
      </c>
    </row>
    <row r="200" spans="1:10">
      <c r="A200" s="863" t="str">
        <f t="shared" si="22"/>
        <v/>
      </c>
      <c r="B200" s="864" t="str">
        <f t="shared" si="18"/>
        <v/>
      </c>
      <c r="C200" s="865" t="str">
        <f t="shared" si="23"/>
        <v/>
      </c>
      <c r="D200" s="865" t="str">
        <f t="shared" si="26"/>
        <v/>
      </c>
      <c r="E200" s="866" t="e">
        <f t="shared" si="19"/>
        <v>#VALUE!</v>
      </c>
      <c r="F200" s="865" t="e">
        <f t="shared" si="20"/>
        <v>#VALUE!</v>
      </c>
      <c r="G200" s="865" t="str">
        <f t="shared" si="24"/>
        <v/>
      </c>
      <c r="H200" s="865" t="str">
        <f t="shared" si="25"/>
        <v/>
      </c>
      <c r="I200" s="865" t="e">
        <f t="shared" si="21"/>
        <v>#VALUE!</v>
      </c>
      <c r="J200" s="865">
        <f>SUM($H$19:$H200)</f>
        <v>0</v>
      </c>
    </row>
    <row r="201" spans="1:10">
      <c r="A201" s="863" t="str">
        <f t="shared" si="22"/>
        <v/>
      </c>
      <c r="B201" s="864" t="str">
        <f t="shared" si="18"/>
        <v/>
      </c>
      <c r="C201" s="865" t="str">
        <f t="shared" si="23"/>
        <v/>
      </c>
      <c r="D201" s="865" t="str">
        <f t="shared" si="26"/>
        <v/>
      </c>
      <c r="E201" s="866" t="e">
        <f t="shared" si="19"/>
        <v>#VALUE!</v>
      </c>
      <c r="F201" s="865" t="e">
        <f t="shared" si="20"/>
        <v>#VALUE!</v>
      </c>
      <c r="G201" s="865" t="str">
        <f t="shared" si="24"/>
        <v/>
      </c>
      <c r="H201" s="865" t="str">
        <f t="shared" si="25"/>
        <v/>
      </c>
      <c r="I201" s="865" t="e">
        <f t="shared" si="21"/>
        <v>#VALUE!</v>
      </c>
      <c r="J201" s="865">
        <f>SUM($H$19:$H201)</f>
        <v>0</v>
      </c>
    </row>
    <row r="202" spans="1:10">
      <c r="A202" s="863" t="str">
        <f t="shared" si="22"/>
        <v/>
      </c>
      <c r="B202" s="864" t="str">
        <f t="shared" si="18"/>
        <v/>
      </c>
      <c r="C202" s="865" t="str">
        <f t="shared" si="23"/>
        <v/>
      </c>
      <c r="D202" s="865" t="str">
        <f t="shared" si="26"/>
        <v/>
      </c>
      <c r="E202" s="866" t="e">
        <f t="shared" si="19"/>
        <v>#VALUE!</v>
      </c>
      <c r="F202" s="865" t="e">
        <f t="shared" si="20"/>
        <v>#VALUE!</v>
      </c>
      <c r="G202" s="865" t="str">
        <f t="shared" si="24"/>
        <v/>
      </c>
      <c r="H202" s="865" t="str">
        <f t="shared" si="25"/>
        <v/>
      </c>
      <c r="I202" s="865" t="e">
        <f t="shared" si="21"/>
        <v>#VALUE!</v>
      </c>
      <c r="J202" s="865">
        <f>SUM($H$19:$H202)</f>
        <v>0</v>
      </c>
    </row>
    <row r="203" spans="1:10">
      <c r="A203" s="863" t="str">
        <f t="shared" si="22"/>
        <v/>
      </c>
      <c r="B203" s="864" t="str">
        <f t="shared" si="18"/>
        <v/>
      </c>
      <c r="C203" s="865" t="str">
        <f t="shared" si="23"/>
        <v/>
      </c>
      <c r="D203" s="865" t="str">
        <f t="shared" si="26"/>
        <v/>
      </c>
      <c r="E203" s="866" t="e">
        <f t="shared" si="19"/>
        <v>#VALUE!</v>
      </c>
      <c r="F203" s="865" t="e">
        <f t="shared" si="20"/>
        <v>#VALUE!</v>
      </c>
      <c r="G203" s="865" t="str">
        <f t="shared" si="24"/>
        <v/>
      </c>
      <c r="H203" s="865" t="str">
        <f t="shared" si="25"/>
        <v/>
      </c>
      <c r="I203" s="865" t="e">
        <f t="shared" si="21"/>
        <v>#VALUE!</v>
      </c>
      <c r="J203" s="865">
        <f>SUM($H$19:$H203)</f>
        <v>0</v>
      </c>
    </row>
    <row r="204" spans="1:10">
      <c r="A204" s="863" t="str">
        <f t="shared" si="22"/>
        <v/>
      </c>
      <c r="B204" s="864" t="str">
        <f t="shared" si="18"/>
        <v/>
      </c>
      <c r="C204" s="865" t="str">
        <f t="shared" si="23"/>
        <v/>
      </c>
      <c r="D204" s="865" t="str">
        <f t="shared" si="26"/>
        <v/>
      </c>
      <c r="E204" s="866" t="e">
        <f t="shared" si="19"/>
        <v>#VALUE!</v>
      </c>
      <c r="F204" s="865" t="e">
        <f t="shared" si="20"/>
        <v>#VALUE!</v>
      </c>
      <c r="G204" s="865" t="str">
        <f t="shared" si="24"/>
        <v/>
      </c>
      <c r="H204" s="865" t="str">
        <f t="shared" si="25"/>
        <v/>
      </c>
      <c r="I204" s="865" t="e">
        <f t="shared" si="21"/>
        <v>#VALUE!</v>
      </c>
      <c r="J204" s="865">
        <f>SUM($H$19:$H204)</f>
        <v>0</v>
      </c>
    </row>
    <row r="205" spans="1:10">
      <c r="A205" s="863" t="str">
        <f t="shared" si="22"/>
        <v/>
      </c>
      <c r="B205" s="864" t="str">
        <f t="shared" si="18"/>
        <v/>
      </c>
      <c r="C205" s="865" t="str">
        <f t="shared" si="23"/>
        <v/>
      </c>
      <c r="D205" s="865" t="str">
        <f t="shared" si="26"/>
        <v/>
      </c>
      <c r="E205" s="866" t="e">
        <f t="shared" si="19"/>
        <v>#VALUE!</v>
      </c>
      <c r="F205" s="865" t="e">
        <f t="shared" si="20"/>
        <v>#VALUE!</v>
      </c>
      <c r="G205" s="865" t="str">
        <f t="shared" si="24"/>
        <v/>
      </c>
      <c r="H205" s="865" t="str">
        <f t="shared" si="25"/>
        <v/>
      </c>
      <c r="I205" s="865" t="e">
        <f t="shared" si="21"/>
        <v>#VALUE!</v>
      </c>
      <c r="J205" s="865">
        <f>SUM($H$19:$H205)</f>
        <v>0</v>
      </c>
    </row>
    <row r="206" spans="1:10">
      <c r="A206" s="863" t="str">
        <f t="shared" si="22"/>
        <v/>
      </c>
      <c r="B206" s="864" t="str">
        <f t="shared" si="18"/>
        <v/>
      </c>
      <c r="C206" s="865" t="str">
        <f t="shared" si="23"/>
        <v/>
      </c>
      <c r="D206" s="865" t="str">
        <f t="shared" si="26"/>
        <v/>
      </c>
      <c r="E206" s="866" t="e">
        <f t="shared" si="19"/>
        <v>#VALUE!</v>
      </c>
      <c r="F206" s="865" t="e">
        <f t="shared" si="20"/>
        <v>#VALUE!</v>
      </c>
      <c r="G206" s="865" t="str">
        <f t="shared" si="24"/>
        <v/>
      </c>
      <c r="H206" s="865" t="str">
        <f t="shared" si="25"/>
        <v/>
      </c>
      <c r="I206" s="865" t="e">
        <f t="shared" si="21"/>
        <v>#VALUE!</v>
      </c>
      <c r="J206" s="865">
        <f>SUM($H$19:$H206)</f>
        <v>0</v>
      </c>
    </row>
    <row r="207" spans="1:10">
      <c r="A207" s="863" t="str">
        <f t="shared" si="22"/>
        <v/>
      </c>
      <c r="B207" s="864" t="str">
        <f t="shared" si="18"/>
        <v/>
      </c>
      <c r="C207" s="865" t="str">
        <f t="shared" si="23"/>
        <v/>
      </c>
      <c r="D207" s="865" t="str">
        <f t="shared" si="26"/>
        <v/>
      </c>
      <c r="E207" s="866" t="e">
        <f t="shared" si="19"/>
        <v>#VALUE!</v>
      </c>
      <c r="F207" s="865" t="e">
        <f t="shared" si="20"/>
        <v>#VALUE!</v>
      </c>
      <c r="G207" s="865" t="str">
        <f t="shared" si="24"/>
        <v/>
      </c>
      <c r="H207" s="865" t="str">
        <f t="shared" si="25"/>
        <v/>
      </c>
      <c r="I207" s="865" t="e">
        <f t="shared" si="21"/>
        <v>#VALUE!</v>
      </c>
      <c r="J207" s="865">
        <f>SUM($H$19:$H207)</f>
        <v>0</v>
      </c>
    </row>
    <row r="208" spans="1:10">
      <c r="A208" s="863" t="str">
        <f t="shared" si="22"/>
        <v/>
      </c>
      <c r="B208" s="864" t="str">
        <f t="shared" si="18"/>
        <v/>
      </c>
      <c r="C208" s="865" t="str">
        <f t="shared" si="23"/>
        <v/>
      </c>
      <c r="D208" s="865" t="str">
        <f t="shared" si="26"/>
        <v/>
      </c>
      <c r="E208" s="866" t="e">
        <f t="shared" si="19"/>
        <v>#VALUE!</v>
      </c>
      <c r="F208" s="865" t="e">
        <f t="shared" si="20"/>
        <v>#VALUE!</v>
      </c>
      <c r="G208" s="865" t="str">
        <f t="shared" si="24"/>
        <v/>
      </c>
      <c r="H208" s="865" t="str">
        <f t="shared" si="25"/>
        <v/>
      </c>
      <c r="I208" s="865" t="e">
        <f t="shared" si="21"/>
        <v>#VALUE!</v>
      </c>
      <c r="J208" s="865">
        <f>SUM($H$19:$H208)</f>
        <v>0</v>
      </c>
    </row>
    <row r="209" spans="1:10">
      <c r="A209" s="863" t="str">
        <f t="shared" si="22"/>
        <v/>
      </c>
      <c r="B209" s="864" t="str">
        <f t="shared" si="18"/>
        <v/>
      </c>
      <c r="C209" s="865" t="str">
        <f t="shared" si="23"/>
        <v/>
      </c>
      <c r="D209" s="865" t="str">
        <f t="shared" si="26"/>
        <v/>
      </c>
      <c r="E209" s="866" t="e">
        <f t="shared" si="19"/>
        <v>#VALUE!</v>
      </c>
      <c r="F209" s="865" t="e">
        <f t="shared" si="20"/>
        <v>#VALUE!</v>
      </c>
      <c r="G209" s="865" t="str">
        <f t="shared" si="24"/>
        <v/>
      </c>
      <c r="H209" s="865" t="str">
        <f t="shared" si="25"/>
        <v/>
      </c>
      <c r="I209" s="865" t="e">
        <f t="shared" si="21"/>
        <v>#VALUE!</v>
      </c>
      <c r="J209" s="865">
        <f>SUM($H$19:$H209)</f>
        <v>0</v>
      </c>
    </row>
    <row r="210" spans="1:10">
      <c r="A210" s="863" t="str">
        <f t="shared" si="22"/>
        <v/>
      </c>
      <c r="B210" s="864" t="str">
        <f t="shared" si="18"/>
        <v/>
      </c>
      <c r="C210" s="865" t="str">
        <f t="shared" si="23"/>
        <v/>
      </c>
      <c r="D210" s="865" t="str">
        <f t="shared" si="26"/>
        <v/>
      </c>
      <c r="E210" s="866" t="e">
        <f t="shared" si="19"/>
        <v>#VALUE!</v>
      </c>
      <c r="F210" s="865" t="e">
        <f t="shared" si="20"/>
        <v>#VALUE!</v>
      </c>
      <c r="G210" s="865" t="str">
        <f t="shared" si="24"/>
        <v/>
      </c>
      <c r="H210" s="865" t="str">
        <f t="shared" si="25"/>
        <v/>
      </c>
      <c r="I210" s="865" t="e">
        <f t="shared" si="21"/>
        <v>#VALUE!</v>
      </c>
      <c r="J210" s="865">
        <f>SUM($H$19:$H210)</f>
        <v>0</v>
      </c>
    </row>
    <row r="211" spans="1:10">
      <c r="A211" s="863" t="str">
        <f t="shared" si="22"/>
        <v/>
      </c>
      <c r="B211" s="864" t="str">
        <f t="shared" ref="B211:B274" si="27">IF(Pay_Num&lt;&gt;"",DATE(YEAR(Loan_Start),MONTH(Loan_Start)+(Pay_Num)*12/Num_Pmt_Per_Year,DAY(Loan_Start)),"")</f>
        <v/>
      </c>
      <c r="C211" s="865" t="str">
        <f t="shared" si="23"/>
        <v/>
      </c>
      <c r="D211" s="865" t="str">
        <f t="shared" si="26"/>
        <v/>
      </c>
      <c r="E211" s="866" t="e">
        <f t="shared" ref="E211:E274" si="28">IF(AND(Pay_Num&lt;&gt;"",Sched_Pay+Scheduled_Extra_Payments&lt;Beg_Bal),Scheduled_Extra_Payments,IF(AND(Pay_Num&lt;&gt;"",Beg_Bal-Sched_Pay&gt;0),Beg_Bal-Sched_Pay,IF(Pay_Num&lt;&gt;"",0,"")))</f>
        <v>#VALUE!</v>
      </c>
      <c r="F211" s="865" t="e">
        <f t="shared" ref="F211:F274" si="29">IF(AND(Pay_Num&lt;&gt;"",Sched_Pay+Extra_Pay&lt;Beg_Bal),Sched_Pay+Extra_Pay,IF(Pay_Num&lt;&gt;"",Beg_Bal,""))</f>
        <v>#VALUE!</v>
      </c>
      <c r="G211" s="865" t="str">
        <f t="shared" si="24"/>
        <v/>
      </c>
      <c r="H211" s="865" t="str">
        <f t="shared" si="25"/>
        <v/>
      </c>
      <c r="I211" s="865" t="e">
        <f t="shared" ref="I211:I274" si="30">IF(AND(Pay_Num&lt;&gt;"",Sched_Pay+Extra_Pay&lt;Beg_Bal),Beg_Bal-Princ,IF(Pay_Num&lt;&gt;"",0,""))</f>
        <v>#VALUE!</v>
      </c>
      <c r="J211" s="865">
        <f>SUM($H$19:$H211)</f>
        <v>0</v>
      </c>
    </row>
    <row r="212" spans="1:10">
      <c r="A212" s="863" t="str">
        <f t="shared" ref="A212:A275" si="31">IF(Values_Entered,A211+1,"")</f>
        <v/>
      </c>
      <c r="B212" s="864" t="str">
        <f t="shared" si="27"/>
        <v/>
      </c>
      <c r="C212" s="865" t="str">
        <f t="shared" ref="C212:C275" si="32">IF(Pay_Num&lt;&gt;"",I211,"")</f>
        <v/>
      </c>
      <c r="D212" s="865" t="str">
        <f t="shared" si="26"/>
        <v/>
      </c>
      <c r="E212" s="866" t="e">
        <f t="shared" si="28"/>
        <v>#VALUE!</v>
      </c>
      <c r="F212" s="865" t="e">
        <f t="shared" si="29"/>
        <v>#VALUE!</v>
      </c>
      <c r="G212" s="865" t="str">
        <f t="shared" ref="G212:G275" si="33">IF(Pay_Num&lt;&gt;"",Total_Pay-Int,"")</f>
        <v/>
      </c>
      <c r="H212" s="865" t="str">
        <f t="shared" ref="H212:H275" si="34">IF(Pay_Num&lt;&gt;"",Beg_Bal*Interest_Rate/Num_Pmt_Per_Year,"")</f>
        <v/>
      </c>
      <c r="I212" s="865" t="e">
        <f t="shared" si="30"/>
        <v>#VALUE!</v>
      </c>
      <c r="J212" s="865">
        <f>SUM($H$19:$H212)</f>
        <v>0</v>
      </c>
    </row>
    <row r="213" spans="1:10">
      <c r="A213" s="863" t="str">
        <f t="shared" si="31"/>
        <v/>
      </c>
      <c r="B213" s="864" t="str">
        <f t="shared" si="27"/>
        <v/>
      </c>
      <c r="C213" s="865" t="str">
        <f t="shared" si="32"/>
        <v/>
      </c>
      <c r="D213" s="865" t="str">
        <f t="shared" ref="D213:D276" si="35">IF(Pay_Num&lt;&gt;"",Scheduled_Monthly_Payment,"")</f>
        <v/>
      </c>
      <c r="E213" s="866" t="e">
        <f t="shared" si="28"/>
        <v>#VALUE!</v>
      </c>
      <c r="F213" s="865" t="e">
        <f t="shared" si="29"/>
        <v>#VALUE!</v>
      </c>
      <c r="G213" s="865" t="str">
        <f t="shared" si="33"/>
        <v/>
      </c>
      <c r="H213" s="865" t="str">
        <f t="shared" si="34"/>
        <v/>
      </c>
      <c r="I213" s="865" t="e">
        <f t="shared" si="30"/>
        <v>#VALUE!</v>
      </c>
      <c r="J213" s="865">
        <f>SUM($H$19:$H213)</f>
        <v>0</v>
      </c>
    </row>
    <row r="214" spans="1:10">
      <c r="A214" s="863" t="str">
        <f t="shared" si="31"/>
        <v/>
      </c>
      <c r="B214" s="864" t="str">
        <f t="shared" si="27"/>
        <v/>
      </c>
      <c r="C214" s="865" t="str">
        <f t="shared" si="32"/>
        <v/>
      </c>
      <c r="D214" s="865" t="str">
        <f t="shared" si="35"/>
        <v/>
      </c>
      <c r="E214" s="866" t="e">
        <f t="shared" si="28"/>
        <v>#VALUE!</v>
      </c>
      <c r="F214" s="865" t="e">
        <f t="shared" si="29"/>
        <v>#VALUE!</v>
      </c>
      <c r="G214" s="865" t="str">
        <f t="shared" si="33"/>
        <v/>
      </c>
      <c r="H214" s="865" t="str">
        <f t="shared" si="34"/>
        <v/>
      </c>
      <c r="I214" s="865" t="e">
        <f t="shared" si="30"/>
        <v>#VALUE!</v>
      </c>
      <c r="J214" s="865">
        <f>SUM($H$19:$H214)</f>
        <v>0</v>
      </c>
    </row>
    <row r="215" spans="1:10">
      <c r="A215" s="863" t="str">
        <f t="shared" si="31"/>
        <v/>
      </c>
      <c r="B215" s="864" t="str">
        <f t="shared" si="27"/>
        <v/>
      </c>
      <c r="C215" s="865" t="str">
        <f t="shared" si="32"/>
        <v/>
      </c>
      <c r="D215" s="865" t="str">
        <f t="shared" si="35"/>
        <v/>
      </c>
      <c r="E215" s="866" t="e">
        <f t="shared" si="28"/>
        <v>#VALUE!</v>
      </c>
      <c r="F215" s="865" t="e">
        <f t="shared" si="29"/>
        <v>#VALUE!</v>
      </c>
      <c r="G215" s="865" t="str">
        <f t="shared" si="33"/>
        <v/>
      </c>
      <c r="H215" s="865" t="str">
        <f t="shared" si="34"/>
        <v/>
      </c>
      <c r="I215" s="865" t="e">
        <f t="shared" si="30"/>
        <v>#VALUE!</v>
      </c>
      <c r="J215" s="865">
        <f>SUM($H$19:$H215)</f>
        <v>0</v>
      </c>
    </row>
    <row r="216" spans="1:10">
      <c r="A216" s="863" t="str">
        <f t="shared" si="31"/>
        <v/>
      </c>
      <c r="B216" s="864" t="str">
        <f t="shared" si="27"/>
        <v/>
      </c>
      <c r="C216" s="865" t="str">
        <f t="shared" si="32"/>
        <v/>
      </c>
      <c r="D216" s="865" t="str">
        <f t="shared" si="35"/>
        <v/>
      </c>
      <c r="E216" s="866" t="e">
        <f t="shared" si="28"/>
        <v>#VALUE!</v>
      </c>
      <c r="F216" s="865" t="e">
        <f t="shared" si="29"/>
        <v>#VALUE!</v>
      </c>
      <c r="G216" s="865" t="str">
        <f t="shared" si="33"/>
        <v/>
      </c>
      <c r="H216" s="865" t="str">
        <f t="shared" si="34"/>
        <v/>
      </c>
      <c r="I216" s="865" t="e">
        <f t="shared" si="30"/>
        <v>#VALUE!</v>
      </c>
      <c r="J216" s="865">
        <f>SUM($H$19:$H216)</f>
        <v>0</v>
      </c>
    </row>
    <row r="217" spans="1:10">
      <c r="A217" s="863" t="str">
        <f t="shared" si="31"/>
        <v/>
      </c>
      <c r="B217" s="864" t="str">
        <f t="shared" si="27"/>
        <v/>
      </c>
      <c r="C217" s="865" t="str">
        <f t="shared" si="32"/>
        <v/>
      </c>
      <c r="D217" s="865" t="str">
        <f t="shared" si="35"/>
        <v/>
      </c>
      <c r="E217" s="866" t="e">
        <f t="shared" si="28"/>
        <v>#VALUE!</v>
      </c>
      <c r="F217" s="865" t="e">
        <f t="shared" si="29"/>
        <v>#VALUE!</v>
      </c>
      <c r="G217" s="865" t="str">
        <f t="shared" si="33"/>
        <v/>
      </c>
      <c r="H217" s="865" t="str">
        <f t="shared" si="34"/>
        <v/>
      </c>
      <c r="I217" s="865" t="e">
        <f t="shared" si="30"/>
        <v>#VALUE!</v>
      </c>
      <c r="J217" s="865">
        <f>SUM($H$19:$H217)</f>
        <v>0</v>
      </c>
    </row>
    <row r="218" spans="1:10">
      <c r="A218" s="863" t="str">
        <f t="shared" si="31"/>
        <v/>
      </c>
      <c r="B218" s="864" t="str">
        <f t="shared" si="27"/>
        <v/>
      </c>
      <c r="C218" s="865" t="str">
        <f t="shared" si="32"/>
        <v/>
      </c>
      <c r="D218" s="865" t="str">
        <f t="shared" si="35"/>
        <v/>
      </c>
      <c r="E218" s="866" t="e">
        <f t="shared" si="28"/>
        <v>#VALUE!</v>
      </c>
      <c r="F218" s="865" t="e">
        <f t="shared" si="29"/>
        <v>#VALUE!</v>
      </c>
      <c r="G218" s="865" t="str">
        <f t="shared" si="33"/>
        <v/>
      </c>
      <c r="H218" s="865" t="str">
        <f t="shared" si="34"/>
        <v/>
      </c>
      <c r="I218" s="865" t="e">
        <f t="shared" si="30"/>
        <v>#VALUE!</v>
      </c>
      <c r="J218" s="865">
        <f>SUM($H$19:$H218)</f>
        <v>0</v>
      </c>
    </row>
    <row r="219" spans="1:10">
      <c r="A219" s="863" t="str">
        <f t="shared" si="31"/>
        <v/>
      </c>
      <c r="B219" s="864" t="str">
        <f t="shared" si="27"/>
        <v/>
      </c>
      <c r="C219" s="865" t="str">
        <f t="shared" si="32"/>
        <v/>
      </c>
      <c r="D219" s="865" t="str">
        <f t="shared" si="35"/>
        <v/>
      </c>
      <c r="E219" s="866" t="e">
        <f t="shared" si="28"/>
        <v>#VALUE!</v>
      </c>
      <c r="F219" s="865" t="e">
        <f t="shared" si="29"/>
        <v>#VALUE!</v>
      </c>
      <c r="G219" s="865" t="str">
        <f t="shared" si="33"/>
        <v/>
      </c>
      <c r="H219" s="865" t="str">
        <f t="shared" si="34"/>
        <v/>
      </c>
      <c r="I219" s="865" t="e">
        <f t="shared" si="30"/>
        <v>#VALUE!</v>
      </c>
      <c r="J219" s="865">
        <f>SUM($H$19:$H219)</f>
        <v>0</v>
      </c>
    </row>
    <row r="220" spans="1:10">
      <c r="A220" s="863" t="str">
        <f t="shared" si="31"/>
        <v/>
      </c>
      <c r="B220" s="864" t="str">
        <f t="shared" si="27"/>
        <v/>
      </c>
      <c r="C220" s="865" t="str">
        <f t="shared" si="32"/>
        <v/>
      </c>
      <c r="D220" s="865" t="str">
        <f t="shared" si="35"/>
        <v/>
      </c>
      <c r="E220" s="866" t="e">
        <f t="shared" si="28"/>
        <v>#VALUE!</v>
      </c>
      <c r="F220" s="865" t="e">
        <f t="shared" si="29"/>
        <v>#VALUE!</v>
      </c>
      <c r="G220" s="865" t="str">
        <f t="shared" si="33"/>
        <v/>
      </c>
      <c r="H220" s="865" t="str">
        <f t="shared" si="34"/>
        <v/>
      </c>
      <c r="I220" s="865" t="e">
        <f t="shared" si="30"/>
        <v>#VALUE!</v>
      </c>
      <c r="J220" s="865">
        <f>SUM($H$19:$H220)</f>
        <v>0</v>
      </c>
    </row>
    <row r="221" spans="1:10">
      <c r="A221" s="863" t="str">
        <f t="shared" si="31"/>
        <v/>
      </c>
      <c r="B221" s="864" t="str">
        <f t="shared" si="27"/>
        <v/>
      </c>
      <c r="C221" s="865" t="str">
        <f t="shared" si="32"/>
        <v/>
      </c>
      <c r="D221" s="865" t="str">
        <f t="shared" si="35"/>
        <v/>
      </c>
      <c r="E221" s="866" t="e">
        <f t="shared" si="28"/>
        <v>#VALUE!</v>
      </c>
      <c r="F221" s="865" t="e">
        <f t="shared" si="29"/>
        <v>#VALUE!</v>
      </c>
      <c r="G221" s="865" t="str">
        <f t="shared" si="33"/>
        <v/>
      </c>
      <c r="H221" s="865" t="str">
        <f t="shared" si="34"/>
        <v/>
      </c>
      <c r="I221" s="865" t="e">
        <f t="shared" si="30"/>
        <v>#VALUE!</v>
      </c>
      <c r="J221" s="865">
        <f>SUM($H$19:$H221)</f>
        <v>0</v>
      </c>
    </row>
    <row r="222" spans="1:10">
      <c r="A222" s="863" t="str">
        <f t="shared" si="31"/>
        <v/>
      </c>
      <c r="B222" s="864" t="str">
        <f t="shared" si="27"/>
        <v/>
      </c>
      <c r="C222" s="865" t="str">
        <f t="shared" si="32"/>
        <v/>
      </c>
      <c r="D222" s="865" t="str">
        <f t="shared" si="35"/>
        <v/>
      </c>
      <c r="E222" s="866" t="e">
        <f t="shared" si="28"/>
        <v>#VALUE!</v>
      </c>
      <c r="F222" s="865" t="e">
        <f t="shared" si="29"/>
        <v>#VALUE!</v>
      </c>
      <c r="G222" s="865" t="str">
        <f t="shared" si="33"/>
        <v/>
      </c>
      <c r="H222" s="865" t="str">
        <f t="shared" si="34"/>
        <v/>
      </c>
      <c r="I222" s="865" t="e">
        <f t="shared" si="30"/>
        <v>#VALUE!</v>
      </c>
      <c r="J222" s="865">
        <f>SUM($H$19:$H222)</f>
        <v>0</v>
      </c>
    </row>
    <row r="223" spans="1:10">
      <c r="A223" s="863" t="str">
        <f t="shared" si="31"/>
        <v/>
      </c>
      <c r="B223" s="864" t="str">
        <f t="shared" si="27"/>
        <v/>
      </c>
      <c r="C223" s="865" t="str">
        <f t="shared" si="32"/>
        <v/>
      </c>
      <c r="D223" s="865" t="str">
        <f t="shared" si="35"/>
        <v/>
      </c>
      <c r="E223" s="866" t="e">
        <f t="shared" si="28"/>
        <v>#VALUE!</v>
      </c>
      <c r="F223" s="865" t="e">
        <f t="shared" si="29"/>
        <v>#VALUE!</v>
      </c>
      <c r="G223" s="865" t="str">
        <f t="shared" si="33"/>
        <v/>
      </c>
      <c r="H223" s="865" t="str">
        <f t="shared" si="34"/>
        <v/>
      </c>
      <c r="I223" s="865" t="e">
        <f t="shared" si="30"/>
        <v>#VALUE!</v>
      </c>
      <c r="J223" s="865">
        <f>SUM($H$19:$H223)</f>
        <v>0</v>
      </c>
    </row>
    <row r="224" spans="1:10">
      <c r="A224" s="863" t="str">
        <f t="shared" si="31"/>
        <v/>
      </c>
      <c r="B224" s="864" t="str">
        <f t="shared" si="27"/>
        <v/>
      </c>
      <c r="C224" s="865" t="str">
        <f t="shared" si="32"/>
        <v/>
      </c>
      <c r="D224" s="865" t="str">
        <f t="shared" si="35"/>
        <v/>
      </c>
      <c r="E224" s="866" t="e">
        <f t="shared" si="28"/>
        <v>#VALUE!</v>
      </c>
      <c r="F224" s="865" t="e">
        <f t="shared" si="29"/>
        <v>#VALUE!</v>
      </c>
      <c r="G224" s="865" t="str">
        <f t="shared" si="33"/>
        <v/>
      </c>
      <c r="H224" s="865" t="str">
        <f t="shared" si="34"/>
        <v/>
      </c>
      <c r="I224" s="865" t="e">
        <f t="shared" si="30"/>
        <v>#VALUE!</v>
      </c>
      <c r="J224" s="865">
        <f>SUM($H$19:$H224)</f>
        <v>0</v>
      </c>
    </row>
    <row r="225" spans="1:10">
      <c r="A225" s="863" t="str">
        <f t="shared" si="31"/>
        <v/>
      </c>
      <c r="B225" s="864" t="str">
        <f t="shared" si="27"/>
        <v/>
      </c>
      <c r="C225" s="865" t="str">
        <f t="shared" si="32"/>
        <v/>
      </c>
      <c r="D225" s="865" t="str">
        <f t="shared" si="35"/>
        <v/>
      </c>
      <c r="E225" s="866" t="e">
        <f t="shared" si="28"/>
        <v>#VALUE!</v>
      </c>
      <c r="F225" s="865" t="e">
        <f t="shared" si="29"/>
        <v>#VALUE!</v>
      </c>
      <c r="G225" s="865" t="str">
        <f t="shared" si="33"/>
        <v/>
      </c>
      <c r="H225" s="865" t="str">
        <f t="shared" si="34"/>
        <v/>
      </c>
      <c r="I225" s="865" t="e">
        <f t="shared" si="30"/>
        <v>#VALUE!</v>
      </c>
      <c r="J225" s="865">
        <f>SUM($H$19:$H225)</f>
        <v>0</v>
      </c>
    </row>
    <row r="226" spans="1:10">
      <c r="A226" s="863" t="str">
        <f t="shared" si="31"/>
        <v/>
      </c>
      <c r="B226" s="864" t="str">
        <f t="shared" si="27"/>
        <v/>
      </c>
      <c r="C226" s="865" t="str">
        <f t="shared" si="32"/>
        <v/>
      </c>
      <c r="D226" s="865" t="str">
        <f t="shared" si="35"/>
        <v/>
      </c>
      <c r="E226" s="866" t="e">
        <f t="shared" si="28"/>
        <v>#VALUE!</v>
      </c>
      <c r="F226" s="865" t="e">
        <f t="shared" si="29"/>
        <v>#VALUE!</v>
      </c>
      <c r="G226" s="865" t="str">
        <f t="shared" si="33"/>
        <v/>
      </c>
      <c r="H226" s="865" t="str">
        <f t="shared" si="34"/>
        <v/>
      </c>
      <c r="I226" s="865" t="e">
        <f t="shared" si="30"/>
        <v>#VALUE!</v>
      </c>
      <c r="J226" s="865">
        <f>SUM($H$19:$H226)</f>
        <v>0</v>
      </c>
    </row>
    <row r="227" spans="1:10">
      <c r="A227" s="863" t="str">
        <f t="shared" si="31"/>
        <v/>
      </c>
      <c r="B227" s="864" t="str">
        <f t="shared" si="27"/>
        <v/>
      </c>
      <c r="C227" s="865" t="str">
        <f t="shared" si="32"/>
        <v/>
      </c>
      <c r="D227" s="865" t="str">
        <f t="shared" si="35"/>
        <v/>
      </c>
      <c r="E227" s="866" t="e">
        <f t="shared" si="28"/>
        <v>#VALUE!</v>
      </c>
      <c r="F227" s="865" t="e">
        <f t="shared" si="29"/>
        <v>#VALUE!</v>
      </c>
      <c r="G227" s="865" t="str">
        <f t="shared" si="33"/>
        <v/>
      </c>
      <c r="H227" s="865" t="str">
        <f t="shared" si="34"/>
        <v/>
      </c>
      <c r="I227" s="865" t="e">
        <f t="shared" si="30"/>
        <v>#VALUE!</v>
      </c>
      <c r="J227" s="865">
        <f>SUM($H$19:$H227)</f>
        <v>0</v>
      </c>
    </row>
    <row r="228" spans="1:10">
      <c r="A228" s="863" t="str">
        <f t="shared" si="31"/>
        <v/>
      </c>
      <c r="B228" s="864" t="str">
        <f t="shared" si="27"/>
        <v/>
      </c>
      <c r="C228" s="865" t="str">
        <f t="shared" si="32"/>
        <v/>
      </c>
      <c r="D228" s="865" t="str">
        <f t="shared" si="35"/>
        <v/>
      </c>
      <c r="E228" s="866" t="e">
        <f t="shared" si="28"/>
        <v>#VALUE!</v>
      </c>
      <c r="F228" s="865" t="e">
        <f t="shared" si="29"/>
        <v>#VALUE!</v>
      </c>
      <c r="G228" s="865" t="str">
        <f t="shared" si="33"/>
        <v/>
      </c>
      <c r="H228" s="865" t="str">
        <f t="shared" si="34"/>
        <v/>
      </c>
      <c r="I228" s="865" t="e">
        <f t="shared" si="30"/>
        <v>#VALUE!</v>
      </c>
      <c r="J228" s="865">
        <f>SUM($H$19:$H228)</f>
        <v>0</v>
      </c>
    </row>
    <row r="229" spans="1:10">
      <c r="A229" s="863" t="str">
        <f t="shared" si="31"/>
        <v/>
      </c>
      <c r="B229" s="864" t="str">
        <f t="shared" si="27"/>
        <v/>
      </c>
      <c r="C229" s="865" t="str">
        <f t="shared" si="32"/>
        <v/>
      </c>
      <c r="D229" s="865" t="str">
        <f t="shared" si="35"/>
        <v/>
      </c>
      <c r="E229" s="866" t="e">
        <f t="shared" si="28"/>
        <v>#VALUE!</v>
      </c>
      <c r="F229" s="865" t="e">
        <f t="shared" si="29"/>
        <v>#VALUE!</v>
      </c>
      <c r="G229" s="865" t="str">
        <f t="shared" si="33"/>
        <v/>
      </c>
      <c r="H229" s="865" t="str">
        <f t="shared" si="34"/>
        <v/>
      </c>
      <c r="I229" s="865" t="e">
        <f t="shared" si="30"/>
        <v>#VALUE!</v>
      </c>
      <c r="J229" s="865">
        <f>SUM($H$19:$H229)</f>
        <v>0</v>
      </c>
    </row>
    <row r="230" spans="1:10">
      <c r="A230" s="863" t="str">
        <f t="shared" si="31"/>
        <v/>
      </c>
      <c r="B230" s="864" t="str">
        <f t="shared" si="27"/>
        <v/>
      </c>
      <c r="C230" s="865" t="str">
        <f t="shared" si="32"/>
        <v/>
      </c>
      <c r="D230" s="865" t="str">
        <f t="shared" si="35"/>
        <v/>
      </c>
      <c r="E230" s="866" t="e">
        <f t="shared" si="28"/>
        <v>#VALUE!</v>
      </c>
      <c r="F230" s="865" t="e">
        <f t="shared" si="29"/>
        <v>#VALUE!</v>
      </c>
      <c r="G230" s="865" t="str">
        <f t="shared" si="33"/>
        <v/>
      </c>
      <c r="H230" s="865" t="str">
        <f t="shared" si="34"/>
        <v/>
      </c>
      <c r="I230" s="865" t="e">
        <f t="shared" si="30"/>
        <v>#VALUE!</v>
      </c>
      <c r="J230" s="865">
        <f>SUM($H$19:$H230)</f>
        <v>0</v>
      </c>
    </row>
    <row r="231" spans="1:10">
      <c r="A231" s="863" t="str">
        <f t="shared" si="31"/>
        <v/>
      </c>
      <c r="B231" s="864" t="str">
        <f t="shared" si="27"/>
        <v/>
      </c>
      <c r="C231" s="865" t="str">
        <f t="shared" si="32"/>
        <v/>
      </c>
      <c r="D231" s="865" t="str">
        <f t="shared" si="35"/>
        <v/>
      </c>
      <c r="E231" s="866" t="e">
        <f t="shared" si="28"/>
        <v>#VALUE!</v>
      </c>
      <c r="F231" s="865" t="e">
        <f t="shared" si="29"/>
        <v>#VALUE!</v>
      </c>
      <c r="G231" s="865" t="str">
        <f t="shared" si="33"/>
        <v/>
      </c>
      <c r="H231" s="865" t="str">
        <f t="shared" si="34"/>
        <v/>
      </c>
      <c r="I231" s="865" t="e">
        <f t="shared" si="30"/>
        <v>#VALUE!</v>
      </c>
      <c r="J231" s="865">
        <f>SUM($H$19:$H231)</f>
        <v>0</v>
      </c>
    </row>
    <row r="232" spans="1:10">
      <c r="A232" s="863" t="str">
        <f t="shared" si="31"/>
        <v/>
      </c>
      <c r="B232" s="864" t="str">
        <f t="shared" si="27"/>
        <v/>
      </c>
      <c r="C232" s="865" t="str">
        <f t="shared" si="32"/>
        <v/>
      </c>
      <c r="D232" s="865" t="str">
        <f t="shared" si="35"/>
        <v/>
      </c>
      <c r="E232" s="866" t="e">
        <f t="shared" si="28"/>
        <v>#VALUE!</v>
      </c>
      <c r="F232" s="865" t="e">
        <f t="shared" si="29"/>
        <v>#VALUE!</v>
      </c>
      <c r="G232" s="865" t="str">
        <f t="shared" si="33"/>
        <v/>
      </c>
      <c r="H232" s="865" t="str">
        <f t="shared" si="34"/>
        <v/>
      </c>
      <c r="I232" s="865" t="e">
        <f t="shared" si="30"/>
        <v>#VALUE!</v>
      </c>
      <c r="J232" s="865">
        <f>SUM($H$19:$H232)</f>
        <v>0</v>
      </c>
    </row>
    <row r="233" spans="1:10">
      <c r="A233" s="863" t="str">
        <f t="shared" si="31"/>
        <v/>
      </c>
      <c r="B233" s="864" t="str">
        <f t="shared" si="27"/>
        <v/>
      </c>
      <c r="C233" s="865" t="str">
        <f t="shared" si="32"/>
        <v/>
      </c>
      <c r="D233" s="865" t="str">
        <f t="shared" si="35"/>
        <v/>
      </c>
      <c r="E233" s="866" t="e">
        <f t="shared" si="28"/>
        <v>#VALUE!</v>
      </c>
      <c r="F233" s="865" t="e">
        <f t="shared" si="29"/>
        <v>#VALUE!</v>
      </c>
      <c r="G233" s="865" t="str">
        <f t="shared" si="33"/>
        <v/>
      </c>
      <c r="H233" s="865" t="str">
        <f t="shared" si="34"/>
        <v/>
      </c>
      <c r="I233" s="865" t="e">
        <f t="shared" si="30"/>
        <v>#VALUE!</v>
      </c>
      <c r="J233" s="865">
        <f>SUM($H$19:$H233)</f>
        <v>0</v>
      </c>
    </row>
    <row r="234" spans="1:10">
      <c r="A234" s="863" t="str">
        <f t="shared" si="31"/>
        <v/>
      </c>
      <c r="B234" s="864" t="str">
        <f t="shared" si="27"/>
        <v/>
      </c>
      <c r="C234" s="865" t="str">
        <f t="shared" si="32"/>
        <v/>
      </c>
      <c r="D234" s="865" t="str">
        <f t="shared" si="35"/>
        <v/>
      </c>
      <c r="E234" s="866" t="e">
        <f t="shared" si="28"/>
        <v>#VALUE!</v>
      </c>
      <c r="F234" s="865" t="e">
        <f t="shared" si="29"/>
        <v>#VALUE!</v>
      </c>
      <c r="G234" s="865" t="str">
        <f t="shared" si="33"/>
        <v/>
      </c>
      <c r="H234" s="865" t="str">
        <f t="shared" si="34"/>
        <v/>
      </c>
      <c r="I234" s="865" t="e">
        <f t="shared" si="30"/>
        <v>#VALUE!</v>
      </c>
      <c r="J234" s="865">
        <f>SUM($H$19:$H234)</f>
        <v>0</v>
      </c>
    </row>
    <row r="235" spans="1:10">
      <c r="A235" s="863" t="str">
        <f t="shared" si="31"/>
        <v/>
      </c>
      <c r="B235" s="864" t="str">
        <f t="shared" si="27"/>
        <v/>
      </c>
      <c r="C235" s="865" t="str">
        <f t="shared" si="32"/>
        <v/>
      </c>
      <c r="D235" s="865" t="str">
        <f t="shared" si="35"/>
        <v/>
      </c>
      <c r="E235" s="866" t="e">
        <f t="shared" si="28"/>
        <v>#VALUE!</v>
      </c>
      <c r="F235" s="865" t="e">
        <f t="shared" si="29"/>
        <v>#VALUE!</v>
      </c>
      <c r="G235" s="865" t="str">
        <f t="shared" si="33"/>
        <v/>
      </c>
      <c r="H235" s="865" t="str">
        <f t="shared" si="34"/>
        <v/>
      </c>
      <c r="I235" s="865" t="e">
        <f t="shared" si="30"/>
        <v>#VALUE!</v>
      </c>
      <c r="J235" s="865">
        <f>SUM($H$19:$H235)</f>
        <v>0</v>
      </c>
    </row>
    <row r="236" spans="1:10">
      <c r="A236" s="863" t="str">
        <f t="shared" si="31"/>
        <v/>
      </c>
      <c r="B236" s="864" t="str">
        <f t="shared" si="27"/>
        <v/>
      </c>
      <c r="C236" s="865" t="str">
        <f t="shared" si="32"/>
        <v/>
      </c>
      <c r="D236" s="865" t="str">
        <f t="shared" si="35"/>
        <v/>
      </c>
      <c r="E236" s="866" t="e">
        <f t="shared" si="28"/>
        <v>#VALUE!</v>
      </c>
      <c r="F236" s="865" t="e">
        <f t="shared" si="29"/>
        <v>#VALUE!</v>
      </c>
      <c r="G236" s="865" t="str">
        <f t="shared" si="33"/>
        <v/>
      </c>
      <c r="H236" s="865" t="str">
        <f t="shared" si="34"/>
        <v/>
      </c>
      <c r="I236" s="865" t="e">
        <f t="shared" si="30"/>
        <v>#VALUE!</v>
      </c>
      <c r="J236" s="865">
        <f>SUM($H$19:$H236)</f>
        <v>0</v>
      </c>
    </row>
    <row r="237" spans="1:10">
      <c r="A237" s="863" t="str">
        <f t="shared" si="31"/>
        <v/>
      </c>
      <c r="B237" s="864" t="str">
        <f t="shared" si="27"/>
        <v/>
      </c>
      <c r="C237" s="865" t="str">
        <f t="shared" si="32"/>
        <v/>
      </c>
      <c r="D237" s="865" t="str">
        <f t="shared" si="35"/>
        <v/>
      </c>
      <c r="E237" s="866" t="e">
        <f t="shared" si="28"/>
        <v>#VALUE!</v>
      </c>
      <c r="F237" s="865" t="e">
        <f t="shared" si="29"/>
        <v>#VALUE!</v>
      </c>
      <c r="G237" s="865" t="str">
        <f t="shared" si="33"/>
        <v/>
      </c>
      <c r="H237" s="865" t="str">
        <f t="shared" si="34"/>
        <v/>
      </c>
      <c r="I237" s="865" t="e">
        <f t="shared" si="30"/>
        <v>#VALUE!</v>
      </c>
      <c r="J237" s="865">
        <f>SUM($H$19:$H237)</f>
        <v>0</v>
      </c>
    </row>
    <row r="238" spans="1:10">
      <c r="A238" s="863" t="str">
        <f t="shared" si="31"/>
        <v/>
      </c>
      <c r="B238" s="864" t="str">
        <f t="shared" si="27"/>
        <v/>
      </c>
      <c r="C238" s="865" t="str">
        <f t="shared" si="32"/>
        <v/>
      </c>
      <c r="D238" s="865" t="str">
        <f t="shared" si="35"/>
        <v/>
      </c>
      <c r="E238" s="866" t="e">
        <f t="shared" si="28"/>
        <v>#VALUE!</v>
      </c>
      <c r="F238" s="865" t="e">
        <f t="shared" si="29"/>
        <v>#VALUE!</v>
      </c>
      <c r="G238" s="865" t="str">
        <f t="shared" si="33"/>
        <v/>
      </c>
      <c r="H238" s="865" t="str">
        <f t="shared" si="34"/>
        <v/>
      </c>
      <c r="I238" s="865" t="e">
        <f t="shared" si="30"/>
        <v>#VALUE!</v>
      </c>
      <c r="J238" s="865">
        <f>SUM($H$19:$H238)</f>
        <v>0</v>
      </c>
    </row>
    <row r="239" spans="1:10">
      <c r="A239" s="863" t="str">
        <f t="shared" si="31"/>
        <v/>
      </c>
      <c r="B239" s="864" t="str">
        <f t="shared" si="27"/>
        <v/>
      </c>
      <c r="C239" s="865" t="str">
        <f t="shared" si="32"/>
        <v/>
      </c>
      <c r="D239" s="865" t="str">
        <f t="shared" si="35"/>
        <v/>
      </c>
      <c r="E239" s="866" t="e">
        <f t="shared" si="28"/>
        <v>#VALUE!</v>
      </c>
      <c r="F239" s="865" t="e">
        <f t="shared" si="29"/>
        <v>#VALUE!</v>
      </c>
      <c r="G239" s="865" t="str">
        <f t="shared" si="33"/>
        <v/>
      </c>
      <c r="H239" s="865" t="str">
        <f t="shared" si="34"/>
        <v/>
      </c>
      <c r="I239" s="865" t="e">
        <f t="shared" si="30"/>
        <v>#VALUE!</v>
      </c>
      <c r="J239" s="865">
        <f>SUM($H$19:$H239)</f>
        <v>0</v>
      </c>
    </row>
    <row r="240" spans="1:10">
      <c r="A240" s="863" t="str">
        <f t="shared" si="31"/>
        <v/>
      </c>
      <c r="B240" s="864" t="str">
        <f t="shared" si="27"/>
        <v/>
      </c>
      <c r="C240" s="865" t="str">
        <f t="shared" si="32"/>
        <v/>
      </c>
      <c r="D240" s="865" t="str">
        <f t="shared" si="35"/>
        <v/>
      </c>
      <c r="E240" s="866" t="e">
        <f t="shared" si="28"/>
        <v>#VALUE!</v>
      </c>
      <c r="F240" s="865" t="e">
        <f t="shared" si="29"/>
        <v>#VALUE!</v>
      </c>
      <c r="G240" s="865" t="str">
        <f t="shared" si="33"/>
        <v/>
      </c>
      <c r="H240" s="865" t="str">
        <f t="shared" si="34"/>
        <v/>
      </c>
      <c r="I240" s="865" t="e">
        <f t="shared" si="30"/>
        <v>#VALUE!</v>
      </c>
      <c r="J240" s="865">
        <f>SUM($H$19:$H240)</f>
        <v>0</v>
      </c>
    </row>
    <row r="241" spans="1:10">
      <c r="A241" s="863" t="str">
        <f t="shared" si="31"/>
        <v/>
      </c>
      <c r="B241" s="864" t="str">
        <f t="shared" si="27"/>
        <v/>
      </c>
      <c r="C241" s="865" t="str">
        <f t="shared" si="32"/>
        <v/>
      </c>
      <c r="D241" s="865" t="str">
        <f t="shared" si="35"/>
        <v/>
      </c>
      <c r="E241" s="866" t="e">
        <f t="shared" si="28"/>
        <v>#VALUE!</v>
      </c>
      <c r="F241" s="865" t="e">
        <f t="shared" si="29"/>
        <v>#VALUE!</v>
      </c>
      <c r="G241" s="865" t="str">
        <f t="shared" si="33"/>
        <v/>
      </c>
      <c r="H241" s="865" t="str">
        <f t="shared" si="34"/>
        <v/>
      </c>
      <c r="I241" s="865" t="e">
        <f t="shared" si="30"/>
        <v>#VALUE!</v>
      </c>
      <c r="J241" s="865">
        <f>SUM($H$19:$H241)</f>
        <v>0</v>
      </c>
    </row>
    <row r="242" spans="1:10">
      <c r="A242" s="863" t="str">
        <f t="shared" si="31"/>
        <v/>
      </c>
      <c r="B242" s="864" t="str">
        <f t="shared" si="27"/>
        <v/>
      </c>
      <c r="C242" s="865" t="str">
        <f t="shared" si="32"/>
        <v/>
      </c>
      <c r="D242" s="865" t="str">
        <f t="shared" si="35"/>
        <v/>
      </c>
      <c r="E242" s="866" t="e">
        <f t="shared" si="28"/>
        <v>#VALUE!</v>
      </c>
      <c r="F242" s="865" t="e">
        <f t="shared" si="29"/>
        <v>#VALUE!</v>
      </c>
      <c r="G242" s="865" t="str">
        <f t="shared" si="33"/>
        <v/>
      </c>
      <c r="H242" s="865" t="str">
        <f t="shared" si="34"/>
        <v/>
      </c>
      <c r="I242" s="865" t="e">
        <f t="shared" si="30"/>
        <v>#VALUE!</v>
      </c>
      <c r="J242" s="865">
        <f>SUM($H$19:$H242)</f>
        <v>0</v>
      </c>
    </row>
    <row r="243" spans="1:10">
      <c r="A243" s="863" t="str">
        <f t="shared" si="31"/>
        <v/>
      </c>
      <c r="B243" s="864" t="str">
        <f t="shared" si="27"/>
        <v/>
      </c>
      <c r="C243" s="865" t="str">
        <f t="shared" si="32"/>
        <v/>
      </c>
      <c r="D243" s="865" t="str">
        <f t="shared" si="35"/>
        <v/>
      </c>
      <c r="E243" s="866" t="e">
        <f t="shared" si="28"/>
        <v>#VALUE!</v>
      </c>
      <c r="F243" s="865" t="e">
        <f t="shared" si="29"/>
        <v>#VALUE!</v>
      </c>
      <c r="G243" s="865" t="str">
        <f t="shared" si="33"/>
        <v/>
      </c>
      <c r="H243" s="865" t="str">
        <f t="shared" si="34"/>
        <v/>
      </c>
      <c r="I243" s="865" t="e">
        <f t="shared" si="30"/>
        <v>#VALUE!</v>
      </c>
      <c r="J243" s="865">
        <f>SUM($H$19:$H243)</f>
        <v>0</v>
      </c>
    </row>
    <row r="244" spans="1:10">
      <c r="A244" s="863" t="str">
        <f t="shared" si="31"/>
        <v/>
      </c>
      <c r="B244" s="864" t="str">
        <f t="shared" si="27"/>
        <v/>
      </c>
      <c r="C244" s="865" t="str">
        <f t="shared" si="32"/>
        <v/>
      </c>
      <c r="D244" s="865" t="str">
        <f t="shared" si="35"/>
        <v/>
      </c>
      <c r="E244" s="866" t="e">
        <f t="shared" si="28"/>
        <v>#VALUE!</v>
      </c>
      <c r="F244" s="865" t="e">
        <f t="shared" si="29"/>
        <v>#VALUE!</v>
      </c>
      <c r="G244" s="865" t="str">
        <f t="shared" si="33"/>
        <v/>
      </c>
      <c r="H244" s="865" t="str">
        <f t="shared" si="34"/>
        <v/>
      </c>
      <c r="I244" s="865" t="e">
        <f t="shared" si="30"/>
        <v>#VALUE!</v>
      </c>
      <c r="J244" s="865">
        <f>SUM($H$19:$H244)</f>
        <v>0</v>
      </c>
    </row>
    <row r="245" spans="1:10">
      <c r="A245" s="863" t="str">
        <f t="shared" si="31"/>
        <v/>
      </c>
      <c r="B245" s="864" t="str">
        <f t="shared" si="27"/>
        <v/>
      </c>
      <c r="C245" s="865" t="str">
        <f t="shared" si="32"/>
        <v/>
      </c>
      <c r="D245" s="865" t="str">
        <f t="shared" si="35"/>
        <v/>
      </c>
      <c r="E245" s="866" t="e">
        <f t="shared" si="28"/>
        <v>#VALUE!</v>
      </c>
      <c r="F245" s="865" t="e">
        <f t="shared" si="29"/>
        <v>#VALUE!</v>
      </c>
      <c r="G245" s="865" t="str">
        <f t="shared" si="33"/>
        <v/>
      </c>
      <c r="H245" s="865" t="str">
        <f t="shared" si="34"/>
        <v/>
      </c>
      <c r="I245" s="865" t="e">
        <f t="shared" si="30"/>
        <v>#VALUE!</v>
      </c>
      <c r="J245" s="865">
        <f>SUM($H$19:$H245)</f>
        <v>0</v>
      </c>
    </row>
    <row r="246" spans="1:10">
      <c r="A246" s="863" t="str">
        <f t="shared" si="31"/>
        <v/>
      </c>
      <c r="B246" s="864" t="str">
        <f t="shared" si="27"/>
        <v/>
      </c>
      <c r="C246" s="865" t="str">
        <f t="shared" si="32"/>
        <v/>
      </c>
      <c r="D246" s="865" t="str">
        <f t="shared" si="35"/>
        <v/>
      </c>
      <c r="E246" s="866" t="e">
        <f t="shared" si="28"/>
        <v>#VALUE!</v>
      </c>
      <c r="F246" s="865" t="e">
        <f t="shared" si="29"/>
        <v>#VALUE!</v>
      </c>
      <c r="G246" s="865" t="str">
        <f t="shared" si="33"/>
        <v/>
      </c>
      <c r="H246" s="865" t="str">
        <f t="shared" si="34"/>
        <v/>
      </c>
      <c r="I246" s="865" t="e">
        <f t="shared" si="30"/>
        <v>#VALUE!</v>
      </c>
      <c r="J246" s="865">
        <f>SUM($H$19:$H246)</f>
        <v>0</v>
      </c>
    </row>
    <row r="247" spans="1:10">
      <c r="A247" s="863" t="str">
        <f t="shared" si="31"/>
        <v/>
      </c>
      <c r="B247" s="864" t="str">
        <f t="shared" si="27"/>
        <v/>
      </c>
      <c r="C247" s="865" t="str">
        <f t="shared" si="32"/>
        <v/>
      </c>
      <c r="D247" s="865" t="str">
        <f t="shared" si="35"/>
        <v/>
      </c>
      <c r="E247" s="866" t="e">
        <f t="shared" si="28"/>
        <v>#VALUE!</v>
      </c>
      <c r="F247" s="865" t="e">
        <f t="shared" si="29"/>
        <v>#VALUE!</v>
      </c>
      <c r="G247" s="865" t="str">
        <f t="shared" si="33"/>
        <v/>
      </c>
      <c r="H247" s="865" t="str">
        <f t="shared" si="34"/>
        <v/>
      </c>
      <c r="I247" s="865" t="e">
        <f t="shared" si="30"/>
        <v>#VALUE!</v>
      </c>
      <c r="J247" s="865">
        <f>SUM($H$19:$H247)</f>
        <v>0</v>
      </c>
    </row>
    <row r="248" spans="1:10">
      <c r="A248" s="863" t="str">
        <f t="shared" si="31"/>
        <v/>
      </c>
      <c r="B248" s="864" t="str">
        <f t="shared" si="27"/>
        <v/>
      </c>
      <c r="C248" s="865" t="str">
        <f t="shared" si="32"/>
        <v/>
      </c>
      <c r="D248" s="865" t="str">
        <f t="shared" si="35"/>
        <v/>
      </c>
      <c r="E248" s="866" t="e">
        <f t="shared" si="28"/>
        <v>#VALUE!</v>
      </c>
      <c r="F248" s="865" t="e">
        <f t="shared" si="29"/>
        <v>#VALUE!</v>
      </c>
      <c r="G248" s="865" t="str">
        <f t="shared" si="33"/>
        <v/>
      </c>
      <c r="H248" s="865" t="str">
        <f t="shared" si="34"/>
        <v/>
      </c>
      <c r="I248" s="865" t="e">
        <f t="shared" si="30"/>
        <v>#VALUE!</v>
      </c>
      <c r="J248" s="865">
        <f>SUM($H$19:$H248)</f>
        <v>0</v>
      </c>
    </row>
    <row r="249" spans="1:10">
      <c r="A249" s="863" t="str">
        <f t="shared" si="31"/>
        <v/>
      </c>
      <c r="B249" s="864" t="str">
        <f t="shared" si="27"/>
        <v/>
      </c>
      <c r="C249" s="865" t="str">
        <f t="shared" si="32"/>
        <v/>
      </c>
      <c r="D249" s="865" t="str">
        <f t="shared" si="35"/>
        <v/>
      </c>
      <c r="E249" s="866" t="e">
        <f t="shared" si="28"/>
        <v>#VALUE!</v>
      </c>
      <c r="F249" s="865" t="e">
        <f t="shared" si="29"/>
        <v>#VALUE!</v>
      </c>
      <c r="G249" s="865" t="str">
        <f t="shared" si="33"/>
        <v/>
      </c>
      <c r="H249" s="865" t="str">
        <f t="shared" si="34"/>
        <v/>
      </c>
      <c r="I249" s="865" t="e">
        <f t="shared" si="30"/>
        <v>#VALUE!</v>
      </c>
      <c r="J249" s="865">
        <f>SUM($H$19:$H249)</f>
        <v>0</v>
      </c>
    </row>
    <row r="250" spans="1:10">
      <c r="A250" s="863" t="str">
        <f t="shared" si="31"/>
        <v/>
      </c>
      <c r="B250" s="864" t="str">
        <f t="shared" si="27"/>
        <v/>
      </c>
      <c r="C250" s="865" t="str">
        <f t="shared" si="32"/>
        <v/>
      </c>
      <c r="D250" s="865" t="str">
        <f t="shared" si="35"/>
        <v/>
      </c>
      <c r="E250" s="866" t="e">
        <f t="shared" si="28"/>
        <v>#VALUE!</v>
      </c>
      <c r="F250" s="865" t="e">
        <f t="shared" si="29"/>
        <v>#VALUE!</v>
      </c>
      <c r="G250" s="865" t="str">
        <f t="shared" si="33"/>
        <v/>
      </c>
      <c r="H250" s="865" t="str">
        <f t="shared" si="34"/>
        <v/>
      </c>
      <c r="I250" s="865" t="e">
        <f t="shared" si="30"/>
        <v>#VALUE!</v>
      </c>
      <c r="J250" s="865">
        <f>SUM($H$19:$H250)</f>
        <v>0</v>
      </c>
    </row>
    <row r="251" spans="1:10">
      <c r="A251" s="863" t="str">
        <f t="shared" si="31"/>
        <v/>
      </c>
      <c r="B251" s="864" t="str">
        <f t="shared" si="27"/>
        <v/>
      </c>
      <c r="C251" s="865" t="str">
        <f t="shared" si="32"/>
        <v/>
      </c>
      <c r="D251" s="865" t="str">
        <f t="shared" si="35"/>
        <v/>
      </c>
      <c r="E251" s="866" t="e">
        <f t="shared" si="28"/>
        <v>#VALUE!</v>
      </c>
      <c r="F251" s="865" t="e">
        <f t="shared" si="29"/>
        <v>#VALUE!</v>
      </c>
      <c r="G251" s="865" t="str">
        <f t="shared" si="33"/>
        <v/>
      </c>
      <c r="H251" s="865" t="str">
        <f t="shared" si="34"/>
        <v/>
      </c>
      <c r="I251" s="865" t="e">
        <f t="shared" si="30"/>
        <v>#VALUE!</v>
      </c>
      <c r="J251" s="865">
        <f>SUM($H$19:$H251)</f>
        <v>0</v>
      </c>
    </row>
    <row r="252" spans="1:10">
      <c r="A252" s="863" t="str">
        <f t="shared" si="31"/>
        <v/>
      </c>
      <c r="B252" s="864" t="str">
        <f t="shared" si="27"/>
        <v/>
      </c>
      <c r="C252" s="865" t="str">
        <f t="shared" si="32"/>
        <v/>
      </c>
      <c r="D252" s="865" t="str">
        <f t="shared" si="35"/>
        <v/>
      </c>
      <c r="E252" s="866" t="e">
        <f t="shared" si="28"/>
        <v>#VALUE!</v>
      </c>
      <c r="F252" s="865" t="e">
        <f t="shared" si="29"/>
        <v>#VALUE!</v>
      </c>
      <c r="G252" s="865" t="str">
        <f t="shared" si="33"/>
        <v/>
      </c>
      <c r="H252" s="865" t="str">
        <f t="shared" si="34"/>
        <v/>
      </c>
      <c r="I252" s="865" t="e">
        <f t="shared" si="30"/>
        <v>#VALUE!</v>
      </c>
      <c r="J252" s="865">
        <f>SUM($H$19:$H252)</f>
        <v>0</v>
      </c>
    </row>
    <row r="253" spans="1:10">
      <c r="A253" s="863" t="str">
        <f t="shared" si="31"/>
        <v/>
      </c>
      <c r="B253" s="864" t="str">
        <f t="shared" si="27"/>
        <v/>
      </c>
      <c r="C253" s="865" t="str">
        <f t="shared" si="32"/>
        <v/>
      </c>
      <c r="D253" s="865" t="str">
        <f t="shared" si="35"/>
        <v/>
      </c>
      <c r="E253" s="866" t="e">
        <f t="shared" si="28"/>
        <v>#VALUE!</v>
      </c>
      <c r="F253" s="865" t="e">
        <f t="shared" si="29"/>
        <v>#VALUE!</v>
      </c>
      <c r="G253" s="865" t="str">
        <f t="shared" si="33"/>
        <v/>
      </c>
      <c r="H253" s="865" t="str">
        <f t="shared" si="34"/>
        <v/>
      </c>
      <c r="I253" s="865" t="e">
        <f t="shared" si="30"/>
        <v>#VALUE!</v>
      </c>
      <c r="J253" s="865">
        <f>SUM($H$19:$H253)</f>
        <v>0</v>
      </c>
    </row>
    <row r="254" spans="1:10">
      <c r="A254" s="863" t="str">
        <f t="shared" si="31"/>
        <v/>
      </c>
      <c r="B254" s="864" t="str">
        <f t="shared" si="27"/>
        <v/>
      </c>
      <c r="C254" s="865" t="str">
        <f t="shared" si="32"/>
        <v/>
      </c>
      <c r="D254" s="865" t="str">
        <f t="shared" si="35"/>
        <v/>
      </c>
      <c r="E254" s="866" t="e">
        <f t="shared" si="28"/>
        <v>#VALUE!</v>
      </c>
      <c r="F254" s="865" t="e">
        <f t="shared" si="29"/>
        <v>#VALUE!</v>
      </c>
      <c r="G254" s="865" t="str">
        <f t="shared" si="33"/>
        <v/>
      </c>
      <c r="H254" s="865" t="str">
        <f t="shared" si="34"/>
        <v/>
      </c>
      <c r="I254" s="865" t="e">
        <f t="shared" si="30"/>
        <v>#VALUE!</v>
      </c>
      <c r="J254" s="865">
        <f>SUM($H$19:$H254)</f>
        <v>0</v>
      </c>
    </row>
    <row r="255" spans="1:10">
      <c r="A255" s="863" t="str">
        <f t="shared" si="31"/>
        <v/>
      </c>
      <c r="B255" s="864" t="str">
        <f t="shared" si="27"/>
        <v/>
      </c>
      <c r="C255" s="865" t="str">
        <f t="shared" si="32"/>
        <v/>
      </c>
      <c r="D255" s="865" t="str">
        <f t="shared" si="35"/>
        <v/>
      </c>
      <c r="E255" s="866" t="e">
        <f t="shared" si="28"/>
        <v>#VALUE!</v>
      </c>
      <c r="F255" s="865" t="e">
        <f t="shared" si="29"/>
        <v>#VALUE!</v>
      </c>
      <c r="G255" s="865" t="str">
        <f t="shared" si="33"/>
        <v/>
      </c>
      <c r="H255" s="865" t="str">
        <f t="shared" si="34"/>
        <v/>
      </c>
      <c r="I255" s="865" t="e">
        <f t="shared" si="30"/>
        <v>#VALUE!</v>
      </c>
      <c r="J255" s="865">
        <f>SUM($H$19:$H255)</f>
        <v>0</v>
      </c>
    </row>
    <row r="256" spans="1:10">
      <c r="A256" s="863" t="str">
        <f t="shared" si="31"/>
        <v/>
      </c>
      <c r="B256" s="864" t="str">
        <f t="shared" si="27"/>
        <v/>
      </c>
      <c r="C256" s="865" t="str">
        <f t="shared" si="32"/>
        <v/>
      </c>
      <c r="D256" s="865" t="str">
        <f t="shared" si="35"/>
        <v/>
      </c>
      <c r="E256" s="866" t="e">
        <f t="shared" si="28"/>
        <v>#VALUE!</v>
      </c>
      <c r="F256" s="865" t="e">
        <f t="shared" si="29"/>
        <v>#VALUE!</v>
      </c>
      <c r="G256" s="865" t="str">
        <f t="shared" si="33"/>
        <v/>
      </c>
      <c r="H256" s="865" t="str">
        <f t="shared" si="34"/>
        <v/>
      </c>
      <c r="I256" s="865" t="e">
        <f t="shared" si="30"/>
        <v>#VALUE!</v>
      </c>
      <c r="J256" s="865">
        <f>SUM($H$19:$H256)</f>
        <v>0</v>
      </c>
    </row>
    <row r="257" spans="1:10">
      <c r="A257" s="863" t="str">
        <f t="shared" si="31"/>
        <v/>
      </c>
      <c r="B257" s="864" t="str">
        <f t="shared" si="27"/>
        <v/>
      </c>
      <c r="C257" s="865" t="str">
        <f t="shared" si="32"/>
        <v/>
      </c>
      <c r="D257" s="865" t="str">
        <f t="shared" si="35"/>
        <v/>
      </c>
      <c r="E257" s="866" t="e">
        <f t="shared" si="28"/>
        <v>#VALUE!</v>
      </c>
      <c r="F257" s="865" t="e">
        <f t="shared" si="29"/>
        <v>#VALUE!</v>
      </c>
      <c r="G257" s="865" t="str">
        <f t="shared" si="33"/>
        <v/>
      </c>
      <c r="H257" s="865" t="str">
        <f t="shared" si="34"/>
        <v/>
      </c>
      <c r="I257" s="865" t="e">
        <f t="shared" si="30"/>
        <v>#VALUE!</v>
      </c>
      <c r="J257" s="865">
        <f>SUM($H$19:$H257)</f>
        <v>0</v>
      </c>
    </row>
    <row r="258" spans="1:10">
      <c r="A258" s="863" t="str">
        <f t="shared" si="31"/>
        <v/>
      </c>
      <c r="B258" s="864" t="str">
        <f t="shared" si="27"/>
        <v/>
      </c>
      <c r="C258" s="865" t="str">
        <f t="shared" si="32"/>
        <v/>
      </c>
      <c r="D258" s="865" t="str">
        <f t="shared" si="35"/>
        <v/>
      </c>
      <c r="E258" s="866" t="e">
        <f t="shared" si="28"/>
        <v>#VALUE!</v>
      </c>
      <c r="F258" s="865" t="e">
        <f t="shared" si="29"/>
        <v>#VALUE!</v>
      </c>
      <c r="G258" s="865" t="str">
        <f t="shared" si="33"/>
        <v/>
      </c>
      <c r="H258" s="865" t="str">
        <f t="shared" si="34"/>
        <v/>
      </c>
      <c r="I258" s="865" t="e">
        <f t="shared" si="30"/>
        <v>#VALUE!</v>
      </c>
      <c r="J258" s="865">
        <f>SUM($H$19:$H258)</f>
        <v>0</v>
      </c>
    </row>
    <row r="259" spans="1:10">
      <c r="A259" s="863" t="str">
        <f t="shared" si="31"/>
        <v/>
      </c>
      <c r="B259" s="864" t="str">
        <f t="shared" si="27"/>
        <v/>
      </c>
      <c r="C259" s="865" t="str">
        <f t="shared" si="32"/>
        <v/>
      </c>
      <c r="D259" s="865" t="str">
        <f t="shared" si="35"/>
        <v/>
      </c>
      <c r="E259" s="866" t="e">
        <f t="shared" si="28"/>
        <v>#VALUE!</v>
      </c>
      <c r="F259" s="865" t="e">
        <f t="shared" si="29"/>
        <v>#VALUE!</v>
      </c>
      <c r="G259" s="865" t="str">
        <f t="shared" si="33"/>
        <v/>
      </c>
      <c r="H259" s="865" t="str">
        <f t="shared" si="34"/>
        <v/>
      </c>
      <c r="I259" s="865" t="e">
        <f t="shared" si="30"/>
        <v>#VALUE!</v>
      </c>
      <c r="J259" s="865">
        <f>SUM($H$19:$H259)</f>
        <v>0</v>
      </c>
    </row>
    <row r="260" spans="1:10">
      <c r="A260" s="863" t="str">
        <f t="shared" si="31"/>
        <v/>
      </c>
      <c r="B260" s="864" t="str">
        <f t="shared" si="27"/>
        <v/>
      </c>
      <c r="C260" s="865" t="str">
        <f t="shared" si="32"/>
        <v/>
      </c>
      <c r="D260" s="865" t="str">
        <f t="shared" si="35"/>
        <v/>
      </c>
      <c r="E260" s="866" t="e">
        <f t="shared" si="28"/>
        <v>#VALUE!</v>
      </c>
      <c r="F260" s="865" t="e">
        <f t="shared" si="29"/>
        <v>#VALUE!</v>
      </c>
      <c r="G260" s="865" t="str">
        <f t="shared" si="33"/>
        <v/>
      </c>
      <c r="H260" s="865" t="str">
        <f t="shared" si="34"/>
        <v/>
      </c>
      <c r="I260" s="865" t="e">
        <f t="shared" si="30"/>
        <v>#VALUE!</v>
      </c>
      <c r="J260" s="865">
        <f>SUM($H$19:$H260)</f>
        <v>0</v>
      </c>
    </row>
    <row r="261" spans="1:10">
      <c r="A261" s="863" t="str">
        <f t="shared" si="31"/>
        <v/>
      </c>
      <c r="B261" s="864" t="str">
        <f t="shared" si="27"/>
        <v/>
      </c>
      <c r="C261" s="865" t="str">
        <f t="shared" si="32"/>
        <v/>
      </c>
      <c r="D261" s="865" t="str">
        <f t="shared" si="35"/>
        <v/>
      </c>
      <c r="E261" s="866" t="e">
        <f t="shared" si="28"/>
        <v>#VALUE!</v>
      </c>
      <c r="F261" s="865" t="e">
        <f t="shared" si="29"/>
        <v>#VALUE!</v>
      </c>
      <c r="G261" s="865" t="str">
        <f t="shared" si="33"/>
        <v/>
      </c>
      <c r="H261" s="865" t="str">
        <f t="shared" si="34"/>
        <v/>
      </c>
      <c r="I261" s="865" t="e">
        <f t="shared" si="30"/>
        <v>#VALUE!</v>
      </c>
      <c r="J261" s="865">
        <f>SUM($H$19:$H261)</f>
        <v>0</v>
      </c>
    </row>
    <row r="262" spans="1:10">
      <c r="A262" s="863" t="str">
        <f t="shared" si="31"/>
        <v/>
      </c>
      <c r="B262" s="864" t="str">
        <f t="shared" si="27"/>
        <v/>
      </c>
      <c r="C262" s="865" t="str">
        <f t="shared" si="32"/>
        <v/>
      </c>
      <c r="D262" s="865" t="str">
        <f t="shared" si="35"/>
        <v/>
      </c>
      <c r="E262" s="866" t="e">
        <f t="shared" si="28"/>
        <v>#VALUE!</v>
      </c>
      <c r="F262" s="865" t="e">
        <f t="shared" si="29"/>
        <v>#VALUE!</v>
      </c>
      <c r="G262" s="865" t="str">
        <f t="shared" si="33"/>
        <v/>
      </c>
      <c r="H262" s="865" t="str">
        <f t="shared" si="34"/>
        <v/>
      </c>
      <c r="I262" s="865" t="e">
        <f t="shared" si="30"/>
        <v>#VALUE!</v>
      </c>
      <c r="J262" s="865">
        <f>SUM($H$19:$H262)</f>
        <v>0</v>
      </c>
    </row>
    <row r="263" spans="1:10">
      <c r="A263" s="863" t="str">
        <f t="shared" si="31"/>
        <v/>
      </c>
      <c r="B263" s="864" t="str">
        <f t="shared" si="27"/>
        <v/>
      </c>
      <c r="C263" s="865" t="str">
        <f t="shared" si="32"/>
        <v/>
      </c>
      <c r="D263" s="865" t="str">
        <f t="shared" si="35"/>
        <v/>
      </c>
      <c r="E263" s="866" t="e">
        <f t="shared" si="28"/>
        <v>#VALUE!</v>
      </c>
      <c r="F263" s="865" t="e">
        <f t="shared" si="29"/>
        <v>#VALUE!</v>
      </c>
      <c r="G263" s="865" t="str">
        <f t="shared" si="33"/>
        <v/>
      </c>
      <c r="H263" s="865" t="str">
        <f t="shared" si="34"/>
        <v/>
      </c>
      <c r="I263" s="865" t="e">
        <f t="shared" si="30"/>
        <v>#VALUE!</v>
      </c>
      <c r="J263" s="865">
        <f>SUM($H$19:$H263)</f>
        <v>0</v>
      </c>
    </row>
    <row r="264" spans="1:10">
      <c r="A264" s="863" t="str">
        <f t="shared" si="31"/>
        <v/>
      </c>
      <c r="B264" s="864" t="str">
        <f t="shared" si="27"/>
        <v/>
      </c>
      <c r="C264" s="865" t="str">
        <f t="shared" si="32"/>
        <v/>
      </c>
      <c r="D264" s="865" t="str">
        <f t="shared" si="35"/>
        <v/>
      </c>
      <c r="E264" s="866" t="e">
        <f t="shared" si="28"/>
        <v>#VALUE!</v>
      </c>
      <c r="F264" s="865" t="e">
        <f t="shared" si="29"/>
        <v>#VALUE!</v>
      </c>
      <c r="G264" s="865" t="str">
        <f t="shared" si="33"/>
        <v/>
      </c>
      <c r="H264" s="865" t="str">
        <f t="shared" si="34"/>
        <v/>
      </c>
      <c r="I264" s="865" t="e">
        <f t="shared" si="30"/>
        <v>#VALUE!</v>
      </c>
      <c r="J264" s="865">
        <f>SUM($H$19:$H264)</f>
        <v>0</v>
      </c>
    </row>
    <row r="265" spans="1:10">
      <c r="A265" s="863" t="str">
        <f t="shared" si="31"/>
        <v/>
      </c>
      <c r="B265" s="864" t="str">
        <f t="shared" si="27"/>
        <v/>
      </c>
      <c r="C265" s="865" t="str">
        <f t="shared" si="32"/>
        <v/>
      </c>
      <c r="D265" s="865" t="str">
        <f t="shared" si="35"/>
        <v/>
      </c>
      <c r="E265" s="866" t="e">
        <f t="shared" si="28"/>
        <v>#VALUE!</v>
      </c>
      <c r="F265" s="865" t="e">
        <f t="shared" si="29"/>
        <v>#VALUE!</v>
      </c>
      <c r="G265" s="865" t="str">
        <f t="shared" si="33"/>
        <v/>
      </c>
      <c r="H265" s="865" t="str">
        <f t="shared" si="34"/>
        <v/>
      </c>
      <c r="I265" s="865" t="e">
        <f t="shared" si="30"/>
        <v>#VALUE!</v>
      </c>
      <c r="J265" s="865">
        <f>SUM($H$19:$H265)</f>
        <v>0</v>
      </c>
    </row>
    <row r="266" spans="1:10">
      <c r="A266" s="863" t="str">
        <f t="shared" si="31"/>
        <v/>
      </c>
      <c r="B266" s="864" t="str">
        <f t="shared" si="27"/>
        <v/>
      </c>
      <c r="C266" s="865" t="str">
        <f t="shared" si="32"/>
        <v/>
      </c>
      <c r="D266" s="865" t="str">
        <f t="shared" si="35"/>
        <v/>
      </c>
      <c r="E266" s="866" t="e">
        <f t="shared" si="28"/>
        <v>#VALUE!</v>
      </c>
      <c r="F266" s="865" t="e">
        <f t="shared" si="29"/>
        <v>#VALUE!</v>
      </c>
      <c r="G266" s="865" t="str">
        <f t="shared" si="33"/>
        <v/>
      </c>
      <c r="H266" s="865" t="str">
        <f t="shared" si="34"/>
        <v/>
      </c>
      <c r="I266" s="865" t="e">
        <f t="shared" si="30"/>
        <v>#VALUE!</v>
      </c>
      <c r="J266" s="865">
        <f>SUM($H$19:$H266)</f>
        <v>0</v>
      </c>
    </row>
    <row r="267" spans="1:10">
      <c r="A267" s="863" t="str">
        <f t="shared" si="31"/>
        <v/>
      </c>
      <c r="B267" s="864" t="str">
        <f t="shared" si="27"/>
        <v/>
      </c>
      <c r="C267" s="865" t="str">
        <f t="shared" si="32"/>
        <v/>
      </c>
      <c r="D267" s="865" t="str">
        <f t="shared" si="35"/>
        <v/>
      </c>
      <c r="E267" s="866" t="e">
        <f t="shared" si="28"/>
        <v>#VALUE!</v>
      </c>
      <c r="F267" s="865" t="e">
        <f t="shared" si="29"/>
        <v>#VALUE!</v>
      </c>
      <c r="G267" s="865" t="str">
        <f t="shared" si="33"/>
        <v/>
      </c>
      <c r="H267" s="865" t="str">
        <f t="shared" si="34"/>
        <v/>
      </c>
      <c r="I267" s="865" t="e">
        <f t="shared" si="30"/>
        <v>#VALUE!</v>
      </c>
      <c r="J267" s="865">
        <f>SUM($H$19:$H267)</f>
        <v>0</v>
      </c>
    </row>
    <row r="268" spans="1:10">
      <c r="A268" s="863" t="str">
        <f t="shared" si="31"/>
        <v/>
      </c>
      <c r="B268" s="864" t="str">
        <f t="shared" si="27"/>
        <v/>
      </c>
      <c r="C268" s="865" t="str">
        <f t="shared" si="32"/>
        <v/>
      </c>
      <c r="D268" s="865" t="str">
        <f t="shared" si="35"/>
        <v/>
      </c>
      <c r="E268" s="866" t="e">
        <f t="shared" si="28"/>
        <v>#VALUE!</v>
      </c>
      <c r="F268" s="865" t="e">
        <f t="shared" si="29"/>
        <v>#VALUE!</v>
      </c>
      <c r="G268" s="865" t="str">
        <f t="shared" si="33"/>
        <v/>
      </c>
      <c r="H268" s="865" t="str">
        <f t="shared" si="34"/>
        <v/>
      </c>
      <c r="I268" s="865" t="e">
        <f t="shared" si="30"/>
        <v>#VALUE!</v>
      </c>
      <c r="J268" s="865">
        <f>SUM($H$19:$H268)</f>
        <v>0</v>
      </c>
    </row>
    <row r="269" spans="1:10">
      <c r="A269" s="863" t="str">
        <f t="shared" si="31"/>
        <v/>
      </c>
      <c r="B269" s="864" t="str">
        <f t="shared" si="27"/>
        <v/>
      </c>
      <c r="C269" s="865" t="str">
        <f t="shared" si="32"/>
        <v/>
      </c>
      <c r="D269" s="865" t="str">
        <f t="shared" si="35"/>
        <v/>
      </c>
      <c r="E269" s="866" t="e">
        <f t="shared" si="28"/>
        <v>#VALUE!</v>
      </c>
      <c r="F269" s="865" t="e">
        <f t="shared" si="29"/>
        <v>#VALUE!</v>
      </c>
      <c r="G269" s="865" t="str">
        <f t="shared" si="33"/>
        <v/>
      </c>
      <c r="H269" s="865" t="str">
        <f t="shared" si="34"/>
        <v/>
      </c>
      <c r="I269" s="865" t="e">
        <f t="shared" si="30"/>
        <v>#VALUE!</v>
      </c>
      <c r="J269" s="865">
        <f>SUM($H$19:$H269)</f>
        <v>0</v>
      </c>
    </row>
    <row r="270" spans="1:10">
      <c r="A270" s="863" t="str">
        <f t="shared" si="31"/>
        <v/>
      </c>
      <c r="B270" s="864" t="str">
        <f t="shared" si="27"/>
        <v/>
      </c>
      <c r="C270" s="865" t="str">
        <f t="shared" si="32"/>
        <v/>
      </c>
      <c r="D270" s="865" t="str">
        <f t="shared" si="35"/>
        <v/>
      </c>
      <c r="E270" s="866" t="e">
        <f t="shared" si="28"/>
        <v>#VALUE!</v>
      </c>
      <c r="F270" s="865" t="e">
        <f t="shared" si="29"/>
        <v>#VALUE!</v>
      </c>
      <c r="G270" s="865" t="str">
        <f t="shared" si="33"/>
        <v/>
      </c>
      <c r="H270" s="865" t="str">
        <f t="shared" si="34"/>
        <v/>
      </c>
      <c r="I270" s="865" t="e">
        <f t="shared" si="30"/>
        <v>#VALUE!</v>
      </c>
      <c r="J270" s="865">
        <f>SUM($H$19:$H270)</f>
        <v>0</v>
      </c>
    </row>
    <row r="271" spans="1:10">
      <c r="A271" s="863" t="str">
        <f t="shared" si="31"/>
        <v/>
      </c>
      <c r="B271" s="864" t="str">
        <f t="shared" si="27"/>
        <v/>
      </c>
      <c r="C271" s="865" t="str">
        <f t="shared" si="32"/>
        <v/>
      </c>
      <c r="D271" s="865" t="str">
        <f t="shared" si="35"/>
        <v/>
      </c>
      <c r="E271" s="866" t="e">
        <f t="shared" si="28"/>
        <v>#VALUE!</v>
      </c>
      <c r="F271" s="865" t="e">
        <f t="shared" si="29"/>
        <v>#VALUE!</v>
      </c>
      <c r="G271" s="865" t="str">
        <f t="shared" si="33"/>
        <v/>
      </c>
      <c r="H271" s="865" t="str">
        <f t="shared" si="34"/>
        <v/>
      </c>
      <c r="I271" s="865" t="e">
        <f t="shared" si="30"/>
        <v>#VALUE!</v>
      </c>
      <c r="J271" s="865">
        <f>SUM($H$19:$H271)</f>
        <v>0</v>
      </c>
    </row>
    <row r="272" spans="1:10">
      <c r="A272" s="863" t="str">
        <f t="shared" si="31"/>
        <v/>
      </c>
      <c r="B272" s="864" t="str">
        <f t="shared" si="27"/>
        <v/>
      </c>
      <c r="C272" s="865" t="str">
        <f t="shared" si="32"/>
        <v/>
      </c>
      <c r="D272" s="865" t="str">
        <f t="shared" si="35"/>
        <v/>
      </c>
      <c r="E272" s="866" t="e">
        <f t="shared" si="28"/>
        <v>#VALUE!</v>
      </c>
      <c r="F272" s="865" t="e">
        <f t="shared" si="29"/>
        <v>#VALUE!</v>
      </c>
      <c r="G272" s="865" t="str">
        <f t="shared" si="33"/>
        <v/>
      </c>
      <c r="H272" s="865" t="str">
        <f t="shared" si="34"/>
        <v/>
      </c>
      <c r="I272" s="865" t="e">
        <f t="shared" si="30"/>
        <v>#VALUE!</v>
      </c>
      <c r="J272" s="865">
        <f>SUM($H$19:$H272)</f>
        <v>0</v>
      </c>
    </row>
    <row r="273" spans="1:10">
      <c r="A273" s="863" t="str">
        <f t="shared" si="31"/>
        <v/>
      </c>
      <c r="B273" s="864" t="str">
        <f t="shared" si="27"/>
        <v/>
      </c>
      <c r="C273" s="865" t="str">
        <f t="shared" si="32"/>
        <v/>
      </c>
      <c r="D273" s="865" t="str">
        <f t="shared" si="35"/>
        <v/>
      </c>
      <c r="E273" s="866" t="e">
        <f t="shared" si="28"/>
        <v>#VALUE!</v>
      </c>
      <c r="F273" s="865" t="e">
        <f t="shared" si="29"/>
        <v>#VALUE!</v>
      </c>
      <c r="G273" s="865" t="str">
        <f t="shared" si="33"/>
        <v/>
      </c>
      <c r="H273" s="865" t="str">
        <f t="shared" si="34"/>
        <v/>
      </c>
      <c r="I273" s="865" t="e">
        <f t="shared" si="30"/>
        <v>#VALUE!</v>
      </c>
      <c r="J273" s="865">
        <f>SUM($H$19:$H273)</f>
        <v>0</v>
      </c>
    </row>
    <row r="274" spans="1:10">
      <c r="A274" s="863" t="str">
        <f t="shared" si="31"/>
        <v/>
      </c>
      <c r="B274" s="864" t="str">
        <f t="shared" si="27"/>
        <v/>
      </c>
      <c r="C274" s="865" t="str">
        <f t="shared" si="32"/>
        <v/>
      </c>
      <c r="D274" s="865" t="str">
        <f t="shared" si="35"/>
        <v/>
      </c>
      <c r="E274" s="866" t="e">
        <f t="shared" si="28"/>
        <v>#VALUE!</v>
      </c>
      <c r="F274" s="865" t="e">
        <f t="shared" si="29"/>
        <v>#VALUE!</v>
      </c>
      <c r="G274" s="865" t="str">
        <f t="shared" si="33"/>
        <v/>
      </c>
      <c r="H274" s="865" t="str">
        <f t="shared" si="34"/>
        <v/>
      </c>
      <c r="I274" s="865" t="e">
        <f t="shared" si="30"/>
        <v>#VALUE!</v>
      </c>
      <c r="J274" s="865">
        <f>SUM($H$19:$H274)</f>
        <v>0</v>
      </c>
    </row>
    <row r="275" spans="1:10">
      <c r="A275" s="863" t="str">
        <f t="shared" si="31"/>
        <v/>
      </c>
      <c r="B275" s="864" t="str">
        <f t="shared" ref="B275:B338" si="36">IF(Pay_Num&lt;&gt;"",DATE(YEAR(Loan_Start),MONTH(Loan_Start)+(Pay_Num)*12/Num_Pmt_Per_Year,DAY(Loan_Start)),"")</f>
        <v/>
      </c>
      <c r="C275" s="865" t="str">
        <f t="shared" si="32"/>
        <v/>
      </c>
      <c r="D275" s="865" t="str">
        <f t="shared" si="35"/>
        <v/>
      </c>
      <c r="E275" s="866" t="e">
        <f t="shared" ref="E275:E338" si="37">IF(AND(Pay_Num&lt;&gt;"",Sched_Pay+Scheduled_Extra_Payments&lt;Beg_Bal),Scheduled_Extra_Payments,IF(AND(Pay_Num&lt;&gt;"",Beg_Bal-Sched_Pay&gt;0),Beg_Bal-Sched_Pay,IF(Pay_Num&lt;&gt;"",0,"")))</f>
        <v>#VALUE!</v>
      </c>
      <c r="F275" s="865" t="e">
        <f t="shared" ref="F275:F338" si="38">IF(AND(Pay_Num&lt;&gt;"",Sched_Pay+Extra_Pay&lt;Beg_Bal),Sched_Pay+Extra_Pay,IF(Pay_Num&lt;&gt;"",Beg_Bal,""))</f>
        <v>#VALUE!</v>
      </c>
      <c r="G275" s="865" t="str">
        <f t="shared" si="33"/>
        <v/>
      </c>
      <c r="H275" s="865" t="str">
        <f t="shared" si="34"/>
        <v/>
      </c>
      <c r="I275" s="865" t="e">
        <f t="shared" ref="I275:I338" si="39">IF(AND(Pay_Num&lt;&gt;"",Sched_Pay+Extra_Pay&lt;Beg_Bal),Beg_Bal-Princ,IF(Pay_Num&lt;&gt;"",0,""))</f>
        <v>#VALUE!</v>
      </c>
      <c r="J275" s="865">
        <f>SUM($H$19:$H275)</f>
        <v>0</v>
      </c>
    </row>
    <row r="276" spans="1:10">
      <c r="A276" s="863" t="str">
        <f t="shared" ref="A276:A339" si="40">IF(Values_Entered,A275+1,"")</f>
        <v/>
      </c>
      <c r="B276" s="864" t="str">
        <f t="shared" si="36"/>
        <v/>
      </c>
      <c r="C276" s="865" t="str">
        <f t="shared" ref="C276:C339" si="41">IF(Pay_Num&lt;&gt;"",I275,"")</f>
        <v/>
      </c>
      <c r="D276" s="865" t="str">
        <f t="shared" si="35"/>
        <v/>
      </c>
      <c r="E276" s="866" t="e">
        <f t="shared" si="37"/>
        <v>#VALUE!</v>
      </c>
      <c r="F276" s="865" t="e">
        <f t="shared" si="38"/>
        <v>#VALUE!</v>
      </c>
      <c r="G276" s="865" t="str">
        <f t="shared" ref="G276:G339" si="42">IF(Pay_Num&lt;&gt;"",Total_Pay-Int,"")</f>
        <v/>
      </c>
      <c r="H276" s="865" t="str">
        <f t="shared" ref="H276:H339" si="43">IF(Pay_Num&lt;&gt;"",Beg_Bal*Interest_Rate/Num_Pmt_Per_Year,"")</f>
        <v/>
      </c>
      <c r="I276" s="865" t="e">
        <f t="shared" si="39"/>
        <v>#VALUE!</v>
      </c>
      <c r="J276" s="865">
        <f>SUM($H$19:$H276)</f>
        <v>0</v>
      </c>
    </row>
    <row r="277" spans="1:10">
      <c r="A277" s="863" t="str">
        <f t="shared" si="40"/>
        <v/>
      </c>
      <c r="B277" s="864" t="str">
        <f t="shared" si="36"/>
        <v/>
      </c>
      <c r="C277" s="865" t="str">
        <f t="shared" si="41"/>
        <v/>
      </c>
      <c r="D277" s="865" t="str">
        <f t="shared" ref="D277:D340" si="44">IF(Pay_Num&lt;&gt;"",Scheduled_Monthly_Payment,"")</f>
        <v/>
      </c>
      <c r="E277" s="866" t="e">
        <f t="shared" si="37"/>
        <v>#VALUE!</v>
      </c>
      <c r="F277" s="865" t="e">
        <f t="shared" si="38"/>
        <v>#VALUE!</v>
      </c>
      <c r="G277" s="865" t="str">
        <f t="shared" si="42"/>
        <v/>
      </c>
      <c r="H277" s="865" t="str">
        <f t="shared" si="43"/>
        <v/>
      </c>
      <c r="I277" s="865" t="e">
        <f t="shared" si="39"/>
        <v>#VALUE!</v>
      </c>
      <c r="J277" s="865">
        <f>SUM($H$19:$H277)</f>
        <v>0</v>
      </c>
    </row>
    <row r="278" spans="1:10">
      <c r="A278" s="863" t="str">
        <f t="shared" si="40"/>
        <v/>
      </c>
      <c r="B278" s="864" t="str">
        <f t="shared" si="36"/>
        <v/>
      </c>
      <c r="C278" s="865" t="str">
        <f t="shared" si="41"/>
        <v/>
      </c>
      <c r="D278" s="865" t="str">
        <f t="shared" si="44"/>
        <v/>
      </c>
      <c r="E278" s="866" t="e">
        <f t="shared" si="37"/>
        <v>#VALUE!</v>
      </c>
      <c r="F278" s="865" t="e">
        <f t="shared" si="38"/>
        <v>#VALUE!</v>
      </c>
      <c r="G278" s="865" t="str">
        <f t="shared" si="42"/>
        <v/>
      </c>
      <c r="H278" s="865" t="str">
        <f t="shared" si="43"/>
        <v/>
      </c>
      <c r="I278" s="865" t="e">
        <f t="shared" si="39"/>
        <v>#VALUE!</v>
      </c>
      <c r="J278" s="865">
        <f>SUM($H$19:$H278)</f>
        <v>0</v>
      </c>
    </row>
    <row r="279" spans="1:10">
      <c r="A279" s="863" t="str">
        <f t="shared" si="40"/>
        <v/>
      </c>
      <c r="B279" s="864" t="str">
        <f t="shared" si="36"/>
        <v/>
      </c>
      <c r="C279" s="865" t="str">
        <f t="shared" si="41"/>
        <v/>
      </c>
      <c r="D279" s="865" t="str">
        <f t="shared" si="44"/>
        <v/>
      </c>
      <c r="E279" s="866" t="e">
        <f t="shared" si="37"/>
        <v>#VALUE!</v>
      </c>
      <c r="F279" s="865" t="e">
        <f t="shared" si="38"/>
        <v>#VALUE!</v>
      </c>
      <c r="G279" s="865" t="str">
        <f t="shared" si="42"/>
        <v/>
      </c>
      <c r="H279" s="865" t="str">
        <f t="shared" si="43"/>
        <v/>
      </c>
      <c r="I279" s="865" t="e">
        <f t="shared" si="39"/>
        <v>#VALUE!</v>
      </c>
      <c r="J279" s="865">
        <f>SUM($H$19:$H279)</f>
        <v>0</v>
      </c>
    </row>
    <row r="280" spans="1:10">
      <c r="A280" s="863" t="str">
        <f t="shared" si="40"/>
        <v/>
      </c>
      <c r="B280" s="864" t="str">
        <f t="shared" si="36"/>
        <v/>
      </c>
      <c r="C280" s="865" t="str">
        <f t="shared" si="41"/>
        <v/>
      </c>
      <c r="D280" s="865" t="str">
        <f t="shared" si="44"/>
        <v/>
      </c>
      <c r="E280" s="866" t="e">
        <f t="shared" si="37"/>
        <v>#VALUE!</v>
      </c>
      <c r="F280" s="865" t="e">
        <f t="shared" si="38"/>
        <v>#VALUE!</v>
      </c>
      <c r="G280" s="865" t="str">
        <f t="shared" si="42"/>
        <v/>
      </c>
      <c r="H280" s="865" t="str">
        <f t="shared" si="43"/>
        <v/>
      </c>
      <c r="I280" s="865" t="e">
        <f t="shared" si="39"/>
        <v>#VALUE!</v>
      </c>
      <c r="J280" s="865">
        <f>SUM($H$19:$H280)</f>
        <v>0</v>
      </c>
    </row>
    <row r="281" spans="1:10">
      <c r="A281" s="863" t="str">
        <f t="shared" si="40"/>
        <v/>
      </c>
      <c r="B281" s="864" t="str">
        <f t="shared" si="36"/>
        <v/>
      </c>
      <c r="C281" s="865" t="str">
        <f t="shared" si="41"/>
        <v/>
      </c>
      <c r="D281" s="865" t="str">
        <f t="shared" si="44"/>
        <v/>
      </c>
      <c r="E281" s="866" t="e">
        <f t="shared" si="37"/>
        <v>#VALUE!</v>
      </c>
      <c r="F281" s="865" t="e">
        <f t="shared" si="38"/>
        <v>#VALUE!</v>
      </c>
      <c r="G281" s="865" t="str">
        <f t="shared" si="42"/>
        <v/>
      </c>
      <c r="H281" s="865" t="str">
        <f t="shared" si="43"/>
        <v/>
      </c>
      <c r="I281" s="865" t="e">
        <f t="shared" si="39"/>
        <v>#VALUE!</v>
      </c>
      <c r="J281" s="865">
        <f>SUM($H$19:$H281)</f>
        <v>0</v>
      </c>
    </row>
    <row r="282" spans="1:10">
      <c r="A282" s="863" t="str">
        <f t="shared" si="40"/>
        <v/>
      </c>
      <c r="B282" s="864" t="str">
        <f t="shared" si="36"/>
        <v/>
      </c>
      <c r="C282" s="865" t="str">
        <f t="shared" si="41"/>
        <v/>
      </c>
      <c r="D282" s="865" t="str">
        <f t="shared" si="44"/>
        <v/>
      </c>
      <c r="E282" s="866" t="e">
        <f t="shared" si="37"/>
        <v>#VALUE!</v>
      </c>
      <c r="F282" s="865" t="e">
        <f t="shared" si="38"/>
        <v>#VALUE!</v>
      </c>
      <c r="G282" s="865" t="str">
        <f t="shared" si="42"/>
        <v/>
      </c>
      <c r="H282" s="865" t="str">
        <f t="shared" si="43"/>
        <v/>
      </c>
      <c r="I282" s="865" t="e">
        <f t="shared" si="39"/>
        <v>#VALUE!</v>
      </c>
      <c r="J282" s="865">
        <f>SUM($H$19:$H282)</f>
        <v>0</v>
      </c>
    </row>
    <row r="283" spans="1:10">
      <c r="A283" s="863" t="str">
        <f t="shared" si="40"/>
        <v/>
      </c>
      <c r="B283" s="864" t="str">
        <f t="shared" si="36"/>
        <v/>
      </c>
      <c r="C283" s="865" t="str">
        <f t="shared" si="41"/>
        <v/>
      </c>
      <c r="D283" s="865" t="str">
        <f t="shared" si="44"/>
        <v/>
      </c>
      <c r="E283" s="866" t="e">
        <f t="shared" si="37"/>
        <v>#VALUE!</v>
      </c>
      <c r="F283" s="865" t="e">
        <f t="shared" si="38"/>
        <v>#VALUE!</v>
      </c>
      <c r="G283" s="865" t="str">
        <f t="shared" si="42"/>
        <v/>
      </c>
      <c r="H283" s="865" t="str">
        <f t="shared" si="43"/>
        <v/>
      </c>
      <c r="I283" s="865" t="e">
        <f t="shared" si="39"/>
        <v>#VALUE!</v>
      </c>
      <c r="J283" s="865">
        <f>SUM($H$19:$H283)</f>
        <v>0</v>
      </c>
    </row>
    <row r="284" spans="1:10">
      <c r="A284" s="863" t="str">
        <f t="shared" si="40"/>
        <v/>
      </c>
      <c r="B284" s="864" t="str">
        <f t="shared" si="36"/>
        <v/>
      </c>
      <c r="C284" s="865" t="str">
        <f t="shared" si="41"/>
        <v/>
      </c>
      <c r="D284" s="865" t="str">
        <f t="shared" si="44"/>
        <v/>
      </c>
      <c r="E284" s="866" t="e">
        <f t="shared" si="37"/>
        <v>#VALUE!</v>
      </c>
      <c r="F284" s="865" t="e">
        <f t="shared" si="38"/>
        <v>#VALUE!</v>
      </c>
      <c r="G284" s="865" t="str">
        <f t="shared" si="42"/>
        <v/>
      </c>
      <c r="H284" s="865" t="str">
        <f t="shared" si="43"/>
        <v/>
      </c>
      <c r="I284" s="865" t="e">
        <f t="shared" si="39"/>
        <v>#VALUE!</v>
      </c>
      <c r="J284" s="865">
        <f>SUM($H$19:$H284)</f>
        <v>0</v>
      </c>
    </row>
    <row r="285" spans="1:10">
      <c r="A285" s="863" t="str">
        <f t="shared" si="40"/>
        <v/>
      </c>
      <c r="B285" s="864" t="str">
        <f t="shared" si="36"/>
        <v/>
      </c>
      <c r="C285" s="865" t="str">
        <f t="shared" si="41"/>
        <v/>
      </c>
      <c r="D285" s="865" t="str">
        <f t="shared" si="44"/>
        <v/>
      </c>
      <c r="E285" s="866" t="e">
        <f t="shared" si="37"/>
        <v>#VALUE!</v>
      </c>
      <c r="F285" s="865" t="e">
        <f t="shared" si="38"/>
        <v>#VALUE!</v>
      </c>
      <c r="G285" s="865" t="str">
        <f t="shared" si="42"/>
        <v/>
      </c>
      <c r="H285" s="865" t="str">
        <f t="shared" si="43"/>
        <v/>
      </c>
      <c r="I285" s="865" t="e">
        <f t="shared" si="39"/>
        <v>#VALUE!</v>
      </c>
      <c r="J285" s="865">
        <f>SUM($H$19:$H285)</f>
        <v>0</v>
      </c>
    </row>
    <row r="286" spans="1:10">
      <c r="A286" s="863" t="str">
        <f t="shared" si="40"/>
        <v/>
      </c>
      <c r="B286" s="864" t="str">
        <f t="shared" si="36"/>
        <v/>
      </c>
      <c r="C286" s="865" t="str">
        <f t="shared" si="41"/>
        <v/>
      </c>
      <c r="D286" s="865" t="str">
        <f t="shared" si="44"/>
        <v/>
      </c>
      <c r="E286" s="866" t="e">
        <f t="shared" si="37"/>
        <v>#VALUE!</v>
      </c>
      <c r="F286" s="865" t="e">
        <f t="shared" si="38"/>
        <v>#VALUE!</v>
      </c>
      <c r="G286" s="865" t="str">
        <f t="shared" si="42"/>
        <v/>
      </c>
      <c r="H286" s="865" t="str">
        <f t="shared" si="43"/>
        <v/>
      </c>
      <c r="I286" s="865" t="e">
        <f t="shared" si="39"/>
        <v>#VALUE!</v>
      </c>
      <c r="J286" s="865">
        <f>SUM($H$19:$H286)</f>
        <v>0</v>
      </c>
    </row>
    <row r="287" spans="1:10">
      <c r="A287" s="863" t="str">
        <f t="shared" si="40"/>
        <v/>
      </c>
      <c r="B287" s="864" t="str">
        <f t="shared" si="36"/>
        <v/>
      </c>
      <c r="C287" s="865" t="str">
        <f t="shared" si="41"/>
        <v/>
      </c>
      <c r="D287" s="865" t="str">
        <f t="shared" si="44"/>
        <v/>
      </c>
      <c r="E287" s="866" t="e">
        <f t="shared" si="37"/>
        <v>#VALUE!</v>
      </c>
      <c r="F287" s="865" t="e">
        <f t="shared" si="38"/>
        <v>#VALUE!</v>
      </c>
      <c r="G287" s="865" t="str">
        <f t="shared" si="42"/>
        <v/>
      </c>
      <c r="H287" s="865" t="str">
        <f t="shared" si="43"/>
        <v/>
      </c>
      <c r="I287" s="865" t="e">
        <f t="shared" si="39"/>
        <v>#VALUE!</v>
      </c>
      <c r="J287" s="865">
        <f>SUM($H$19:$H287)</f>
        <v>0</v>
      </c>
    </row>
    <row r="288" spans="1:10">
      <c r="A288" s="863" t="str">
        <f t="shared" si="40"/>
        <v/>
      </c>
      <c r="B288" s="864" t="str">
        <f t="shared" si="36"/>
        <v/>
      </c>
      <c r="C288" s="865" t="str">
        <f t="shared" si="41"/>
        <v/>
      </c>
      <c r="D288" s="865" t="str">
        <f t="shared" si="44"/>
        <v/>
      </c>
      <c r="E288" s="866" t="e">
        <f t="shared" si="37"/>
        <v>#VALUE!</v>
      </c>
      <c r="F288" s="865" t="e">
        <f t="shared" si="38"/>
        <v>#VALUE!</v>
      </c>
      <c r="G288" s="865" t="str">
        <f t="shared" si="42"/>
        <v/>
      </c>
      <c r="H288" s="865" t="str">
        <f t="shared" si="43"/>
        <v/>
      </c>
      <c r="I288" s="865" t="e">
        <f t="shared" si="39"/>
        <v>#VALUE!</v>
      </c>
      <c r="J288" s="865">
        <f>SUM($H$19:$H288)</f>
        <v>0</v>
      </c>
    </row>
    <row r="289" spans="1:10">
      <c r="A289" s="863" t="str">
        <f t="shared" si="40"/>
        <v/>
      </c>
      <c r="B289" s="864" t="str">
        <f t="shared" si="36"/>
        <v/>
      </c>
      <c r="C289" s="865" t="str">
        <f t="shared" si="41"/>
        <v/>
      </c>
      <c r="D289" s="865" t="str">
        <f t="shared" si="44"/>
        <v/>
      </c>
      <c r="E289" s="866" t="e">
        <f t="shared" si="37"/>
        <v>#VALUE!</v>
      </c>
      <c r="F289" s="865" t="e">
        <f t="shared" si="38"/>
        <v>#VALUE!</v>
      </c>
      <c r="G289" s="865" t="str">
        <f t="shared" si="42"/>
        <v/>
      </c>
      <c r="H289" s="865" t="str">
        <f t="shared" si="43"/>
        <v/>
      </c>
      <c r="I289" s="865" t="e">
        <f t="shared" si="39"/>
        <v>#VALUE!</v>
      </c>
      <c r="J289" s="865">
        <f>SUM($H$19:$H289)</f>
        <v>0</v>
      </c>
    </row>
    <row r="290" spans="1:10">
      <c r="A290" s="863" t="str">
        <f t="shared" si="40"/>
        <v/>
      </c>
      <c r="B290" s="864" t="str">
        <f t="shared" si="36"/>
        <v/>
      </c>
      <c r="C290" s="865" t="str">
        <f t="shared" si="41"/>
        <v/>
      </c>
      <c r="D290" s="865" t="str">
        <f t="shared" si="44"/>
        <v/>
      </c>
      <c r="E290" s="866" t="e">
        <f t="shared" si="37"/>
        <v>#VALUE!</v>
      </c>
      <c r="F290" s="865" t="e">
        <f t="shared" si="38"/>
        <v>#VALUE!</v>
      </c>
      <c r="G290" s="865" t="str">
        <f t="shared" si="42"/>
        <v/>
      </c>
      <c r="H290" s="865" t="str">
        <f t="shared" si="43"/>
        <v/>
      </c>
      <c r="I290" s="865" t="e">
        <f t="shared" si="39"/>
        <v>#VALUE!</v>
      </c>
      <c r="J290" s="865">
        <f>SUM($H$19:$H290)</f>
        <v>0</v>
      </c>
    </row>
    <row r="291" spans="1:10">
      <c r="A291" s="863" t="str">
        <f t="shared" si="40"/>
        <v/>
      </c>
      <c r="B291" s="864" t="str">
        <f t="shared" si="36"/>
        <v/>
      </c>
      <c r="C291" s="865" t="str">
        <f t="shared" si="41"/>
        <v/>
      </c>
      <c r="D291" s="865" t="str">
        <f t="shared" si="44"/>
        <v/>
      </c>
      <c r="E291" s="866" t="e">
        <f t="shared" si="37"/>
        <v>#VALUE!</v>
      </c>
      <c r="F291" s="865" t="e">
        <f t="shared" si="38"/>
        <v>#VALUE!</v>
      </c>
      <c r="G291" s="865" t="str">
        <f t="shared" si="42"/>
        <v/>
      </c>
      <c r="H291" s="865" t="str">
        <f t="shared" si="43"/>
        <v/>
      </c>
      <c r="I291" s="865" t="e">
        <f t="shared" si="39"/>
        <v>#VALUE!</v>
      </c>
      <c r="J291" s="865">
        <f>SUM($H$19:$H291)</f>
        <v>0</v>
      </c>
    </row>
    <row r="292" spans="1:10">
      <c r="A292" s="863" t="str">
        <f t="shared" si="40"/>
        <v/>
      </c>
      <c r="B292" s="864" t="str">
        <f t="shared" si="36"/>
        <v/>
      </c>
      <c r="C292" s="865" t="str">
        <f t="shared" si="41"/>
        <v/>
      </c>
      <c r="D292" s="865" t="str">
        <f t="shared" si="44"/>
        <v/>
      </c>
      <c r="E292" s="866" t="e">
        <f t="shared" si="37"/>
        <v>#VALUE!</v>
      </c>
      <c r="F292" s="865" t="e">
        <f t="shared" si="38"/>
        <v>#VALUE!</v>
      </c>
      <c r="G292" s="865" t="str">
        <f t="shared" si="42"/>
        <v/>
      </c>
      <c r="H292" s="865" t="str">
        <f t="shared" si="43"/>
        <v/>
      </c>
      <c r="I292" s="865" t="e">
        <f t="shared" si="39"/>
        <v>#VALUE!</v>
      </c>
      <c r="J292" s="865">
        <f>SUM($H$19:$H292)</f>
        <v>0</v>
      </c>
    </row>
    <row r="293" spans="1:10">
      <c r="A293" s="863" t="str">
        <f t="shared" si="40"/>
        <v/>
      </c>
      <c r="B293" s="864" t="str">
        <f t="shared" si="36"/>
        <v/>
      </c>
      <c r="C293" s="865" t="str">
        <f t="shared" si="41"/>
        <v/>
      </c>
      <c r="D293" s="865" t="str">
        <f t="shared" si="44"/>
        <v/>
      </c>
      <c r="E293" s="866" t="e">
        <f t="shared" si="37"/>
        <v>#VALUE!</v>
      </c>
      <c r="F293" s="865" t="e">
        <f t="shared" si="38"/>
        <v>#VALUE!</v>
      </c>
      <c r="G293" s="865" t="str">
        <f t="shared" si="42"/>
        <v/>
      </c>
      <c r="H293" s="865" t="str">
        <f t="shared" si="43"/>
        <v/>
      </c>
      <c r="I293" s="865" t="e">
        <f t="shared" si="39"/>
        <v>#VALUE!</v>
      </c>
      <c r="J293" s="865">
        <f>SUM($H$19:$H293)</f>
        <v>0</v>
      </c>
    </row>
    <row r="294" spans="1:10">
      <c r="A294" s="863" t="str">
        <f t="shared" si="40"/>
        <v/>
      </c>
      <c r="B294" s="864" t="str">
        <f t="shared" si="36"/>
        <v/>
      </c>
      <c r="C294" s="865" t="str">
        <f t="shared" si="41"/>
        <v/>
      </c>
      <c r="D294" s="865" t="str">
        <f t="shared" si="44"/>
        <v/>
      </c>
      <c r="E294" s="866" t="e">
        <f t="shared" si="37"/>
        <v>#VALUE!</v>
      </c>
      <c r="F294" s="865" t="e">
        <f t="shared" si="38"/>
        <v>#VALUE!</v>
      </c>
      <c r="G294" s="865" t="str">
        <f t="shared" si="42"/>
        <v/>
      </c>
      <c r="H294" s="865" t="str">
        <f t="shared" si="43"/>
        <v/>
      </c>
      <c r="I294" s="865" t="e">
        <f t="shared" si="39"/>
        <v>#VALUE!</v>
      </c>
      <c r="J294" s="865">
        <f>SUM($H$19:$H294)</f>
        <v>0</v>
      </c>
    </row>
    <row r="295" spans="1:10">
      <c r="A295" s="863" t="str">
        <f t="shared" si="40"/>
        <v/>
      </c>
      <c r="B295" s="864" t="str">
        <f t="shared" si="36"/>
        <v/>
      </c>
      <c r="C295" s="865" t="str">
        <f t="shared" si="41"/>
        <v/>
      </c>
      <c r="D295" s="865" t="str">
        <f t="shared" si="44"/>
        <v/>
      </c>
      <c r="E295" s="866" t="e">
        <f t="shared" si="37"/>
        <v>#VALUE!</v>
      </c>
      <c r="F295" s="865" t="e">
        <f t="shared" si="38"/>
        <v>#VALUE!</v>
      </c>
      <c r="G295" s="865" t="str">
        <f t="shared" si="42"/>
        <v/>
      </c>
      <c r="H295" s="865" t="str">
        <f t="shared" si="43"/>
        <v/>
      </c>
      <c r="I295" s="865" t="e">
        <f t="shared" si="39"/>
        <v>#VALUE!</v>
      </c>
      <c r="J295" s="865">
        <f>SUM($H$19:$H295)</f>
        <v>0</v>
      </c>
    </row>
    <row r="296" spans="1:10">
      <c r="A296" s="863" t="str">
        <f t="shared" si="40"/>
        <v/>
      </c>
      <c r="B296" s="864" t="str">
        <f t="shared" si="36"/>
        <v/>
      </c>
      <c r="C296" s="865" t="str">
        <f t="shared" si="41"/>
        <v/>
      </c>
      <c r="D296" s="865" t="str">
        <f t="shared" si="44"/>
        <v/>
      </c>
      <c r="E296" s="866" t="e">
        <f t="shared" si="37"/>
        <v>#VALUE!</v>
      </c>
      <c r="F296" s="865" t="e">
        <f t="shared" si="38"/>
        <v>#VALUE!</v>
      </c>
      <c r="G296" s="865" t="str">
        <f t="shared" si="42"/>
        <v/>
      </c>
      <c r="H296" s="865" t="str">
        <f t="shared" si="43"/>
        <v/>
      </c>
      <c r="I296" s="865" t="e">
        <f t="shared" si="39"/>
        <v>#VALUE!</v>
      </c>
      <c r="J296" s="865">
        <f>SUM($H$19:$H296)</f>
        <v>0</v>
      </c>
    </row>
    <row r="297" spans="1:10">
      <c r="A297" s="863" t="str">
        <f t="shared" si="40"/>
        <v/>
      </c>
      <c r="B297" s="864" t="str">
        <f t="shared" si="36"/>
        <v/>
      </c>
      <c r="C297" s="865" t="str">
        <f t="shared" si="41"/>
        <v/>
      </c>
      <c r="D297" s="865" t="str">
        <f t="shared" si="44"/>
        <v/>
      </c>
      <c r="E297" s="866" t="e">
        <f t="shared" si="37"/>
        <v>#VALUE!</v>
      </c>
      <c r="F297" s="865" t="e">
        <f t="shared" si="38"/>
        <v>#VALUE!</v>
      </c>
      <c r="G297" s="865" t="str">
        <f t="shared" si="42"/>
        <v/>
      </c>
      <c r="H297" s="865" t="str">
        <f t="shared" si="43"/>
        <v/>
      </c>
      <c r="I297" s="865" t="e">
        <f t="shared" si="39"/>
        <v>#VALUE!</v>
      </c>
      <c r="J297" s="865">
        <f>SUM($H$19:$H297)</f>
        <v>0</v>
      </c>
    </row>
    <row r="298" spans="1:10">
      <c r="A298" s="863" t="str">
        <f t="shared" si="40"/>
        <v/>
      </c>
      <c r="B298" s="864" t="str">
        <f t="shared" si="36"/>
        <v/>
      </c>
      <c r="C298" s="865" t="str">
        <f t="shared" si="41"/>
        <v/>
      </c>
      <c r="D298" s="865" t="str">
        <f t="shared" si="44"/>
        <v/>
      </c>
      <c r="E298" s="866" t="e">
        <f t="shared" si="37"/>
        <v>#VALUE!</v>
      </c>
      <c r="F298" s="865" t="e">
        <f t="shared" si="38"/>
        <v>#VALUE!</v>
      </c>
      <c r="G298" s="865" t="str">
        <f t="shared" si="42"/>
        <v/>
      </c>
      <c r="H298" s="865" t="str">
        <f t="shared" si="43"/>
        <v/>
      </c>
      <c r="I298" s="865" t="e">
        <f t="shared" si="39"/>
        <v>#VALUE!</v>
      </c>
      <c r="J298" s="865">
        <f>SUM($H$19:$H298)</f>
        <v>0</v>
      </c>
    </row>
    <row r="299" spans="1:10">
      <c r="A299" s="863" t="str">
        <f t="shared" si="40"/>
        <v/>
      </c>
      <c r="B299" s="864" t="str">
        <f t="shared" si="36"/>
        <v/>
      </c>
      <c r="C299" s="865" t="str">
        <f t="shared" si="41"/>
        <v/>
      </c>
      <c r="D299" s="865" t="str">
        <f t="shared" si="44"/>
        <v/>
      </c>
      <c r="E299" s="866" t="e">
        <f t="shared" si="37"/>
        <v>#VALUE!</v>
      </c>
      <c r="F299" s="865" t="e">
        <f t="shared" si="38"/>
        <v>#VALUE!</v>
      </c>
      <c r="G299" s="865" t="str">
        <f t="shared" si="42"/>
        <v/>
      </c>
      <c r="H299" s="865" t="str">
        <f t="shared" si="43"/>
        <v/>
      </c>
      <c r="I299" s="865" t="e">
        <f t="shared" si="39"/>
        <v>#VALUE!</v>
      </c>
      <c r="J299" s="865">
        <f>SUM($H$19:$H299)</f>
        <v>0</v>
      </c>
    </row>
    <row r="300" spans="1:10">
      <c r="A300" s="863" t="str">
        <f t="shared" si="40"/>
        <v/>
      </c>
      <c r="B300" s="864" t="str">
        <f t="shared" si="36"/>
        <v/>
      </c>
      <c r="C300" s="865" t="str">
        <f t="shared" si="41"/>
        <v/>
      </c>
      <c r="D300" s="865" t="str">
        <f t="shared" si="44"/>
        <v/>
      </c>
      <c r="E300" s="866" t="e">
        <f t="shared" si="37"/>
        <v>#VALUE!</v>
      </c>
      <c r="F300" s="865" t="e">
        <f t="shared" si="38"/>
        <v>#VALUE!</v>
      </c>
      <c r="G300" s="865" t="str">
        <f t="shared" si="42"/>
        <v/>
      </c>
      <c r="H300" s="865" t="str">
        <f t="shared" si="43"/>
        <v/>
      </c>
      <c r="I300" s="865" t="e">
        <f t="shared" si="39"/>
        <v>#VALUE!</v>
      </c>
      <c r="J300" s="865">
        <f>SUM($H$19:$H300)</f>
        <v>0</v>
      </c>
    </row>
    <row r="301" spans="1:10">
      <c r="A301" s="863" t="str">
        <f t="shared" si="40"/>
        <v/>
      </c>
      <c r="B301" s="864" t="str">
        <f t="shared" si="36"/>
        <v/>
      </c>
      <c r="C301" s="865" t="str">
        <f t="shared" si="41"/>
        <v/>
      </c>
      <c r="D301" s="865" t="str">
        <f t="shared" si="44"/>
        <v/>
      </c>
      <c r="E301" s="866" t="e">
        <f t="shared" si="37"/>
        <v>#VALUE!</v>
      </c>
      <c r="F301" s="865" t="e">
        <f t="shared" si="38"/>
        <v>#VALUE!</v>
      </c>
      <c r="G301" s="865" t="str">
        <f t="shared" si="42"/>
        <v/>
      </c>
      <c r="H301" s="865" t="str">
        <f t="shared" si="43"/>
        <v/>
      </c>
      <c r="I301" s="865" t="e">
        <f t="shared" si="39"/>
        <v>#VALUE!</v>
      </c>
      <c r="J301" s="865">
        <f>SUM($H$19:$H301)</f>
        <v>0</v>
      </c>
    </row>
    <row r="302" spans="1:10">
      <c r="A302" s="863" t="str">
        <f t="shared" si="40"/>
        <v/>
      </c>
      <c r="B302" s="864" t="str">
        <f t="shared" si="36"/>
        <v/>
      </c>
      <c r="C302" s="865" t="str">
        <f t="shared" si="41"/>
        <v/>
      </c>
      <c r="D302" s="865" t="str">
        <f t="shared" si="44"/>
        <v/>
      </c>
      <c r="E302" s="866" t="e">
        <f t="shared" si="37"/>
        <v>#VALUE!</v>
      </c>
      <c r="F302" s="865" t="e">
        <f t="shared" si="38"/>
        <v>#VALUE!</v>
      </c>
      <c r="G302" s="865" t="str">
        <f t="shared" si="42"/>
        <v/>
      </c>
      <c r="H302" s="865" t="str">
        <f t="shared" si="43"/>
        <v/>
      </c>
      <c r="I302" s="865" t="e">
        <f t="shared" si="39"/>
        <v>#VALUE!</v>
      </c>
      <c r="J302" s="865">
        <f>SUM($H$19:$H302)</f>
        <v>0</v>
      </c>
    </row>
    <row r="303" spans="1:10">
      <c r="A303" s="863" t="str">
        <f t="shared" si="40"/>
        <v/>
      </c>
      <c r="B303" s="864" t="str">
        <f t="shared" si="36"/>
        <v/>
      </c>
      <c r="C303" s="865" t="str">
        <f t="shared" si="41"/>
        <v/>
      </c>
      <c r="D303" s="865" t="str">
        <f t="shared" si="44"/>
        <v/>
      </c>
      <c r="E303" s="866" t="e">
        <f t="shared" si="37"/>
        <v>#VALUE!</v>
      </c>
      <c r="F303" s="865" t="e">
        <f t="shared" si="38"/>
        <v>#VALUE!</v>
      </c>
      <c r="G303" s="865" t="str">
        <f t="shared" si="42"/>
        <v/>
      </c>
      <c r="H303" s="865" t="str">
        <f t="shared" si="43"/>
        <v/>
      </c>
      <c r="I303" s="865" t="e">
        <f t="shared" si="39"/>
        <v>#VALUE!</v>
      </c>
      <c r="J303" s="865">
        <f>SUM($H$19:$H303)</f>
        <v>0</v>
      </c>
    </row>
    <row r="304" spans="1:10">
      <c r="A304" s="863" t="str">
        <f t="shared" si="40"/>
        <v/>
      </c>
      <c r="B304" s="864" t="str">
        <f t="shared" si="36"/>
        <v/>
      </c>
      <c r="C304" s="865" t="str">
        <f t="shared" si="41"/>
        <v/>
      </c>
      <c r="D304" s="865" t="str">
        <f t="shared" si="44"/>
        <v/>
      </c>
      <c r="E304" s="866" t="e">
        <f t="shared" si="37"/>
        <v>#VALUE!</v>
      </c>
      <c r="F304" s="865" t="e">
        <f t="shared" si="38"/>
        <v>#VALUE!</v>
      </c>
      <c r="G304" s="865" t="str">
        <f t="shared" si="42"/>
        <v/>
      </c>
      <c r="H304" s="865" t="str">
        <f t="shared" si="43"/>
        <v/>
      </c>
      <c r="I304" s="865" t="e">
        <f t="shared" si="39"/>
        <v>#VALUE!</v>
      </c>
      <c r="J304" s="865">
        <f>SUM($H$19:$H304)</f>
        <v>0</v>
      </c>
    </row>
    <row r="305" spans="1:10">
      <c r="A305" s="863" t="str">
        <f t="shared" si="40"/>
        <v/>
      </c>
      <c r="B305" s="864" t="str">
        <f t="shared" si="36"/>
        <v/>
      </c>
      <c r="C305" s="865" t="str">
        <f t="shared" si="41"/>
        <v/>
      </c>
      <c r="D305" s="865" t="str">
        <f t="shared" si="44"/>
        <v/>
      </c>
      <c r="E305" s="866" t="e">
        <f t="shared" si="37"/>
        <v>#VALUE!</v>
      </c>
      <c r="F305" s="865" t="e">
        <f t="shared" si="38"/>
        <v>#VALUE!</v>
      </c>
      <c r="G305" s="865" t="str">
        <f t="shared" si="42"/>
        <v/>
      </c>
      <c r="H305" s="865" t="str">
        <f t="shared" si="43"/>
        <v/>
      </c>
      <c r="I305" s="865" t="e">
        <f t="shared" si="39"/>
        <v>#VALUE!</v>
      </c>
      <c r="J305" s="865">
        <f>SUM($H$19:$H305)</f>
        <v>0</v>
      </c>
    </row>
    <row r="306" spans="1:10">
      <c r="A306" s="863" t="str">
        <f t="shared" si="40"/>
        <v/>
      </c>
      <c r="B306" s="864" t="str">
        <f t="shared" si="36"/>
        <v/>
      </c>
      <c r="C306" s="865" t="str">
        <f t="shared" si="41"/>
        <v/>
      </c>
      <c r="D306" s="865" t="str">
        <f t="shared" si="44"/>
        <v/>
      </c>
      <c r="E306" s="866" t="e">
        <f t="shared" si="37"/>
        <v>#VALUE!</v>
      </c>
      <c r="F306" s="865" t="e">
        <f t="shared" si="38"/>
        <v>#VALUE!</v>
      </c>
      <c r="G306" s="865" t="str">
        <f t="shared" si="42"/>
        <v/>
      </c>
      <c r="H306" s="865" t="str">
        <f t="shared" si="43"/>
        <v/>
      </c>
      <c r="I306" s="865" t="e">
        <f t="shared" si="39"/>
        <v>#VALUE!</v>
      </c>
      <c r="J306" s="865">
        <f>SUM($H$19:$H306)</f>
        <v>0</v>
      </c>
    </row>
    <row r="307" spans="1:10">
      <c r="A307" s="863" t="str">
        <f t="shared" si="40"/>
        <v/>
      </c>
      <c r="B307" s="864" t="str">
        <f t="shared" si="36"/>
        <v/>
      </c>
      <c r="C307" s="865" t="str">
        <f t="shared" si="41"/>
        <v/>
      </c>
      <c r="D307" s="865" t="str">
        <f t="shared" si="44"/>
        <v/>
      </c>
      <c r="E307" s="866" t="e">
        <f t="shared" si="37"/>
        <v>#VALUE!</v>
      </c>
      <c r="F307" s="865" t="e">
        <f t="shared" si="38"/>
        <v>#VALUE!</v>
      </c>
      <c r="G307" s="865" t="str">
        <f t="shared" si="42"/>
        <v/>
      </c>
      <c r="H307" s="865" t="str">
        <f t="shared" si="43"/>
        <v/>
      </c>
      <c r="I307" s="865" t="e">
        <f t="shared" si="39"/>
        <v>#VALUE!</v>
      </c>
      <c r="J307" s="865">
        <f>SUM($H$19:$H307)</f>
        <v>0</v>
      </c>
    </row>
    <row r="308" spans="1:10">
      <c r="A308" s="863" t="str">
        <f t="shared" si="40"/>
        <v/>
      </c>
      <c r="B308" s="864" t="str">
        <f t="shared" si="36"/>
        <v/>
      </c>
      <c r="C308" s="865" t="str">
        <f t="shared" si="41"/>
        <v/>
      </c>
      <c r="D308" s="865" t="str">
        <f t="shared" si="44"/>
        <v/>
      </c>
      <c r="E308" s="866" t="e">
        <f t="shared" si="37"/>
        <v>#VALUE!</v>
      </c>
      <c r="F308" s="865" t="e">
        <f t="shared" si="38"/>
        <v>#VALUE!</v>
      </c>
      <c r="G308" s="865" t="str">
        <f t="shared" si="42"/>
        <v/>
      </c>
      <c r="H308" s="865" t="str">
        <f t="shared" si="43"/>
        <v/>
      </c>
      <c r="I308" s="865" t="e">
        <f t="shared" si="39"/>
        <v>#VALUE!</v>
      </c>
      <c r="J308" s="865">
        <f>SUM($H$19:$H308)</f>
        <v>0</v>
      </c>
    </row>
    <row r="309" spans="1:10">
      <c r="A309" s="863" t="str">
        <f t="shared" si="40"/>
        <v/>
      </c>
      <c r="B309" s="864" t="str">
        <f t="shared" si="36"/>
        <v/>
      </c>
      <c r="C309" s="865" t="str">
        <f t="shared" si="41"/>
        <v/>
      </c>
      <c r="D309" s="865" t="str">
        <f t="shared" si="44"/>
        <v/>
      </c>
      <c r="E309" s="866" t="e">
        <f t="shared" si="37"/>
        <v>#VALUE!</v>
      </c>
      <c r="F309" s="865" t="e">
        <f t="shared" si="38"/>
        <v>#VALUE!</v>
      </c>
      <c r="G309" s="865" t="str">
        <f t="shared" si="42"/>
        <v/>
      </c>
      <c r="H309" s="865" t="str">
        <f t="shared" si="43"/>
        <v/>
      </c>
      <c r="I309" s="865" t="e">
        <f t="shared" si="39"/>
        <v>#VALUE!</v>
      </c>
      <c r="J309" s="865">
        <f>SUM($H$19:$H309)</f>
        <v>0</v>
      </c>
    </row>
    <row r="310" spans="1:10">
      <c r="A310" s="863" t="str">
        <f t="shared" si="40"/>
        <v/>
      </c>
      <c r="B310" s="864" t="str">
        <f t="shared" si="36"/>
        <v/>
      </c>
      <c r="C310" s="865" t="str">
        <f t="shared" si="41"/>
        <v/>
      </c>
      <c r="D310" s="865" t="str">
        <f t="shared" si="44"/>
        <v/>
      </c>
      <c r="E310" s="866" t="e">
        <f t="shared" si="37"/>
        <v>#VALUE!</v>
      </c>
      <c r="F310" s="865" t="e">
        <f t="shared" si="38"/>
        <v>#VALUE!</v>
      </c>
      <c r="G310" s="865" t="str">
        <f t="shared" si="42"/>
        <v/>
      </c>
      <c r="H310" s="865" t="str">
        <f t="shared" si="43"/>
        <v/>
      </c>
      <c r="I310" s="865" t="e">
        <f t="shared" si="39"/>
        <v>#VALUE!</v>
      </c>
      <c r="J310" s="865">
        <f>SUM($H$19:$H310)</f>
        <v>0</v>
      </c>
    </row>
    <row r="311" spans="1:10">
      <c r="A311" s="863" t="str">
        <f t="shared" si="40"/>
        <v/>
      </c>
      <c r="B311" s="864" t="str">
        <f t="shared" si="36"/>
        <v/>
      </c>
      <c r="C311" s="865" t="str">
        <f t="shared" si="41"/>
        <v/>
      </c>
      <c r="D311" s="865" t="str">
        <f t="shared" si="44"/>
        <v/>
      </c>
      <c r="E311" s="866" t="e">
        <f t="shared" si="37"/>
        <v>#VALUE!</v>
      </c>
      <c r="F311" s="865" t="e">
        <f t="shared" si="38"/>
        <v>#VALUE!</v>
      </c>
      <c r="G311" s="865" t="str">
        <f t="shared" si="42"/>
        <v/>
      </c>
      <c r="H311" s="865" t="str">
        <f t="shared" si="43"/>
        <v/>
      </c>
      <c r="I311" s="865" t="e">
        <f t="shared" si="39"/>
        <v>#VALUE!</v>
      </c>
      <c r="J311" s="865">
        <f>SUM($H$19:$H311)</f>
        <v>0</v>
      </c>
    </row>
    <row r="312" spans="1:10">
      <c r="A312" s="863" t="str">
        <f t="shared" si="40"/>
        <v/>
      </c>
      <c r="B312" s="864" t="str">
        <f t="shared" si="36"/>
        <v/>
      </c>
      <c r="C312" s="865" t="str">
        <f t="shared" si="41"/>
        <v/>
      </c>
      <c r="D312" s="865" t="str">
        <f t="shared" si="44"/>
        <v/>
      </c>
      <c r="E312" s="866" t="e">
        <f t="shared" si="37"/>
        <v>#VALUE!</v>
      </c>
      <c r="F312" s="865" t="e">
        <f t="shared" si="38"/>
        <v>#VALUE!</v>
      </c>
      <c r="G312" s="865" t="str">
        <f t="shared" si="42"/>
        <v/>
      </c>
      <c r="H312" s="865" t="str">
        <f t="shared" si="43"/>
        <v/>
      </c>
      <c r="I312" s="865" t="e">
        <f t="shared" si="39"/>
        <v>#VALUE!</v>
      </c>
      <c r="J312" s="865">
        <f>SUM($H$19:$H312)</f>
        <v>0</v>
      </c>
    </row>
    <row r="313" spans="1:10">
      <c r="A313" s="863" t="str">
        <f t="shared" si="40"/>
        <v/>
      </c>
      <c r="B313" s="864" t="str">
        <f t="shared" si="36"/>
        <v/>
      </c>
      <c r="C313" s="865" t="str">
        <f t="shared" si="41"/>
        <v/>
      </c>
      <c r="D313" s="865" t="str">
        <f t="shared" si="44"/>
        <v/>
      </c>
      <c r="E313" s="866" t="e">
        <f t="shared" si="37"/>
        <v>#VALUE!</v>
      </c>
      <c r="F313" s="865" t="e">
        <f t="shared" si="38"/>
        <v>#VALUE!</v>
      </c>
      <c r="G313" s="865" t="str">
        <f t="shared" si="42"/>
        <v/>
      </c>
      <c r="H313" s="865" t="str">
        <f t="shared" si="43"/>
        <v/>
      </c>
      <c r="I313" s="865" t="e">
        <f t="shared" si="39"/>
        <v>#VALUE!</v>
      </c>
      <c r="J313" s="865">
        <f>SUM($H$19:$H313)</f>
        <v>0</v>
      </c>
    </row>
    <row r="314" spans="1:10">
      <c r="A314" s="863" t="str">
        <f t="shared" si="40"/>
        <v/>
      </c>
      <c r="B314" s="864" t="str">
        <f t="shared" si="36"/>
        <v/>
      </c>
      <c r="C314" s="865" t="str">
        <f t="shared" si="41"/>
        <v/>
      </c>
      <c r="D314" s="865" t="str">
        <f t="shared" si="44"/>
        <v/>
      </c>
      <c r="E314" s="866" t="e">
        <f t="shared" si="37"/>
        <v>#VALUE!</v>
      </c>
      <c r="F314" s="865" t="e">
        <f t="shared" si="38"/>
        <v>#VALUE!</v>
      </c>
      <c r="G314" s="865" t="str">
        <f t="shared" si="42"/>
        <v/>
      </c>
      <c r="H314" s="865" t="str">
        <f t="shared" si="43"/>
        <v/>
      </c>
      <c r="I314" s="865" t="e">
        <f t="shared" si="39"/>
        <v>#VALUE!</v>
      </c>
      <c r="J314" s="865">
        <f>SUM($H$19:$H314)</f>
        <v>0</v>
      </c>
    </row>
    <row r="315" spans="1:10">
      <c r="A315" s="863" t="str">
        <f t="shared" si="40"/>
        <v/>
      </c>
      <c r="B315" s="864" t="str">
        <f t="shared" si="36"/>
        <v/>
      </c>
      <c r="C315" s="865" t="str">
        <f t="shared" si="41"/>
        <v/>
      </c>
      <c r="D315" s="865" t="str">
        <f t="shared" si="44"/>
        <v/>
      </c>
      <c r="E315" s="866" t="e">
        <f t="shared" si="37"/>
        <v>#VALUE!</v>
      </c>
      <c r="F315" s="865" t="e">
        <f t="shared" si="38"/>
        <v>#VALUE!</v>
      </c>
      <c r="G315" s="865" t="str">
        <f t="shared" si="42"/>
        <v/>
      </c>
      <c r="H315" s="865" t="str">
        <f t="shared" si="43"/>
        <v/>
      </c>
      <c r="I315" s="865" t="e">
        <f t="shared" si="39"/>
        <v>#VALUE!</v>
      </c>
      <c r="J315" s="865">
        <f>SUM($H$19:$H315)</f>
        <v>0</v>
      </c>
    </row>
    <row r="316" spans="1:10">
      <c r="A316" s="863" t="str">
        <f t="shared" si="40"/>
        <v/>
      </c>
      <c r="B316" s="864" t="str">
        <f t="shared" si="36"/>
        <v/>
      </c>
      <c r="C316" s="865" t="str">
        <f t="shared" si="41"/>
        <v/>
      </c>
      <c r="D316" s="865" t="str">
        <f t="shared" si="44"/>
        <v/>
      </c>
      <c r="E316" s="866" t="e">
        <f t="shared" si="37"/>
        <v>#VALUE!</v>
      </c>
      <c r="F316" s="865" t="e">
        <f t="shared" si="38"/>
        <v>#VALUE!</v>
      </c>
      <c r="G316" s="865" t="str">
        <f t="shared" si="42"/>
        <v/>
      </c>
      <c r="H316" s="865" t="str">
        <f t="shared" si="43"/>
        <v/>
      </c>
      <c r="I316" s="865" t="e">
        <f t="shared" si="39"/>
        <v>#VALUE!</v>
      </c>
      <c r="J316" s="865">
        <f>SUM($H$19:$H316)</f>
        <v>0</v>
      </c>
    </row>
    <row r="317" spans="1:10">
      <c r="A317" s="863" t="str">
        <f t="shared" si="40"/>
        <v/>
      </c>
      <c r="B317" s="864" t="str">
        <f t="shared" si="36"/>
        <v/>
      </c>
      <c r="C317" s="865" t="str">
        <f t="shared" si="41"/>
        <v/>
      </c>
      <c r="D317" s="865" t="str">
        <f t="shared" si="44"/>
        <v/>
      </c>
      <c r="E317" s="866" t="e">
        <f t="shared" si="37"/>
        <v>#VALUE!</v>
      </c>
      <c r="F317" s="865" t="e">
        <f t="shared" si="38"/>
        <v>#VALUE!</v>
      </c>
      <c r="G317" s="865" t="str">
        <f t="shared" si="42"/>
        <v/>
      </c>
      <c r="H317" s="865" t="str">
        <f t="shared" si="43"/>
        <v/>
      </c>
      <c r="I317" s="865" t="e">
        <f t="shared" si="39"/>
        <v>#VALUE!</v>
      </c>
      <c r="J317" s="865">
        <f>SUM($H$19:$H317)</f>
        <v>0</v>
      </c>
    </row>
    <row r="318" spans="1:10">
      <c r="A318" s="863" t="str">
        <f t="shared" si="40"/>
        <v/>
      </c>
      <c r="B318" s="864" t="str">
        <f t="shared" si="36"/>
        <v/>
      </c>
      <c r="C318" s="865" t="str">
        <f t="shared" si="41"/>
        <v/>
      </c>
      <c r="D318" s="865" t="str">
        <f t="shared" si="44"/>
        <v/>
      </c>
      <c r="E318" s="866" t="e">
        <f t="shared" si="37"/>
        <v>#VALUE!</v>
      </c>
      <c r="F318" s="865" t="e">
        <f t="shared" si="38"/>
        <v>#VALUE!</v>
      </c>
      <c r="G318" s="865" t="str">
        <f t="shared" si="42"/>
        <v/>
      </c>
      <c r="H318" s="865" t="str">
        <f t="shared" si="43"/>
        <v/>
      </c>
      <c r="I318" s="865" t="e">
        <f t="shared" si="39"/>
        <v>#VALUE!</v>
      </c>
      <c r="J318" s="865">
        <f>SUM($H$19:$H318)</f>
        <v>0</v>
      </c>
    </row>
    <row r="319" spans="1:10">
      <c r="A319" s="863" t="str">
        <f t="shared" si="40"/>
        <v/>
      </c>
      <c r="B319" s="864" t="str">
        <f t="shared" si="36"/>
        <v/>
      </c>
      <c r="C319" s="865" t="str">
        <f t="shared" si="41"/>
        <v/>
      </c>
      <c r="D319" s="865" t="str">
        <f t="shared" si="44"/>
        <v/>
      </c>
      <c r="E319" s="866" t="e">
        <f t="shared" si="37"/>
        <v>#VALUE!</v>
      </c>
      <c r="F319" s="865" t="e">
        <f t="shared" si="38"/>
        <v>#VALUE!</v>
      </c>
      <c r="G319" s="865" t="str">
        <f t="shared" si="42"/>
        <v/>
      </c>
      <c r="H319" s="865" t="str">
        <f t="shared" si="43"/>
        <v/>
      </c>
      <c r="I319" s="865" t="e">
        <f t="shared" si="39"/>
        <v>#VALUE!</v>
      </c>
      <c r="J319" s="865">
        <f>SUM($H$19:$H319)</f>
        <v>0</v>
      </c>
    </row>
    <row r="320" spans="1:10">
      <c r="A320" s="863" t="str">
        <f t="shared" si="40"/>
        <v/>
      </c>
      <c r="B320" s="864" t="str">
        <f t="shared" si="36"/>
        <v/>
      </c>
      <c r="C320" s="865" t="str">
        <f t="shared" si="41"/>
        <v/>
      </c>
      <c r="D320" s="865" t="str">
        <f t="shared" si="44"/>
        <v/>
      </c>
      <c r="E320" s="866" t="e">
        <f t="shared" si="37"/>
        <v>#VALUE!</v>
      </c>
      <c r="F320" s="865" t="e">
        <f t="shared" si="38"/>
        <v>#VALUE!</v>
      </c>
      <c r="G320" s="865" t="str">
        <f t="shared" si="42"/>
        <v/>
      </c>
      <c r="H320" s="865" t="str">
        <f t="shared" si="43"/>
        <v/>
      </c>
      <c r="I320" s="865" t="e">
        <f t="shared" si="39"/>
        <v>#VALUE!</v>
      </c>
      <c r="J320" s="865">
        <f>SUM($H$19:$H320)</f>
        <v>0</v>
      </c>
    </row>
    <row r="321" spans="1:10">
      <c r="A321" s="863" t="str">
        <f t="shared" si="40"/>
        <v/>
      </c>
      <c r="B321" s="864" t="str">
        <f t="shared" si="36"/>
        <v/>
      </c>
      <c r="C321" s="865" t="str">
        <f t="shared" si="41"/>
        <v/>
      </c>
      <c r="D321" s="865" t="str">
        <f t="shared" si="44"/>
        <v/>
      </c>
      <c r="E321" s="866" t="e">
        <f t="shared" si="37"/>
        <v>#VALUE!</v>
      </c>
      <c r="F321" s="865" t="e">
        <f t="shared" si="38"/>
        <v>#VALUE!</v>
      </c>
      <c r="G321" s="865" t="str">
        <f t="shared" si="42"/>
        <v/>
      </c>
      <c r="H321" s="865" t="str">
        <f t="shared" si="43"/>
        <v/>
      </c>
      <c r="I321" s="865" t="e">
        <f t="shared" si="39"/>
        <v>#VALUE!</v>
      </c>
      <c r="J321" s="865">
        <f>SUM($H$19:$H321)</f>
        <v>0</v>
      </c>
    </row>
    <row r="322" spans="1:10">
      <c r="A322" s="863" t="str">
        <f t="shared" si="40"/>
        <v/>
      </c>
      <c r="B322" s="864" t="str">
        <f t="shared" si="36"/>
        <v/>
      </c>
      <c r="C322" s="865" t="str">
        <f t="shared" si="41"/>
        <v/>
      </c>
      <c r="D322" s="865" t="str">
        <f t="shared" si="44"/>
        <v/>
      </c>
      <c r="E322" s="866" t="e">
        <f t="shared" si="37"/>
        <v>#VALUE!</v>
      </c>
      <c r="F322" s="865" t="e">
        <f t="shared" si="38"/>
        <v>#VALUE!</v>
      </c>
      <c r="G322" s="865" t="str">
        <f t="shared" si="42"/>
        <v/>
      </c>
      <c r="H322" s="865" t="str">
        <f t="shared" si="43"/>
        <v/>
      </c>
      <c r="I322" s="865" t="e">
        <f t="shared" si="39"/>
        <v>#VALUE!</v>
      </c>
      <c r="J322" s="865">
        <f>SUM($H$19:$H322)</f>
        <v>0</v>
      </c>
    </row>
    <row r="323" spans="1:10">
      <c r="A323" s="863" t="str">
        <f t="shared" si="40"/>
        <v/>
      </c>
      <c r="B323" s="864" t="str">
        <f t="shared" si="36"/>
        <v/>
      </c>
      <c r="C323" s="865" t="str">
        <f t="shared" si="41"/>
        <v/>
      </c>
      <c r="D323" s="865" t="str">
        <f t="shared" si="44"/>
        <v/>
      </c>
      <c r="E323" s="866" t="e">
        <f t="shared" si="37"/>
        <v>#VALUE!</v>
      </c>
      <c r="F323" s="865" t="e">
        <f t="shared" si="38"/>
        <v>#VALUE!</v>
      </c>
      <c r="G323" s="865" t="str">
        <f t="shared" si="42"/>
        <v/>
      </c>
      <c r="H323" s="865" t="str">
        <f t="shared" si="43"/>
        <v/>
      </c>
      <c r="I323" s="865" t="e">
        <f t="shared" si="39"/>
        <v>#VALUE!</v>
      </c>
      <c r="J323" s="865">
        <f>SUM($H$19:$H323)</f>
        <v>0</v>
      </c>
    </row>
    <row r="324" spans="1:10">
      <c r="A324" s="863" t="str">
        <f t="shared" si="40"/>
        <v/>
      </c>
      <c r="B324" s="864" t="str">
        <f t="shared" si="36"/>
        <v/>
      </c>
      <c r="C324" s="865" t="str">
        <f t="shared" si="41"/>
        <v/>
      </c>
      <c r="D324" s="865" t="str">
        <f t="shared" si="44"/>
        <v/>
      </c>
      <c r="E324" s="866" t="e">
        <f t="shared" si="37"/>
        <v>#VALUE!</v>
      </c>
      <c r="F324" s="865" t="e">
        <f t="shared" si="38"/>
        <v>#VALUE!</v>
      </c>
      <c r="G324" s="865" t="str">
        <f t="shared" si="42"/>
        <v/>
      </c>
      <c r="H324" s="865" t="str">
        <f t="shared" si="43"/>
        <v/>
      </c>
      <c r="I324" s="865" t="e">
        <f t="shared" si="39"/>
        <v>#VALUE!</v>
      </c>
      <c r="J324" s="865">
        <f>SUM($H$19:$H324)</f>
        <v>0</v>
      </c>
    </row>
    <row r="325" spans="1:10">
      <c r="A325" s="863" t="str">
        <f t="shared" si="40"/>
        <v/>
      </c>
      <c r="B325" s="864" t="str">
        <f t="shared" si="36"/>
        <v/>
      </c>
      <c r="C325" s="865" t="str">
        <f t="shared" si="41"/>
        <v/>
      </c>
      <c r="D325" s="865" t="str">
        <f t="shared" si="44"/>
        <v/>
      </c>
      <c r="E325" s="866" t="e">
        <f t="shared" si="37"/>
        <v>#VALUE!</v>
      </c>
      <c r="F325" s="865" t="e">
        <f t="shared" si="38"/>
        <v>#VALUE!</v>
      </c>
      <c r="G325" s="865" t="str">
        <f t="shared" si="42"/>
        <v/>
      </c>
      <c r="H325" s="865" t="str">
        <f t="shared" si="43"/>
        <v/>
      </c>
      <c r="I325" s="865" t="e">
        <f t="shared" si="39"/>
        <v>#VALUE!</v>
      </c>
      <c r="J325" s="865">
        <f>SUM($H$19:$H325)</f>
        <v>0</v>
      </c>
    </row>
    <row r="326" spans="1:10">
      <c r="A326" s="863" t="str">
        <f t="shared" si="40"/>
        <v/>
      </c>
      <c r="B326" s="864" t="str">
        <f t="shared" si="36"/>
        <v/>
      </c>
      <c r="C326" s="865" t="str">
        <f t="shared" si="41"/>
        <v/>
      </c>
      <c r="D326" s="865" t="str">
        <f t="shared" si="44"/>
        <v/>
      </c>
      <c r="E326" s="866" t="e">
        <f t="shared" si="37"/>
        <v>#VALUE!</v>
      </c>
      <c r="F326" s="865" t="e">
        <f t="shared" si="38"/>
        <v>#VALUE!</v>
      </c>
      <c r="G326" s="865" t="str">
        <f t="shared" si="42"/>
        <v/>
      </c>
      <c r="H326" s="865" t="str">
        <f t="shared" si="43"/>
        <v/>
      </c>
      <c r="I326" s="865" t="e">
        <f t="shared" si="39"/>
        <v>#VALUE!</v>
      </c>
      <c r="J326" s="865">
        <f>SUM($H$19:$H326)</f>
        <v>0</v>
      </c>
    </row>
    <row r="327" spans="1:10">
      <c r="A327" s="863" t="str">
        <f t="shared" si="40"/>
        <v/>
      </c>
      <c r="B327" s="864" t="str">
        <f t="shared" si="36"/>
        <v/>
      </c>
      <c r="C327" s="865" t="str">
        <f t="shared" si="41"/>
        <v/>
      </c>
      <c r="D327" s="865" t="str">
        <f t="shared" si="44"/>
        <v/>
      </c>
      <c r="E327" s="866" t="e">
        <f t="shared" si="37"/>
        <v>#VALUE!</v>
      </c>
      <c r="F327" s="865" t="e">
        <f t="shared" si="38"/>
        <v>#VALUE!</v>
      </c>
      <c r="G327" s="865" t="str">
        <f t="shared" si="42"/>
        <v/>
      </c>
      <c r="H327" s="865" t="str">
        <f t="shared" si="43"/>
        <v/>
      </c>
      <c r="I327" s="865" t="e">
        <f t="shared" si="39"/>
        <v>#VALUE!</v>
      </c>
      <c r="J327" s="865">
        <f>SUM($H$19:$H327)</f>
        <v>0</v>
      </c>
    </row>
    <row r="328" spans="1:10">
      <c r="A328" s="863" t="str">
        <f t="shared" si="40"/>
        <v/>
      </c>
      <c r="B328" s="864" t="str">
        <f t="shared" si="36"/>
        <v/>
      </c>
      <c r="C328" s="865" t="str">
        <f t="shared" si="41"/>
        <v/>
      </c>
      <c r="D328" s="865" t="str">
        <f t="shared" si="44"/>
        <v/>
      </c>
      <c r="E328" s="866" t="e">
        <f t="shared" si="37"/>
        <v>#VALUE!</v>
      </c>
      <c r="F328" s="865" t="e">
        <f t="shared" si="38"/>
        <v>#VALUE!</v>
      </c>
      <c r="G328" s="865" t="str">
        <f t="shared" si="42"/>
        <v/>
      </c>
      <c r="H328" s="865" t="str">
        <f t="shared" si="43"/>
        <v/>
      </c>
      <c r="I328" s="865" t="e">
        <f t="shared" si="39"/>
        <v>#VALUE!</v>
      </c>
      <c r="J328" s="865">
        <f>SUM($H$19:$H328)</f>
        <v>0</v>
      </c>
    </row>
    <row r="329" spans="1:10">
      <c r="A329" s="863" t="str">
        <f t="shared" si="40"/>
        <v/>
      </c>
      <c r="B329" s="864" t="str">
        <f t="shared" si="36"/>
        <v/>
      </c>
      <c r="C329" s="865" t="str">
        <f t="shared" si="41"/>
        <v/>
      </c>
      <c r="D329" s="865" t="str">
        <f t="shared" si="44"/>
        <v/>
      </c>
      <c r="E329" s="866" t="e">
        <f t="shared" si="37"/>
        <v>#VALUE!</v>
      </c>
      <c r="F329" s="865" t="e">
        <f t="shared" si="38"/>
        <v>#VALUE!</v>
      </c>
      <c r="G329" s="865" t="str">
        <f t="shared" si="42"/>
        <v/>
      </c>
      <c r="H329" s="865" t="str">
        <f t="shared" si="43"/>
        <v/>
      </c>
      <c r="I329" s="865" t="e">
        <f t="shared" si="39"/>
        <v>#VALUE!</v>
      </c>
      <c r="J329" s="865">
        <f>SUM($H$19:$H329)</f>
        <v>0</v>
      </c>
    </row>
    <row r="330" spans="1:10">
      <c r="A330" s="863" t="str">
        <f t="shared" si="40"/>
        <v/>
      </c>
      <c r="B330" s="864" t="str">
        <f t="shared" si="36"/>
        <v/>
      </c>
      <c r="C330" s="865" t="str">
        <f t="shared" si="41"/>
        <v/>
      </c>
      <c r="D330" s="865" t="str">
        <f t="shared" si="44"/>
        <v/>
      </c>
      <c r="E330" s="866" t="e">
        <f t="shared" si="37"/>
        <v>#VALUE!</v>
      </c>
      <c r="F330" s="865" t="e">
        <f t="shared" si="38"/>
        <v>#VALUE!</v>
      </c>
      <c r="G330" s="865" t="str">
        <f t="shared" si="42"/>
        <v/>
      </c>
      <c r="H330" s="865" t="str">
        <f t="shared" si="43"/>
        <v/>
      </c>
      <c r="I330" s="865" t="e">
        <f t="shared" si="39"/>
        <v>#VALUE!</v>
      </c>
      <c r="J330" s="865">
        <f>SUM($H$19:$H330)</f>
        <v>0</v>
      </c>
    </row>
    <row r="331" spans="1:10">
      <c r="A331" s="863" t="str">
        <f t="shared" si="40"/>
        <v/>
      </c>
      <c r="B331" s="864" t="str">
        <f t="shared" si="36"/>
        <v/>
      </c>
      <c r="C331" s="865" t="str">
        <f t="shared" si="41"/>
        <v/>
      </c>
      <c r="D331" s="865" t="str">
        <f t="shared" si="44"/>
        <v/>
      </c>
      <c r="E331" s="866" t="e">
        <f t="shared" si="37"/>
        <v>#VALUE!</v>
      </c>
      <c r="F331" s="865" t="e">
        <f t="shared" si="38"/>
        <v>#VALUE!</v>
      </c>
      <c r="G331" s="865" t="str">
        <f t="shared" si="42"/>
        <v/>
      </c>
      <c r="H331" s="865" t="str">
        <f t="shared" si="43"/>
        <v/>
      </c>
      <c r="I331" s="865" t="e">
        <f t="shared" si="39"/>
        <v>#VALUE!</v>
      </c>
      <c r="J331" s="865">
        <f>SUM($H$19:$H331)</f>
        <v>0</v>
      </c>
    </row>
    <row r="332" spans="1:10">
      <c r="A332" s="863" t="str">
        <f t="shared" si="40"/>
        <v/>
      </c>
      <c r="B332" s="864" t="str">
        <f t="shared" si="36"/>
        <v/>
      </c>
      <c r="C332" s="865" t="str">
        <f t="shared" si="41"/>
        <v/>
      </c>
      <c r="D332" s="865" t="str">
        <f t="shared" si="44"/>
        <v/>
      </c>
      <c r="E332" s="866" t="e">
        <f t="shared" si="37"/>
        <v>#VALUE!</v>
      </c>
      <c r="F332" s="865" t="e">
        <f t="shared" si="38"/>
        <v>#VALUE!</v>
      </c>
      <c r="G332" s="865" t="str">
        <f t="shared" si="42"/>
        <v/>
      </c>
      <c r="H332" s="865" t="str">
        <f t="shared" si="43"/>
        <v/>
      </c>
      <c r="I332" s="865" t="e">
        <f t="shared" si="39"/>
        <v>#VALUE!</v>
      </c>
      <c r="J332" s="865">
        <f>SUM($H$19:$H332)</f>
        <v>0</v>
      </c>
    </row>
    <row r="333" spans="1:10">
      <c r="A333" s="863" t="str">
        <f t="shared" si="40"/>
        <v/>
      </c>
      <c r="B333" s="864" t="str">
        <f t="shared" si="36"/>
        <v/>
      </c>
      <c r="C333" s="865" t="str">
        <f t="shared" si="41"/>
        <v/>
      </c>
      <c r="D333" s="865" t="str">
        <f t="shared" si="44"/>
        <v/>
      </c>
      <c r="E333" s="866" t="e">
        <f t="shared" si="37"/>
        <v>#VALUE!</v>
      </c>
      <c r="F333" s="865" t="e">
        <f t="shared" si="38"/>
        <v>#VALUE!</v>
      </c>
      <c r="G333" s="865" t="str">
        <f t="shared" si="42"/>
        <v/>
      </c>
      <c r="H333" s="865" t="str">
        <f t="shared" si="43"/>
        <v/>
      </c>
      <c r="I333" s="865" t="e">
        <f t="shared" si="39"/>
        <v>#VALUE!</v>
      </c>
      <c r="J333" s="865">
        <f>SUM($H$19:$H333)</f>
        <v>0</v>
      </c>
    </row>
    <row r="334" spans="1:10">
      <c r="A334" s="863" t="str">
        <f t="shared" si="40"/>
        <v/>
      </c>
      <c r="B334" s="864" t="str">
        <f t="shared" si="36"/>
        <v/>
      </c>
      <c r="C334" s="865" t="str">
        <f t="shared" si="41"/>
        <v/>
      </c>
      <c r="D334" s="865" t="str">
        <f t="shared" si="44"/>
        <v/>
      </c>
      <c r="E334" s="866" t="e">
        <f t="shared" si="37"/>
        <v>#VALUE!</v>
      </c>
      <c r="F334" s="865" t="e">
        <f t="shared" si="38"/>
        <v>#VALUE!</v>
      </c>
      <c r="G334" s="865" t="str">
        <f t="shared" si="42"/>
        <v/>
      </c>
      <c r="H334" s="865" t="str">
        <f t="shared" si="43"/>
        <v/>
      </c>
      <c r="I334" s="865" t="e">
        <f t="shared" si="39"/>
        <v>#VALUE!</v>
      </c>
      <c r="J334" s="865">
        <f>SUM($H$19:$H334)</f>
        <v>0</v>
      </c>
    </row>
    <row r="335" spans="1:10">
      <c r="A335" s="863" t="str">
        <f t="shared" si="40"/>
        <v/>
      </c>
      <c r="B335" s="864" t="str">
        <f t="shared" si="36"/>
        <v/>
      </c>
      <c r="C335" s="865" t="str">
        <f t="shared" si="41"/>
        <v/>
      </c>
      <c r="D335" s="865" t="str">
        <f t="shared" si="44"/>
        <v/>
      </c>
      <c r="E335" s="866" t="e">
        <f t="shared" si="37"/>
        <v>#VALUE!</v>
      </c>
      <c r="F335" s="865" t="e">
        <f t="shared" si="38"/>
        <v>#VALUE!</v>
      </c>
      <c r="G335" s="865" t="str">
        <f t="shared" si="42"/>
        <v/>
      </c>
      <c r="H335" s="865" t="str">
        <f t="shared" si="43"/>
        <v/>
      </c>
      <c r="I335" s="865" t="e">
        <f t="shared" si="39"/>
        <v>#VALUE!</v>
      </c>
      <c r="J335" s="865">
        <f>SUM($H$19:$H335)</f>
        <v>0</v>
      </c>
    </row>
    <row r="336" spans="1:10">
      <c r="A336" s="863" t="str">
        <f t="shared" si="40"/>
        <v/>
      </c>
      <c r="B336" s="864" t="str">
        <f t="shared" si="36"/>
        <v/>
      </c>
      <c r="C336" s="865" t="str">
        <f t="shared" si="41"/>
        <v/>
      </c>
      <c r="D336" s="865" t="str">
        <f t="shared" si="44"/>
        <v/>
      </c>
      <c r="E336" s="866" t="e">
        <f t="shared" si="37"/>
        <v>#VALUE!</v>
      </c>
      <c r="F336" s="865" t="e">
        <f t="shared" si="38"/>
        <v>#VALUE!</v>
      </c>
      <c r="G336" s="865" t="str">
        <f t="shared" si="42"/>
        <v/>
      </c>
      <c r="H336" s="865" t="str">
        <f t="shared" si="43"/>
        <v/>
      </c>
      <c r="I336" s="865" t="e">
        <f t="shared" si="39"/>
        <v>#VALUE!</v>
      </c>
      <c r="J336" s="865">
        <f>SUM($H$19:$H336)</f>
        <v>0</v>
      </c>
    </row>
    <row r="337" spans="1:10">
      <c r="A337" s="863" t="str">
        <f t="shared" si="40"/>
        <v/>
      </c>
      <c r="B337" s="864" t="str">
        <f t="shared" si="36"/>
        <v/>
      </c>
      <c r="C337" s="865" t="str">
        <f t="shared" si="41"/>
        <v/>
      </c>
      <c r="D337" s="865" t="str">
        <f t="shared" si="44"/>
        <v/>
      </c>
      <c r="E337" s="866" t="e">
        <f t="shared" si="37"/>
        <v>#VALUE!</v>
      </c>
      <c r="F337" s="865" t="e">
        <f t="shared" si="38"/>
        <v>#VALUE!</v>
      </c>
      <c r="G337" s="865" t="str">
        <f t="shared" si="42"/>
        <v/>
      </c>
      <c r="H337" s="865" t="str">
        <f t="shared" si="43"/>
        <v/>
      </c>
      <c r="I337" s="865" t="e">
        <f t="shared" si="39"/>
        <v>#VALUE!</v>
      </c>
      <c r="J337" s="865">
        <f>SUM($H$19:$H337)</f>
        <v>0</v>
      </c>
    </row>
    <row r="338" spans="1:10">
      <c r="A338" s="863" t="str">
        <f t="shared" si="40"/>
        <v/>
      </c>
      <c r="B338" s="864" t="str">
        <f t="shared" si="36"/>
        <v/>
      </c>
      <c r="C338" s="865" t="str">
        <f t="shared" si="41"/>
        <v/>
      </c>
      <c r="D338" s="865" t="str">
        <f t="shared" si="44"/>
        <v/>
      </c>
      <c r="E338" s="866" t="e">
        <f t="shared" si="37"/>
        <v>#VALUE!</v>
      </c>
      <c r="F338" s="865" t="e">
        <f t="shared" si="38"/>
        <v>#VALUE!</v>
      </c>
      <c r="G338" s="865" t="str">
        <f t="shared" si="42"/>
        <v/>
      </c>
      <c r="H338" s="865" t="str">
        <f t="shared" si="43"/>
        <v/>
      </c>
      <c r="I338" s="865" t="e">
        <f t="shared" si="39"/>
        <v>#VALUE!</v>
      </c>
      <c r="J338" s="865">
        <f>SUM($H$19:$H338)</f>
        <v>0</v>
      </c>
    </row>
    <row r="339" spans="1:10">
      <c r="A339" s="863" t="str">
        <f t="shared" si="40"/>
        <v/>
      </c>
      <c r="B339" s="864" t="str">
        <f t="shared" ref="B339:B378" si="45">IF(Pay_Num&lt;&gt;"",DATE(YEAR(Loan_Start),MONTH(Loan_Start)+(Pay_Num)*12/Num_Pmt_Per_Year,DAY(Loan_Start)),"")</f>
        <v/>
      </c>
      <c r="C339" s="865" t="str">
        <f t="shared" si="41"/>
        <v/>
      </c>
      <c r="D339" s="865" t="str">
        <f t="shared" si="44"/>
        <v/>
      </c>
      <c r="E339" s="866" t="e">
        <f t="shared" ref="E339:E378" si="46">IF(AND(Pay_Num&lt;&gt;"",Sched_Pay+Scheduled_Extra_Payments&lt;Beg_Bal),Scheduled_Extra_Payments,IF(AND(Pay_Num&lt;&gt;"",Beg_Bal-Sched_Pay&gt;0),Beg_Bal-Sched_Pay,IF(Pay_Num&lt;&gt;"",0,"")))</f>
        <v>#VALUE!</v>
      </c>
      <c r="F339" s="865" t="e">
        <f t="shared" ref="F339:F378" si="47">IF(AND(Pay_Num&lt;&gt;"",Sched_Pay+Extra_Pay&lt;Beg_Bal),Sched_Pay+Extra_Pay,IF(Pay_Num&lt;&gt;"",Beg_Bal,""))</f>
        <v>#VALUE!</v>
      </c>
      <c r="G339" s="865" t="str">
        <f t="shared" si="42"/>
        <v/>
      </c>
      <c r="H339" s="865" t="str">
        <f t="shared" si="43"/>
        <v/>
      </c>
      <c r="I339" s="865" t="e">
        <f t="shared" ref="I339:I378" si="48">IF(AND(Pay_Num&lt;&gt;"",Sched_Pay+Extra_Pay&lt;Beg_Bal),Beg_Bal-Princ,IF(Pay_Num&lt;&gt;"",0,""))</f>
        <v>#VALUE!</v>
      </c>
      <c r="J339" s="865">
        <f>SUM($H$19:$H339)</f>
        <v>0</v>
      </c>
    </row>
    <row r="340" spans="1:10">
      <c r="A340" s="863" t="str">
        <f t="shared" ref="A340:A378" si="49">IF(Values_Entered,A339+1,"")</f>
        <v/>
      </c>
      <c r="B340" s="864" t="str">
        <f t="shared" si="45"/>
        <v/>
      </c>
      <c r="C340" s="865" t="str">
        <f t="shared" ref="C340:C378" si="50">IF(Pay_Num&lt;&gt;"",I339,"")</f>
        <v/>
      </c>
      <c r="D340" s="865" t="str">
        <f t="shared" si="44"/>
        <v/>
      </c>
      <c r="E340" s="866" t="e">
        <f t="shared" si="46"/>
        <v>#VALUE!</v>
      </c>
      <c r="F340" s="865" t="e">
        <f t="shared" si="47"/>
        <v>#VALUE!</v>
      </c>
      <c r="G340" s="865" t="str">
        <f t="shared" ref="G340:G378" si="51">IF(Pay_Num&lt;&gt;"",Total_Pay-Int,"")</f>
        <v/>
      </c>
      <c r="H340" s="865" t="str">
        <f t="shared" ref="H340:H378" si="52">IF(Pay_Num&lt;&gt;"",Beg_Bal*Interest_Rate/Num_Pmt_Per_Year,"")</f>
        <v/>
      </c>
      <c r="I340" s="865" t="e">
        <f t="shared" si="48"/>
        <v>#VALUE!</v>
      </c>
      <c r="J340" s="865">
        <f>SUM($H$19:$H340)</f>
        <v>0</v>
      </c>
    </row>
    <row r="341" spans="1:10">
      <c r="A341" s="863" t="str">
        <f t="shared" si="49"/>
        <v/>
      </c>
      <c r="B341" s="864" t="str">
        <f t="shared" si="45"/>
        <v/>
      </c>
      <c r="C341" s="865" t="str">
        <f t="shared" si="50"/>
        <v/>
      </c>
      <c r="D341" s="865" t="str">
        <f t="shared" ref="D341:D378" si="53">IF(Pay_Num&lt;&gt;"",Scheduled_Monthly_Payment,"")</f>
        <v/>
      </c>
      <c r="E341" s="866" t="e">
        <f t="shared" si="46"/>
        <v>#VALUE!</v>
      </c>
      <c r="F341" s="865" t="e">
        <f t="shared" si="47"/>
        <v>#VALUE!</v>
      </c>
      <c r="G341" s="865" t="str">
        <f t="shared" si="51"/>
        <v/>
      </c>
      <c r="H341" s="865" t="str">
        <f t="shared" si="52"/>
        <v/>
      </c>
      <c r="I341" s="865" t="e">
        <f t="shared" si="48"/>
        <v>#VALUE!</v>
      </c>
      <c r="J341" s="865">
        <f>SUM($H$19:$H341)</f>
        <v>0</v>
      </c>
    </row>
    <row r="342" spans="1:10">
      <c r="A342" s="863" t="str">
        <f t="shared" si="49"/>
        <v/>
      </c>
      <c r="B342" s="864" t="str">
        <f t="shared" si="45"/>
        <v/>
      </c>
      <c r="C342" s="865" t="str">
        <f t="shared" si="50"/>
        <v/>
      </c>
      <c r="D342" s="865" t="str">
        <f t="shared" si="53"/>
        <v/>
      </c>
      <c r="E342" s="866" t="e">
        <f t="shared" si="46"/>
        <v>#VALUE!</v>
      </c>
      <c r="F342" s="865" t="e">
        <f t="shared" si="47"/>
        <v>#VALUE!</v>
      </c>
      <c r="G342" s="865" t="str">
        <f t="shared" si="51"/>
        <v/>
      </c>
      <c r="H342" s="865" t="str">
        <f t="shared" si="52"/>
        <v/>
      </c>
      <c r="I342" s="865" t="e">
        <f t="shared" si="48"/>
        <v>#VALUE!</v>
      </c>
      <c r="J342" s="865">
        <f>SUM($H$19:$H342)</f>
        <v>0</v>
      </c>
    </row>
    <row r="343" spans="1:10">
      <c r="A343" s="863" t="str">
        <f t="shared" si="49"/>
        <v/>
      </c>
      <c r="B343" s="864" t="str">
        <f t="shared" si="45"/>
        <v/>
      </c>
      <c r="C343" s="865" t="str">
        <f t="shared" si="50"/>
        <v/>
      </c>
      <c r="D343" s="865" t="str">
        <f t="shared" si="53"/>
        <v/>
      </c>
      <c r="E343" s="866" t="e">
        <f t="shared" si="46"/>
        <v>#VALUE!</v>
      </c>
      <c r="F343" s="865" t="e">
        <f t="shared" si="47"/>
        <v>#VALUE!</v>
      </c>
      <c r="G343" s="865" t="str">
        <f t="shared" si="51"/>
        <v/>
      </c>
      <c r="H343" s="865" t="str">
        <f t="shared" si="52"/>
        <v/>
      </c>
      <c r="I343" s="865" t="e">
        <f t="shared" si="48"/>
        <v>#VALUE!</v>
      </c>
      <c r="J343" s="865">
        <f>SUM($H$19:$H343)</f>
        <v>0</v>
      </c>
    </row>
    <row r="344" spans="1:10">
      <c r="A344" s="863" t="str">
        <f t="shared" si="49"/>
        <v/>
      </c>
      <c r="B344" s="864" t="str">
        <f t="shared" si="45"/>
        <v/>
      </c>
      <c r="C344" s="865" t="str">
        <f t="shared" si="50"/>
        <v/>
      </c>
      <c r="D344" s="865" t="str">
        <f t="shared" si="53"/>
        <v/>
      </c>
      <c r="E344" s="866" t="e">
        <f t="shared" si="46"/>
        <v>#VALUE!</v>
      </c>
      <c r="F344" s="865" t="e">
        <f t="shared" si="47"/>
        <v>#VALUE!</v>
      </c>
      <c r="G344" s="865" t="str">
        <f t="shared" si="51"/>
        <v/>
      </c>
      <c r="H344" s="865" t="str">
        <f t="shared" si="52"/>
        <v/>
      </c>
      <c r="I344" s="865" t="e">
        <f t="shared" si="48"/>
        <v>#VALUE!</v>
      </c>
      <c r="J344" s="865">
        <f>SUM($H$19:$H344)</f>
        <v>0</v>
      </c>
    </row>
    <row r="345" spans="1:10">
      <c r="A345" s="863" t="str">
        <f t="shared" si="49"/>
        <v/>
      </c>
      <c r="B345" s="864" t="str">
        <f t="shared" si="45"/>
        <v/>
      </c>
      <c r="C345" s="865" t="str">
        <f t="shared" si="50"/>
        <v/>
      </c>
      <c r="D345" s="865" t="str">
        <f t="shared" si="53"/>
        <v/>
      </c>
      <c r="E345" s="866" t="e">
        <f t="shared" si="46"/>
        <v>#VALUE!</v>
      </c>
      <c r="F345" s="865" t="e">
        <f t="shared" si="47"/>
        <v>#VALUE!</v>
      </c>
      <c r="G345" s="865" t="str">
        <f t="shared" si="51"/>
        <v/>
      </c>
      <c r="H345" s="865" t="str">
        <f t="shared" si="52"/>
        <v/>
      </c>
      <c r="I345" s="865" t="e">
        <f t="shared" si="48"/>
        <v>#VALUE!</v>
      </c>
      <c r="J345" s="865">
        <f>SUM($H$19:$H345)</f>
        <v>0</v>
      </c>
    </row>
    <row r="346" spans="1:10">
      <c r="A346" s="863" t="str">
        <f t="shared" si="49"/>
        <v/>
      </c>
      <c r="B346" s="864" t="str">
        <f t="shared" si="45"/>
        <v/>
      </c>
      <c r="C346" s="865" t="str">
        <f t="shared" si="50"/>
        <v/>
      </c>
      <c r="D346" s="865" t="str">
        <f t="shared" si="53"/>
        <v/>
      </c>
      <c r="E346" s="866" t="e">
        <f t="shared" si="46"/>
        <v>#VALUE!</v>
      </c>
      <c r="F346" s="865" t="e">
        <f t="shared" si="47"/>
        <v>#VALUE!</v>
      </c>
      <c r="G346" s="865" t="str">
        <f t="shared" si="51"/>
        <v/>
      </c>
      <c r="H346" s="865" t="str">
        <f t="shared" si="52"/>
        <v/>
      </c>
      <c r="I346" s="865" t="e">
        <f t="shared" si="48"/>
        <v>#VALUE!</v>
      </c>
      <c r="J346" s="865">
        <f>SUM($H$19:$H346)</f>
        <v>0</v>
      </c>
    </row>
    <row r="347" spans="1:10">
      <c r="A347" s="863" t="str">
        <f t="shared" si="49"/>
        <v/>
      </c>
      <c r="B347" s="864" t="str">
        <f t="shared" si="45"/>
        <v/>
      </c>
      <c r="C347" s="865" t="str">
        <f t="shared" si="50"/>
        <v/>
      </c>
      <c r="D347" s="865" t="str">
        <f t="shared" si="53"/>
        <v/>
      </c>
      <c r="E347" s="866" t="e">
        <f t="shared" si="46"/>
        <v>#VALUE!</v>
      </c>
      <c r="F347" s="865" t="e">
        <f t="shared" si="47"/>
        <v>#VALUE!</v>
      </c>
      <c r="G347" s="865" t="str">
        <f t="shared" si="51"/>
        <v/>
      </c>
      <c r="H347" s="865" t="str">
        <f t="shared" si="52"/>
        <v/>
      </c>
      <c r="I347" s="865" t="e">
        <f t="shared" si="48"/>
        <v>#VALUE!</v>
      </c>
      <c r="J347" s="865">
        <f>SUM($H$19:$H347)</f>
        <v>0</v>
      </c>
    </row>
    <row r="348" spans="1:10">
      <c r="A348" s="863" t="str">
        <f t="shared" si="49"/>
        <v/>
      </c>
      <c r="B348" s="864" t="str">
        <f t="shared" si="45"/>
        <v/>
      </c>
      <c r="C348" s="865" t="str">
        <f t="shared" si="50"/>
        <v/>
      </c>
      <c r="D348" s="865" t="str">
        <f t="shared" si="53"/>
        <v/>
      </c>
      <c r="E348" s="866" t="e">
        <f t="shared" si="46"/>
        <v>#VALUE!</v>
      </c>
      <c r="F348" s="865" t="e">
        <f t="shared" si="47"/>
        <v>#VALUE!</v>
      </c>
      <c r="G348" s="865" t="str">
        <f t="shared" si="51"/>
        <v/>
      </c>
      <c r="H348" s="865" t="str">
        <f t="shared" si="52"/>
        <v/>
      </c>
      <c r="I348" s="865" t="e">
        <f t="shared" si="48"/>
        <v>#VALUE!</v>
      </c>
      <c r="J348" s="865">
        <f>SUM($H$19:$H348)</f>
        <v>0</v>
      </c>
    </row>
    <row r="349" spans="1:10">
      <c r="A349" s="863" t="str">
        <f t="shared" si="49"/>
        <v/>
      </c>
      <c r="B349" s="864" t="str">
        <f t="shared" si="45"/>
        <v/>
      </c>
      <c r="C349" s="865" t="str">
        <f t="shared" si="50"/>
        <v/>
      </c>
      <c r="D349" s="865" t="str">
        <f t="shared" si="53"/>
        <v/>
      </c>
      <c r="E349" s="866" t="e">
        <f t="shared" si="46"/>
        <v>#VALUE!</v>
      </c>
      <c r="F349" s="865" t="e">
        <f t="shared" si="47"/>
        <v>#VALUE!</v>
      </c>
      <c r="G349" s="865" t="str">
        <f t="shared" si="51"/>
        <v/>
      </c>
      <c r="H349" s="865" t="str">
        <f t="shared" si="52"/>
        <v/>
      </c>
      <c r="I349" s="865" t="e">
        <f t="shared" si="48"/>
        <v>#VALUE!</v>
      </c>
      <c r="J349" s="865">
        <f>SUM($H$19:$H349)</f>
        <v>0</v>
      </c>
    </row>
    <row r="350" spans="1:10">
      <c r="A350" s="863" t="str">
        <f t="shared" si="49"/>
        <v/>
      </c>
      <c r="B350" s="864" t="str">
        <f t="shared" si="45"/>
        <v/>
      </c>
      <c r="C350" s="865" t="str">
        <f t="shared" si="50"/>
        <v/>
      </c>
      <c r="D350" s="865" t="str">
        <f t="shared" si="53"/>
        <v/>
      </c>
      <c r="E350" s="866" t="e">
        <f t="shared" si="46"/>
        <v>#VALUE!</v>
      </c>
      <c r="F350" s="865" t="e">
        <f t="shared" si="47"/>
        <v>#VALUE!</v>
      </c>
      <c r="G350" s="865" t="str">
        <f t="shared" si="51"/>
        <v/>
      </c>
      <c r="H350" s="865" t="str">
        <f t="shared" si="52"/>
        <v/>
      </c>
      <c r="I350" s="865" t="e">
        <f t="shared" si="48"/>
        <v>#VALUE!</v>
      </c>
      <c r="J350" s="865">
        <f>SUM($H$19:$H350)</f>
        <v>0</v>
      </c>
    </row>
    <row r="351" spans="1:10">
      <c r="A351" s="863" t="str">
        <f t="shared" si="49"/>
        <v/>
      </c>
      <c r="B351" s="864" t="str">
        <f t="shared" si="45"/>
        <v/>
      </c>
      <c r="C351" s="865" t="str">
        <f t="shared" si="50"/>
        <v/>
      </c>
      <c r="D351" s="865" t="str">
        <f t="shared" si="53"/>
        <v/>
      </c>
      <c r="E351" s="866" t="e">
        <f t="shared" si="46"/>
        <v>#VALUE!</v>
      </c>
      <c r="F351" s="865" t="e">
        <f t="shared" si="47"/>
        <v>#VALUE!</v>
      </c>
      <c r="G351" s="865" t="str">
        <f t="shared" si="51"/>
        <v/>
      </c>
      <c r="H351" s="865" t="str">
        <f t="shared" si="52"/>
        <v/>
      </c>
      <c r="I351" s="865" t="e">
        <f t="shared" si="48"/>
        <v>#VALUE!</v>
      </c>
      <c r="J351" s="865">
        <f>SUM($H$19:$H351)</f>
        <v>0</v>
      </c>
    </row>
    <row r="352" spans="1:10">
      <c r="A352" s="863" t="str">
        <f t="shared" si="49"/>
        <v/>
      </c>
      <c r="B352" s="864" t="str">
        <f t="shared" si="45"/>
        <v/>
      </c>
      <c r="C352" s="865" t="str">
        <f t="shared" si="50"/>
        <v/>
      </c>
      <c r="D352" s="865" t="str">
        <f t="shared" si="53"/>
        <v/>
      </c>
      <c r="E352" s="866" t="e">
        <f t="shared" si="46"/>
        <v>#VALUE!</v>
      </c>
      <c r="F352" s="865" t="e">
        <f t="shared" si="47"/>
        <v>#VALUE!</v>
      </c>
      <c r="G352" s="865" t="str">
        <f t="shared" si="51"/>
        <v/>
      </c>
      <c r="H352" s="865" t="str">
        <f t="shared" si="52"/>
        <v/>
      </c>
      <c r="I352" s="865" t="e">
        <f t="shared" si="48"/>
        <v>#VALUE!</v>
      </c>
      <c r="J352" s="865">
        <f>SUM($H$19:$H352)</f>
        <v>0</v>
      </c>
    </row>
    <row r="353" spans="1:10">
      <c r="A353" s="863" t="str">
        <f t="shared" si="49"/>
        <v/>
      </c>
      <c r="B353" s="864" t="str">
        <f t="shared" si="45"/>
        <v/>
      </c>
      <c r="C353" s="865" t="str">
        <f t="shared" si="50"/>
        <v/>
      </c>
      <c r="D353" s="865" t="str">
        <f t="shared" si="53"/>
        <v/>
      </c>
      <c r="E353" s="866" t="e">
        <f t="shared" si="46"/>
        <v>#VALUE!</v>
      </c>
      <c r="F353" s="865" t="e">
        <f t="shared" si="47"/>
        <v>#VALUE!</v>
      </c>
      <c r="G353" s="865" t="str">
        <f t="shared" si="51"/>
        <v/>
      </c>
      <c r="H353" s="865" t="str">
        <f t="shared" si="52"/>
        <v/>
      </c>
      <c r="I353" s="865" t="e">
        <f t="shared" si="48"/>
        <v>#VALUE!</v>
      </c>
      <c r="J353" s="865">
        <f>SUM($H$19:$H353)</f>
        <v>0</v>
      </c>
    </row>
    <row r="354" spans="1:10">
      <c r="A354" s="863" t="str">
        <f t="shared" si="49"/>
        <v/>
      </c>
      <c r="B354" s="864" t="str">
        <f t="shared" si="45"/>
        <v/>
      </c>
      <c r="C354" s="865" t="str">
        <f t="shared" si="50"/>
        <v/>
      </c>
      <c r="D354" s="865" t="str">
        <f t="shared" si="53"/>
        <v/>
      </c>
      <c r="E354" s="866" t="e">
        <f t="shared" si="46"/>
        <v>#VALUE!</v>
      </c>
      <c r="F354" s="865" t="e">
        <f t="shared" si="47"/>
        <v>#VALUE!</v>
      </c>
      <c r="G354" s="865" t="str">
        <f t="shared" si="51"/>
        <v/>
      </c>
      <c r="H354" s="865" t="str">
        <f t="shared" si="52"/>
        <v/>
      </c>
      <c r="I354" s="865" t="e">
        <f t="shared" si="48"/>
        <v>#VALUE!</v>
      </c>
      <c r="J354" s="865">
        <f>SUM($H$19:$H354)</f>
        <v>0</v>
      </c>
    </row>
    <row r="355" spans="1:10">
      <c r="A355" s="863" t="str">
        <f t="shared" si="49"/>
        <v/>
      </c>
      <c r="B355" s="864" t="str">
        <f t="shared" si="45"/>
        <v/>
      </c>
      <c r="C355" s="865" t="str">
        <f t="shared" si="50"/>
        <v/>
      </c>
      <c r="D355" s="865" t="str">
        <f t="shared" si="53"/>
        <v/>
      </c>
      <c r="E355" s="866" t="e">
        <f t="shared" si="46"/>
        <v>#VALUE!</v>
      </c>
      <c r="F355" s="865" t="e">
        <f t="shared" si="47"/>
        <v>#VALUE!</v>
      </c>
      <c r="G355" s="865" t="str">
        <f t="shared" si="51"/>
        <v/>
      </c>
      <c r="H355" s="865" t="str">
        <f t="shared" si="52"/>
        <v/>
      </c>
      <c r="I355" s="865" t="e">
        <f t="shared" si="48"/>
        <v>#VALUE!</v>
      </c>
      <c r="J355" s="865">
        <f>SUM($H$19:$H355)</f>
        <v>0</v>
      </c>
    </row>
    <row r="356" spans="1:10">
      <c r="A356" s="863" t="str">
        <f t="shared" si="49"/>
        <v/>
      </c>
      <c r="B356" s="864" t="str">
        <f t="shared" si="45"/>
        <v/>
      </c>
      <c r="C356" s="865" t="str">
        <f t="shared" si="50"/>
        <v/>
      </c>
      <c r="D356" s="865" t="str">
        <f t="shared" si="53"/>
        <v/>
      </c>
      <c r="E356" s="866" t="e">
        <f t="shared" si="46"/>
        <v>#VALUE!</v>
      </c>
      <c r="F356" s="865" t="e">
        <f t="shared" si="47"/>
        <v>#VALUE!</v>
      </c>
      <c r="G356" s="865" t="str">
        <f t="shared" si="51"/>
        <v/>
      </c>
      <c r="H356" s="865" t="str">
        <f t="shared" si="52"/>
        <v/>
      </c>
      <c r="I356" s="865" t="e">
        <f t="shared" si="48"/>
        <v>#VALUE!</v>
      </c>
      <c r="J356" s="865">
        <f>SUM($H$19:$H356)</f>
        <v>0</v>
      </c>
    </row>
    <row r="357" spans="1:10">
      <c r="A357" s="863" t="str">
        <f t="shared" si="49"/>
        <v/>
      </c>
      <c r="B357" s="864" t="str">
        <f t="shared" si="45"/>
        <v/>
      </c>
      <c r="C357" s="865" t="str">
        <f t="shared" si="50"/>
        <v/>
      </c>
      <c r="D357" s="865" t="str">
        <f t="shared" si="53"/>
        <v/>
      </c>
      <c r="E357" s="866" t="e">
        <f t="shared" si="46"/>
        <v>#VALUE!</v>
      </c>
      <c r="F357" s="865" t="e">
        <f t="shared" si="47"/>
        <v>#VALUE!</v>
      </c>
      <c r="G357" s="865" t="str">
        <f t="shared" si="51"/>
        <v/>
      </c>
      <c r="H357" s="865" t="str">
        <f t="shared" si="52"/>
        <v/>
      </c>
      <c r="I357" s="865" t="e">
        <f t="shared" si="48"/>
        <v>#VALUE!</v>
      </c>
      <c r="J357" s="865">
        <f>SUM($H$19:$H357)</f>
        <v>0</v>
      </c>
    </row>
    <row r="358" spans="1:10">
      <c r="A358" s="863" t="str">
        <f t="shared" si="49"/>
        <v/>
      </c>
      <c r="B358" s="864" t="str">
        <f t="shared" si="45"/>
        <v/>
      </c>
      <c r="C358" s="865" t="str">
        <f t="shared" si="50"/>
        <v/>
      </c>
      <c r="D358" s="865" t="str">
        <f t="shared" si="53"/>
        <v/>
      </c>
      <c r="E358" s="866" t="e">
        <f t="shared" si="46"/>
        <v>#VALUE!</v>
      </c>
      <c r="F358" s="865" t="e">
        <f t="shared" si="47"/>
        <v>#VALUE!</v>
      </c>
      <c r="G358" s="865" t="str">
        <f t="shared" si="51"/>
        <v/>
      </c>
      <c r="H358" s="865" t="str">
        <f t="shared" si="52"/>
        <v/>
      </c>
      <c r="I358" s="865" t="e">
        <f t="shared" si="48"/>
        <v>#VALUE!</v>
      </c>
      <c r="J358" s="865">
        <f>SUM($H$19:$H358)</f>
        <v>0</v>
      </c>
    </row>
    <row r="359" spans="1:10">
      <c r="A359" s="863" t="str">
        <f t="shared" si="49"/>
        <v/>
      </c>
      <c r="B359" s="864" t="str">
        <f t="shared" si="45"/>
        <v/>
      </c>
      <c r="C359" s="865" t="str">
        <f t="shared" si="50"/>
        <v/>
      </c>
      <c r="D359" s="865" t="str">
        <f t="shared" si="53"/>
        <v/>
      </c>
      <c r="E359" s="866" t="e">
        <f t="shared" si="46"/>
        <v>#VALUE!</v>
      </c>
      <c r="F359" s="865" t="e">
        <f t="shared" si="47"/>
        <v>#VALUE!</v>
      </c>
      <c r="G359" s="865" t="str">
        <f t="shared" si="51"/>
        <v/>
      </c>
      <c r="H359" s="865" t="str">
        <f t="shared" si="52"/>
        <v/>
      </c>
      <c r="I359" s="865" t="e">
        <f t="shared" si="48"/>
        <v>#VALUE!</v>
      </c>
      <c r="J359" s="865">
        <f>SUM($H$19:$H359)</f>
        <v>0</v>
      </c>
    </row>
    <row r="360" spans="1:10">
      <c r="A360" s="863" t="str">
        <f t="shared" si="49"/>
        <v/>
      </c>
      <c r="B360" s="864" t="str">
        <f t="shared" si="45"/>
        <v/>
      </c>
      <c r="C360" s="865" t="str">
        <f t="shared" si="50"/>
        <v/>
      </c>
      <c r="D360" s="865" t="str">
        <f t="shared" si="53"/>
        <v/>
      </c>
      <c r="E360" s="866" t="e">
        <f t="shared" si="46"/>
        <v>#VALUE!</v>
      </c>
      <c r="F360" s="865" t="e">
        <f t="shared" si="47"/>
        <v>#VALUE!</v>
      </c>
      <c r="G360" s="865" t="str">
        <f t="shared" si="51"/>
        <v/>
      </c>
      <c r="H360" s="865" t="str">
        <f t="shared" si="52"/>
        <v/>
      </c>
      <c r="I360" s="865" t="e">
        <f t="shared" si="48"/>
        <v>#VALUE!</v>
      </c>
      <c r="J360" s="865">
        <f>SUM($H$19:$H360)</f>
        <v>0</v>
      </c>
    </row>
    <row r="361" spans="1:10">
      <c r="A361" s="863" t="str">
        <f t="shared" si="49"/>
        <v/>
      </c>
      <c r="B361" s="864" t="str">
        <f t="shared" si="45"/>
        <v/>
      </c>
      <c r="C361" s="865" t="str">
        <f t="shared" si="50"/>
        <v/>
      </c>
      <c r="D361" s="865" t="str">
        <f t="shared" si="53"/>
        <v/>
      </c>
      <c r="E361" s="866" t="e">
        <f t="shared" si="46"/>
        <v>#VALUE!</v>
      </c>
      <c r="F361" s="865" t="e">
        <f t="shared" si="47"/>
        <v>#VALUE!</v>
      </c>
      <c r="G361" s="865" t="str">
        <f t="shared" si="51"/>
        <v/>
      </c>
      <c r="H361" s="865" t="str">
        <f t="shared" si="52"/>
        <v/>
      </c>
      <c r="I361" s="865" t="e">
        <f t="shared" si="48"/>
        <v>#VALUE!</v>
      </c>
      <c r="J361" s="865">
        <f>SUM($H$19:$H361)</f>
        <v>0</v>
      </c>
    </row>
    <row r="362" spans="1:10">
      <c r="A362" s="863" t="str">
        <f t="shared" si="49"/>
        <v/>
      </c>
      <c r="B362" s="864" t="str">
        <f t="shared" si="45"/>
        <v/>
      </c>
      <c r="C362" s="865" t="str">
        <f t="shared" si="50"/>
        <v/>
      </c>
      <c r="D362" s="865" t="str">
        <f t="shared" si="53"/>
        <v/>
      </c>
      <c r="E362" s="866" t="e">
        <f t="shared" si="46"/>
        <v>#VALUE!</v>
      </c>
      <c r="F362" s="865" t="e">
        <f t="shared" si="47"/>
        <v>#VALUE!</v>
      </c>
      <c r="G362" s="865" t="str">
        <f t="shared" si="51"/>
        <v/>
      </c>
      <c r="H362" s="865" t="str">
        <f t="shared" si="52"/>
        <v/>
      </c>
      <c r="I362" s="865" t="e">
        <f t="shared" si="48"/>
        <v>#VALUE!</v>
      </c>
      <c r="J362" s="865">
        <f>SUM($H$19:$H362)</f>
        <v>0</v>
      </c>
    </row>
    <row r="363" spans="1:10">
      <c r="A363" s="863" t="str">
        <f t="shared" si="49"/>
        <v/>
      </c>
      <c r="B363" s="864" t="str">
        <f t="shared" si="45"/>
        <v/>
      </c>
      <c r="C363" s="865" t="str">
        <f t="shared" si="50"/>
        <v/>
      </c>
      <c r="D363" s="865" t="str">
        <f t="shared" si="53"/>
        <v/>
      </c>
      <c r="E363" s="866" t="e">
        <f t="shared" si="46"/>
        <v>#VALUE!</v>
      </c>
      <c r="F363" s="865" t="e">
        <f t="shared" si="47"/>
        <v>#VALUE!</v>
      </c>
      <c r="G363" s="865" t="str">
        <f t="shared" si="51"/>
        <v/>
      </c>
      <c r="H363" s="865" t="str">
        <f t="shared" si="52"/>
        <v/>
      </c>
      <c r="I363" s="865" t="e">
        <f t="shared" si="48"/>
        <v>#VALUE!</v>
      </c>
      <c r="J363" s="865">
        <f>SUM($H$19:$H363)</f>
        <v>0</v>
      </c>
    </row>
    <row r="364" spans="1:10">
      <c r="A364" s="863" t="str">
        <f t="shared" si="49"/>
        <v/>
      </c>
      <c r="B364" s="864" t="str">
        <f t="shared" si="45"/>
        <v/>
      </c>
      <c r="C364" s="865" t="str">
        <f t="shared" si="50"/>
        <v/>
      </c>
      <c r="D364" s="865" t="str">
        <f t="shared" si="53"/>
        <v/>
      </c>
      <c r="E364" s="866" t="e">
        <f t="shared" si="46"/>
        <v>#VALUE!</v>
      </c>
      <c r="F364" s="865" t="e">
        <f t="shared" si="47"/>
        <v>#VALUE!</v>
      </c>
      <c r="G364" s="865" t="str">
        <f t="shared" si="51"/>
        <v/>
      </c>
      <c r="H364" s="865" t="str">
        <f t="shared" si="52"/>
        <v/>
      </c>
      <c r="I364" s="865" t="e">
        <f t="shared" si="48"/>
        <v>#VALUE!</v>
      </c>
      <c r="J364" s="865">
        <f>SUM($H$19:$H364)</f>
        <v>0</v>
      </c>
    </row>
    <row r="365" spans="1:10">
      <c r="A365" s="863" t="str">
        <f t="shared" si="49"/>
        <v/>
      </c>
      <c r="B365" s="864" t="str">
        <f t="shared" si="45"/>
        <v/>
      </c>
      <c r="C365" s="865" t="str">
        <f t="shared" si="50"/>
        <v/>
      </c>
      <c r="D365" s="865" t="str">
        <f t="shared" si="53"/>
        <v/>
      </c>
      <c r="E365" s="866" t="e">
        <f t="shared" si="46"/>
        <v>#VALUE!</v>
      </c>
      <c r="F365" s="865" t="e">
        <f t="shared" si="47"/>
        <v>#VALUE!</v>
      </c>
      <c r="G365" s="865" t="str">
        <f t="shared" si="51"/>
        <v/>
      </c>
      <c r="H365" s="865" t="str">
        <f t="shared" si="52"/>
        <v/>
      </c>
      <c r="I365" s="865" t="e">
        <f t="shared" si="48"/>
        <v>#VALUE!</v>
      </c>
      <c r="J365" s="865">
        <f>SUM($H$19:$H365)</f>
        <v>0</v>
      </c>
    </row>
    <row r="366" spans="1:10">
      <c r="A366" s="863" t="str">
        <f t="shared" si="49"/>
        <v/>
      </c>
      <c r="B366" s="864" t="str">
        <f t="shared" si="45"/>
        <v/>
      </c>
      <c r="C366" s="865" t="str">
        <f t="shared" si="50"/>
        <v/>
      </c>
      <c r="D366" s="865" t="str">
        <f t="shared" si="53"/>
        <v/>
      </c>
      <c r="E366" s="866" t="e">
        <f t="shared" si="46"/>
        <v>#VALUE!</v>
      </c>
      <c r="F366" s="865" t="e">
        <f t="shared" si="47"/>
        <v>#VALUE!</v>
      </c>
      <c r="G366" s="865" t="str">
        <f t="shared" si="51"/>
        <v/>
      </c>
      <c r="H366" s="865" t="str">
        <f t="shared" si="52"/>
        <v/>
      </c>
      <c r="I366" s="865" t="e">
        <f t="shared" si="48"/>
        <v>#VALUE!</v>
      </c>
      <c r="J366" s="865">
        <f>SUM($H$19:$H366)</f>
        <v>0</v>
      </c>
    </row>
    <row r="367" spans="1:10">
      <c r="A367" s="863" t="str">
        <f t="shared" si="49"/>
        <v/>
      </c>
      <c r="B367" s="864" t="str">
        <f t="shared" si="45"/>
        <v/>
      </c>
      <c r="C367" s="865" t="str">
        <f t="shared" si="50"/>
        <v/>
      </c>
      <c r="D367" s="865" t="str">
        <f t="shared" si="53"/>
        <v/>
      </c>
      <c r="E367" s="866" t="e">
        <f t="shared" si="46"/>
        <v>#VALUE!</v>
      </c>
      <c r="F367" s="865" t="e">
        <f t="shared" si="47"/>
        <v>#VALUE!</v>
      </c>
      <c r="G367" s="865" t="str">
        <f t="shared" si="51"/>
        <v/>
      </c>
      <c r="H367" s="865" t="str">
        <f t="shared" si="52"/>
        <v/>
      </c>
      <c r="I367" s="865" t="e">
        <f t="shared" si="48"/>
        <v>#VALUE!</v>
      </c>
      <c r="J367" s="865">
        <f>SUM($H$19:$H367)</f>
        <v>0</v>
      </c>
    </row>
    <row r="368" spans="1:10">
      <c r="A368" s="863" t="str">
        <f t="shared" si="49"/>
        <v/>
      </c>
      <c r="B368" s="864" t="str">
        <f t="shared" si="45"/>
        <v/>
      </c>
      <c r="C368" s="865" t="str">
        <f t="shared" si="50"/>
        <v/>
      </c>
      <c r="D368" s="865" t="str">
        <f t="shared" si="53"/>
        <v/>
      </c>
      <c r="E368" s="866" t="e">
        <f t="shared" si="46"/>
        <v>#VALUE!</v>
      </c>
      <c r="F368" s="865" t="e">
        <f t="shared" si="47"/>
        <v>#VALUE!</v>
      </c>
      <c r="G368" s="865" t="str">
        <f t="shared" si="51"/>
        <v/>
      </c>
      <c r="H368" s="865" t="str">
        <f t="shared" si="52"/>
        <v/>
      </c>
      <c r="I368" s="865" t="e">
        <f t="shared" si="48"/>
        <v>#VALUE!</v>
      </c>
      <c r="J368" s="865">
        <f>SUM($H$19:$H368)</f>
        <v>0</v>
      </c>
    </row>
    <row r="369" spans="1:10">
      <c r="A369" s="863" t="str">
        <f t="shared" si="49"/>
        <v/>
      </c>
      <c r="B369" s="864" t="str">
        <f t="shared" si="45"/>
        <v/>
      </c>
      <c r="C369" s="865" t="str">
        <f t="shared" si="50"/>
        <v/>
      </c>
      <c r="D369" s="865" t="str">
        <f t="shared" si="53"/>
        <v/>
      </c>
      <c r="E369" s="866" t="e">
        <f t="shared" si="46"/>
        <v>#VALUE!</v>
      </c>
      <c r="F369" s="865" t="e">
        <f t="shared" si="47"/>
        <v>#VALUE!</v>
      </c>
      <c r="G369" s="865" t="str">
        <f t="shared" si="51"/>
        <v/>
      </c>
      <c r="H369" s="865" t="str">
        <f t="shared" si="52"/>
        <v/>
      </c>
      <c r="I369" s="865" t="e">
        <f t="shared" si="48"/>
        <v>#VALUE!</v>
      </c>
      <c r="J369" s="865">
        <f>SUM($H$19:$H369)</f>
        <v>0</v>
      </c>
    </row>
    <row r="370" spans="1:10">
      <c r="A370" s="863" t="str">
        <f t="shared" si="49"/>
        <v/>
      </c>
      <c r="B370" s="864" t="str">
        <f t="shared" si="45"/>
        <v/>
      </c>
      <c r="C370" s="865" t="str">
        <f t="shared" si="50"/>
        <v/>
      </c>
      <c r="D370" s="865" t="str">
        <f t="shared" si="53"/>
        <v/>
      </c>
      <c r="E370" s="866" t="e">
        <f t="shared" si="46"/>
        <v>#VALUE!</v>
      </c>
      <c r="F370" s="865" t="e">
        <f t="shared" si="47"/>
        <v>#VALUE!</v>
      </c>
      <c r="G370" s="865" t="str">
        <f t="shared" si="51"/>
        <v/>
      </c>
      <c r="H370" s="865" t="str">
        <f t="shared" si="52"/>
        <v/>
      </c>
      <c r="I370" s="865" t="e">
        <f t="shared" si="48"/>
        <v>#VALUE!</v>
      </c>
      <c r="J370" s="865">
        <f>SUM($H$19:$H370)</f>
        <v>0</v>
      </c>
    </row>
    <row r="371" spans="1:10">
      <c r="A371" s="863" t="str">
        <f t="shared" si="49"/>
        <v/>
      </c>
      <c r="B371" s="864" t="str">
        <f t="shared" si="45"/>
        <v/>
      </c>
      <c r="C371" s="865" t="str">
        <f t="shared" si="50"/>
        <v/>
      </c>
      <c r="D371" s="865" t="str">
        <f t="shared" si="53"/>
        <v/>
      </c>
      <c r="E371" s="866" t="e">
        <f t="shared" si="46"/>
        <v>#VALUE!</v>
      </c>
      <c r="F371" s="865" t="e">
        <f t="shared" si="47"/>
        <v>#VALUE!</v>
      </c>
      <c r="G371" s="865" t="str">
        <f t="shared" si="51"/>
        <v/>
      </c>
      <c r="H371" s="865" t="str">
        <f t="shared" si="52"/>
        <v/>
      </c>
      <c r="I371" s="865" t="e">
        <f t="shared" si="48"/>
        <v>#VALUE!</v>
      </c>
      <c r="J371" s="865">
        <f>SUM($H$19:$H371)</f>
        <v>0</v>
      </c>
    </row>
    <row r="372" spans="1:10">
      <c r="A372" s="863" t="str">
        <f t="shared" si="49"/>
        <v/>
      </c>
      <c r="B372" s="864" t="str">
        <f t="shared" si="45"/>
        <v/>
      </c>
      <c r="C372" s="865" t="str">
        <f t="shared" si="50"/>
        <v/>
      </c>
      <c r="D372" s="865" t="str">
        <f t="shared" si="53"/>
        <v/>
      </c>
      <c r="E372" s="866" t="e">
        <f t="shared" si="46"/>
        <v>#VALUE!</v>
      </c>
      <c r="F372" s="865" t="e">
        <f t="shared" si="47"/>
        <v>#VALUE!</v>
      </c>
      <c r="G372" s="865" t="str">
        <f t="shared" si="51"/>
        <v/>
      </c>
      <c r="H372" s="865" t="str">
        <f t="shared" si="52"/>
        <v/>
      </c>
      <c r="I372" s="865" t="e">
        <f t="shared" si="48"/>
        <v>#VALUE!</v>
      </c>
      <c r="J372" s="865">
        <f>SUM($H$19:$H372)</f>
        <v>0</v>
      </c>
    </row>
    <row r="373" spans="1:10">
      <c r="A373" s="863" t="str">
        <f t="shared" si="49"/>
        <v/>
      </c>
      <c r="B373" s="864" t="str">
        <f t="shared" si="45"/>
        <v/>
      </c>
      <c r="C373" s="865" t="str">
        <f t="shared" si="50"/>
        <v/>
      </c>
      <c r="D373" s="865" t="str">
        <f t="shared" si="53"/>
        <v/>
      </c>
      <c r="E373" s="866" t="e">
        <f t="shared" si="46"/>
        <v>#VALUE!</v>
      </c>
      <c r="F373" s="865" t="e">
        <f t="shared" si="47"/>
        <v>#VALUE!</v>
      </c>
      <c r="G373" s="865" t="str">
        <f t="shared" si="51"/>
        <v/>
      </c>
      <c r="H373" s="865" t="str">
        <f t="shared" si="52"/>
        <v/>
      </c>
      <c r="I373" s="865" t="e">
        <f t="shared" si="48"/>
        <v>#VALUE!</v>
      </c>
      <c r="J373" s="865">
        <f>SUM($H$19:$H373)</f>
        <v>0</v>
      </c>
    </row>
    <row r="374" spans="1:10">
      <c r="A374" s="863" t="str">
        <f t="shared" si="49"/>
        <v/>
      </c>
      <c r="B374" s="864" t="str">
        <f t="shared" si="45"/>
        <v/>
      </c>
      <c r="C374" s="865" t="str">
        <f t="shared" si="50"/>
        <v/>
      </c>
      <c r="D374" s="865" t="str">
        <f t="shared" si="53"/>
        <v/>
      </c>
      <c r="E374" s="866" t="e">
        <f t="shared" si="46"/>
        <v>#VALUE!</v>
      </c>
      <c r="F374" s="865" t="e">
        <f t="shared" si="47"/>
        <v>#VALUE!</v>
      </c>
      <c r="G374" s="865" t="str">
        <f t="shared" si="51"/>
        <v/>
      </c>
      <c r="H374" s="865" t="str">
        <f t="shared" si="52"/>
        <v/>
      </c>
      <c r="I374" s="865" t="e">
        <f t="shared" si="48"/>
        <v>#VALUE!</v>
      </c>
      <c r="J374" s="865">
        <f>SUM($H$19:$H374)</f>
        <v>0</v>
      </c>
    </row>
    <row r="375" spans="1:10">
      <c r="A375" s="863" t="str">
        <f t="shared" si="49"/>
        <v/>
      </c>
      <c r="B375" s="864" t="str">
        <f t="shared" si="45"/>
        <v/>
      </c>
      <c r="C375" s="865" t="str">
        <f t="shared" si="50"/>
        <v/>
      </c>
      <c r="D375" s="865" t="str">
        <f t="shared" si="53"/>
        <v/>
      </c>
      <c r="E375" s="866" t="e">
        <f t="shared" si="46"/>
        <v>#VALUE!</v>
      </c>
      <c r="F375" s="865" t="e">
        <f t="shared" si="47"/>
        <v>#VALUE!</v>
      </c>
      <c r="G375" s="865" t="str">
        <f t="shared" si="51"/>
        <v/>
      </c>
      <c r="H375" s="865" t="str">
        <f t="shared" si="52"/>
        <v/>
      </c>
      <c r="I375" s="865" t="e">
        <f t="shared" si="48"/>
        <v>#VALUE!</v>
      </c>
      <c r="J375" s="865">
        <f>SUM($H$19:$H375)</f>
        <v>0</v>
      </c>
    </row>
    <row r="376" spans="1:10">
      <c r="A376" s="863" t="str">
        <f t="shared" si="49"/>
        <v/>
      </c>
      <c r="B376" s="864" t="str">
        <f t="shared" si="45"/>
        <v/>
      </c>
      <c r="C376" s="865" t="str">
        <f t="shared" si="50"/>
        <v/>
      </c>
      <c r="D376" s="865" t="str">
        <f t="shared" si="53"/>
        <v/>
      </c>
      <c r="E376" s="866" t="e">
        <f t="shared" si="46"/>
        <v>#VALUE!</v>
      </c>
      <c r="F376" s="865" t="e">
        <f t="shared" si="47"/>
        <v>#VALUE!</v>
      </c>
      <c r="G376" s="865" t="str">
        <f t="shared" si="51"/>
        <v/>
      </c>
      <c r="H376" s="865" t="str">
        <f t="shared" si="52"/>
        <v/>
      </c>
      <c r="I376" s="865" t="e">
        <f t="shared" si="48"/>
        <v>#VALUE!</v>
      </c>
      <c r="J376" s="865">
        <f>SUM($H$19:$H376)</f>
        <v>0</v>
      </c>
    </row>
    <row r="377" spans="1:10">
      <c r="A377" s="863" t="str">
        <f t="shared" si="49"/>
        <v/>
      </c>
      <c r="B377" s="864" t="str">
        <f t="shared" si="45"/>
        <v/>
      </c>
      <c r="C377" s="865" t="str">
        <f t="shared" si="50"/>
        <v/>
      </c>
      <c r="D377" s="865" t="str">
        <f t="shared" si="53"/>
        <v/>
      </c>
      <c r="E377" s="866" t="e">
        <f t="shared" si="46"/>
        <v>#VALUE!</v>
      </c>
      <c r="F377" s="865" t="e">
        <f t="shared" si="47"/>
        <v>#VALUE!</v>
      </c>
      <c r="G377" s="865" t="str">
        <f t="shared" si="51"/>
        <v/>
      </c>
      <c r="H377" s="865" t="str">
        <f t="shared" si="52"/>
        <v/>
      </c>
      <c r="I377" s="865" t="e">
        <f t="shared" si="48"/>
        <v>#VALUE!</v>
      </c>
      <c r="J377" s="865">
        <f>SUM($H$19:$H377)</f>
        <v>0</v>
      </c>
    </row>
    <row r="378" spans="1:10">
      <c r="A378" s="863" t="str">
        <f t="shared" si="49"/>
        <v/>
      </c>
      <c r="B378" s="864" t="str">
        <f t="shared" si="45"/>
        <v/>
      </c>
      <c r="C378" s="865" t="str">
        <f t="shared" si="50"/>
        <v/>
      </c>
      <c r="D378" s="865" t="str">
        <f t="shared" si="53"/>
        <v/>
      </c>
      <c r="E378" s="866" t="e">
        <f t="shared" si="46"/>
        <v>#VALUE!</v>
      </c>
      <c r="F378" s="865" t="e">
        <f t="shared" si="47"/>
        <v>#VALUE!</v>
      </c>
      <c r="G378" s="865" t="str">
        <f t="shared" si="51"/>
        <v/>
      </c>
      <c r="H378" s="865" t="str">
        <f t="shared" si="52"/>
        <v/>
      </c>
      <c r="I378" s="865" t="e">
        <f t="shared" si="48"/>
        <v>#VALUE!</v>
      </c>
      <c r="J378" s="865">
        <f>SUM($H$19:$H378)</f>
        <v>0</v>
      </c>
    </row>
    <row r="379" spans="1:10">
      <c r="B379" s="835"/>
      <c r="C379" s="835"/>
      <c r="D379" s="835"/>
      <c r="E379" s="835"/>
      <c r="F379" s="835"/>
      <c r="G379" s="835"/>
      <c r="H379" s="835"/>
      <c r="I379" s="835"/>
      <c r="J379" s="835"/>
    </row>
  </sheetData>
  <sheetProtection algorithmName="SHA-512" hashValue="T1g1BL+XgkKhVMN+Hw9hwDFlLYn23EZIQTksA7JjRdYlNfy1e+6iER/Vg3LFcs7FZ1//GeP2uWt1tsuNsxTtJQ==" saltValue="MAClRvZzHzZPntNPqn1GwQ==" spinCount="100000" sheet="1" scenarios="1" formatCells="0" formatColumns="0" formatRows="0"/>
  <customSheetViews>
    <customSheetView guid="{6E1FDEE6-49D0-4876-8C7C-09893145D2CE}" showGridLines="0" printArea="1" hiddenRows="1" state="hidden">
      <selection activeCell="K4" sqref="K4:M4"/>
      <pageMargins left="0" right="0" top="0" bottom="0" header="0" footer="0"/>
      <printOptions horizontalCentered="1"/>
      <pageSetup scale="80" orientation="landscape" r:id="rId1"/>
      <headerFooter alignWithMargins="0"/>
    </customSheetView>
    <customSheetView guid="{DB1F6E98-7FCC-445F-9DA6-47D8BF8BE969}" showGridLines="0" printArea="1" hiddenRows="1" state="hidden">
      <selection activeCell="K4" sqref="K4:M4"/>
      <pageMargins left="0" right="0" top="0" bottom="0" header="0" footer="0"/>
      <printOptions horizontalCentered="1"/>
      <pageSetup scale="80" orientation="landscape" r:id="rId2"/>
      <headerFooter alignWithMargins="0"/>
    </customSheetView>
    <customSheetView guid="{C02CA8E5-5D4C-45E5-BC4A-4C9BE481059B}" showGridLines="0" printArea="1" hiddenRows="1" state="hidden">
      <selection activeCell="G25" sqref="G25"/>
      <pageMargins left="0" right="0" top="0" bottom="0" header="0" footer="0"/>
      <printOptions horizontalCentered="1"/>
      <pageSetup scale="80" orientation="landscape" r:id="rId3"/>
      <headerFooter alignWithMargins="0"/>
    </customSheetView>
  </customSheetViews>
  <mergeCells count="4">
    <mergeCell ref="A2:D2"/>
    <mergeCell ref="B5:D5"/>
    <mergeCell ref="F5:H5"/>
    <mergeCell ref="C13:D13"/>
  </mergeCells>
  <conditionalFormatting sqref="A19:E378">
    <cfRule type="expression" dxfId="5" priority="1" stopIfTrue="1">
      <formula>IF(ROW(A19)&gt;Last_Row,TRUE, FALSE)</formula>
    </cfRule>
    <cfRule type="expression" dxfId="4" priority="2" stopIfTrue="1">
      <formula>IF(ROW(A19)=Last_Row,TRUE, FALSE)</formula>
    </cfRule>
    <cfRule type="expression" dxfId="3" priority="3" stopIfTrue="1">
      <formula>IF(ROW(A19)&lt;Last_Row,TRUE, FALSE)</formula>
    </cfRule>
  </conditionalFormatting>
  <conditionalFormatting sqref="F19:J378">
    <cfRule type="expression" dxfId="2" priority="4" stopIfTrue="1">
      <formula>IF(ROW(F19)&gt;Last_Row,TRUE, FALSE)</formula>
    </cfRule>
    <cfRule type="expression" dxfId="1" priority="5" stopIfTrue="1">
      <formula>IF(ROW(F19)=Last_Row,TRUE, FALSE)</formula>
    </cfRule>
    <cfRule type="expression" dxfId="0" priority="6" stopIfTrue="1">
      <formula>IF(ROW(F19)&lt;=Last_Row,TRUE, FALSE)</formula>
    </cfRule>
  </conditionalFormatting>
  <dataValidations count="3">
    <dataValidation type="whole" allowBlank="1" showInputMessage="1" showErrorMessage="1" errorTitle="Years" error="Please enter a whole number of years from 1 to 30." sqref="D8" xr:uid="{00000000-0002-0000-3700-000000000000}">
      <formula1>0</formula1>
      <formula2>30</formula2>
    </dataValidation>
    <dataValidation type="date" operator="greaterThanOrEqual" allowBlank="1" showInputMessage="1" showErrorMessage="1" errorTitle="Date" error="Please enter a valid date greater than or equal to January 1, 1900." sqref="D9:D10" xr:uid="{00000000-0002-0000-3700-000001000000}">
      <formula1>1</formula1>
    </dataValidation>
    <dataValidation allowBlank="1" showInputMessage="1" showErrorMessage="1" promptTitle="Extra Payments" prompt="Enter an amount here if you want to make additional principal payments every pay period._x000a__x000a_For occasional extra payments, enter the extra principal amounts directly in the 'Extra Payment' column below." sqref="D11" xr:uid="{00000000-0002-0000-3700-000002000000}"/>
  </dataValidations>
  <hyperlinks>
    <hyperlink ref="L4" location="Index!A1" display="Index" xr:uid="{B2B3931B-0649-4864-9618-C7619AF79613}"/>
  </hyperlinks>
  <printOptions horizontalCentered="1"/>
  <pageMargins left="0.75" right="0.5" top="0.5" bottom="0.5" header="0.5" footer="0.5"/>
  <pageSetup scale="80" orientation="landscape" r:id="rId4"/>
  <headerFooter alignWithMargins="0"/>
  <drawing r:id="rId5"/>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31">
    <tabColor theme="5"/>
  </sheetPr>
  <dimension ref="A1:J84"/>
  <sheetViews>
    <sheetView zoomScaleNormal="100" workbookViewId="0">
      <selection activeCell="F18" sqref="F18"/>
    </sheetView>
  </sheetViews>
  <sheetFormatPr baseColWidth="10" defaultColWidth="9.1640625" defaultRowHeight="15"/>
  <cols>
    <col min="1" max="1" width="18.83203125" bestFit="1" customWidth="1"/>
    <col min="2" max="2" width="29.5" bestFit="1" customWidth="1"/>
    <col min="3" max="3" width="18.6640625" bestFit="1" customWidth="1"/>
    <col min="4" max="4" width="16.33203125" bestFit="1" customWidth="1"/>
    <col min="5" max="5" width="19" bestFit="1" customWidth="1"/>
    <col min="6" max="6" width="16" bestFit="1" customWidth="1"/>
  </cols>
  <sheetData>
    <row r="1" spans="1:10">
      <c r="A1" s="59" t="s">
        <v>98</v>
      </c>
      <c r="B1" s="59" t="s">
        <v>1545</v>
      </c>
      <c r="C1" s="59" t="s">
        <v>1546</v>
      </c>
      <c r="D1" s="59" t="s">
        <v>1547</v>
      </c>
      <c r="E1" s="59" t="s">
        <v>1548</v>
      </c>
      <c r="F1" s="59" t="s">
        <v>336</v>
      </c>
      <c r="H1" s="1741"/>
      <c r="I1" s="1741"/>
      <c r="J1" s="1741"/>
    </row>
    <row r="2" spans="1:10">
      <c r="H2" s="2901"/>
      <c r="I2" s="2901"/>
      <c r="J2" s="2901"/>
    </row>
    <row r="3" spans="1:10">
      <c r="A3" t="s">
        <v>1549</v>
      </c>
      <c r="B3" t="s">
        <v>327</v>
      </c>
      <c r="C3" t="s">
        <v>180</v>
      </c>
      <c r="D3" t="s">
        <v>1550</v>
      </c>
      <c r="E3" t="s">
        <v>1551</v>
      </c>
      <c r="F3" t="s">
        <v>1552</v>
      </c>
      <c r="H3" s="2901"/>
      <c r="I3" s="2901"/>
      <c r="J3" s="2901"/>
    </row>
    <row r="4" spans="1:10">
      <c r="A4" t="s">
        <v>1553</v>
      </c>
      <c r="B4" t="s">
        <v>109</v>
      </c>
      <c r="C4" t="s">
        <v>123</v>
      </c>
      <c r="D4" t="s">
        <v>358</v>
      </c>
      <c r="E4" t="s">
        <v>1554</v>
      </c>
      <c r="F4" t="s">
        <v>1555</v>
      </c>
      <c r="H4" s="2901"/>
      <c r="I4" s="2901"/>
      <c r="J4" s="2901"/>
    </row>
    <row r="5" spans="1:10">
      <c r="A5" t="s">
        <v>1556</v>
      </c>
      <c r="B5" t="s">
        <v>1557</v>
      </c>
      <c r="C5" t="s">
        <v>327</v>
      </c>
      <c r="D5" t="s">
        <v>1558</v>
      </c>
      <c r="E5" t="s">
        <v>1559</v>
      </c>
      <c r="F5" t="s">
        <v>99</v>
      </c>
      <c r="H5" s="2901"/>
      <c r="I5" s="2901"/>
      <c r="J5" s="2901"/>
    </row>
    <row r="6" spans="1:10">
      <c r="A6" t="s">
        <v>1560</v>
      </c>
      <c r="B6" s="6">
        <v>504</v>
      </c>
      <c r="E6" t="s">
        <v>1561</v>
      </c>
      <c r="F6" t="s">
        <v>1562</v>
      </c>
    </row>
    <row r="7" spans="1:10">
      <c r="A7" t="s">
        <v>1563</v>
      </c>
      <c r="B7" t="s">
        <v>1564</v>
      </c>
      <c r="C7" s="59" t="s">
        <v>387</v>
      </c>
      <c r="E7" t="s">
        <v>1565</v>
      </c>
      <c r="F7" t="s">
        <v>1566</v>
      </c>
    </row>
    <row r="8" spans="1:10">
      <c r="A8" t="s">
        <v>1567</v>
      </c>
      <c r="B8" t="s">
        <v>1568</v>
      </c>
      <c r="E8" t="s">
        <v>1569</v>
      </c>
      <c r="F8" t="s">
        <v>1570</v>
      </c>
    </row>
    <row r="9" spans="1:10">
      <c r="A9" t="s">
        <v>1571</v>
      </c>
      <c r="B9" t="s">
        <v>1572</v>
      </c>
      <c r="C9" t="s">
        <v>1573</v>
      </c>
      <c r="E9" t="s">
        <v>1574</v>
      </c>
      <c r="F9" t="s">
        <v>1575</v>
      </c>
    </row>
    <row r="10" spans="1:10">
      <c r="A10" t="s">
        <v>1576</v>
      </c>
      <c r="C10" t="s">
        <v>1577</v>
      </c>
      <c r="D10" s="59" t="s">
        <v>1578</v>
      </c>
      <c r="E10" t="s">
        <v>1579</v>
      </c>
      <c r="F10" t="s">
        <v>1580</v>
      </c>
    </row>
    <row r="11" spans="1:10">
      <c r="A11" t="s">
        <v>1581</v>
      </c>
      <c r="E11" t="s">
        <v>1582</v>
      </c>
      <c r="F11" t="s">
        <v>1583</v>
      </c>
    </row>
    <row r="12" spans="1:10">
      <c r="A12" t="s">
        <v>1584</v>
      </c>
      <c r="D12" s="1733" t="s">
        <v>1585</v>
      </c>
      <c r="F12" t="s">
        <v>1586</v>
      </c>
    </row>
    <row r="13" spans="1:10">
      <c r="A13" t="s">
        <v>1587</v>
      </c>
      <c r="D13" s="1733" t="s">
        <v>1588</v>
      </c>
      <c r="F13" t="s">
        <v>1589</v>
      </c>
    </row>
    <row r="14" spans="1:10">
      <c r="F14" t="s">
        <v>1590</v>
      </c>
    </row>
    <row r="15" spans="1:10">
      <c r="A15" s="1734" t="s">
        <v>1591</v>
      </c>
      <c r="B15" s="59" t="s">
        <v>1592</v>
      </c>
      <c r="C15" s="59" t="s">
        <v>339</v>
      </c>
      <c r="D15" s="59" t="s">
        <v>185</v>
      </c>
      <c r="E15" s="59" t="s">
        <v>188</v>
      </c>
      <c r="F15" t="s">
        <v>1593</v>
      </c>
    </row>
    <row r="16" spans="1:10">
      <c r="A16" s="1735"/>
      <c r="F16" t="s">
        <v>1594</v>
      </c>
    </row>
    <row r="17" spans="1:10">
      <c r="A17" t="s">
        <v>1595</v>
      </c>
      <c r="B17" t="s">
        <v>327</v>
      </c>
      <c r="C17">
        <v>1</v>
      </c>
      <c r="D17" t="s">
        <v>186</v>
      </c>
      <c r="E17" t="s">
        <v>924</v>
      </c>
      <c r="F17" t="s">
        <v>1596</v>
      </c>
    </row>
    <row r="18" spans="1:10">
      <c r="A18" s="1736" t="s">
        <v>1597</v>
      </c>
      <c r="B18" t="s">
        <v>1598</v>
      </c>
      <c r="C18">
        <v>2</v>
      </c>
      <c r="D18" t="s">
        <v>1599</v>
      </c>
      <c r="E18" t="s">
        <v>1600</v>
      </c>
      <c r="F18" t="s">
        <v>1601</v>
      </c>
      <c r="H18" s="874"/>
      <c r="I18" s="874"/>
      <c r="J18" s="874"/>
    </row>
    <row r="19" spans="1:10">
      <c r="A19" s="1736" t="s">
        <v>1602</v>
      </c>
      <c r="B19" t="s">
        <v>1603</v>
      </c>
      <c r="C19">
        <v>3</v>
      </c>
      <c r="D19" t="s">
        <v>1604</v>
      </c>
      <c r="E19" t="s">
        <v>1605</v>
      </c>
    </row>
    <row r="20" spans="1:10">
      <c r="A20" s="1736" t="s">
        <v>1606</v>
      </c>
      <c r="B20" s="6">
        <v>504</v>
      </c>
      <c r="C20">
        <v>4</v>
      </c>
      <c r="D20" t="s">
        <v>1607</v>
      </c>
      <c r="E20" t="s">
        <v>218</v>
      </c>
    </row>
    <row r="21" spans="1:10">
      <c r="A21" s="1736" t="s">
        <v>1608</v>
      </c>
      <c r="B21" t="s">
        <v>1564</v>
      </c>
      <c r="C21">
        <v>5</v>
      </c>
      <c r="D21" t="s">
        <v>187</v>
      </c>
      <c r="F21" s="59" t="s">
        <v>1609</v>
      </c>
    </row>
    <row r="22" spans="1:10">
      <c r="A22" s="1736" t="s">
        <v>1610</v>
      </c>
      <c r="C22">
        <v>5.5</v>
      </c>
      <c r="D22" t="s">
        <v>1611</v>
      </c>
    </row>
    <row r="23" spans="1:10">
      <c r="A23" s="1736" t="s">
        <v>1612</v>
      </c>
      <c r="C23">
        <v>6</v>
      </c>
      <c r="D23" t="s">
        <v>1613</v>
      </c>
      <c r="F23" t="s">
        <v>1614</v>
      </c>
    </row>
    <row r="24" spans="1:10">
      <c r="A24" s="1736" t="s">
        <v>474</v>
      </c>
      <c r="C24">
        <v>7</v>
      </c>
      <c r="D24" t="s">
        <v>218</v>
      </c>
      <c r="F24" t="s">
        <v>1615</v>
      </c>
    </row>
    <row r="25" spans="1:10">
      <c r="A25" s="1736" t="s">
        <v>1616</v>
      </c>
      <c r="C25">
        <v>8</v>
      </c>
      <c r="F25" t="s">
        <v>1617</v>
      </c>
    </row>
    <row r="26" spans="1:10">
      <c r="A26" t="s">
        <v>1618</v>
      </c>
      <c r="C26">
        <v>9</v>
      </c>
    </row>
    <row r="28" spans="1:10">
      <c r="F28" s="59" t="s">
        <v>371</v>
      </c>
    </row>
    <row r="29" spans="1:10">
      <c r="A29" s="59" t="s">
        <v>374</v>
      </c>
      <c r="B29" s="59" t="s">
        <v>663</v>
      </c>
      <c r="D29" s="59" t="s">
        <v>664</v>
      </c>
      <c r="E29" s="59" t="s">
        <v>310</v>
      </c>
    </row>
    <row r="30" spans="1:10">
      <c r="C30" s="59" t="s">
        <v>1619</v>
      </c>
      <c r="F30" t="s">
        <v>1598</v>
      </c>
    </row>
    <row r="31" spans="1:10">
      <c r="A31" t="s">
        <v>1620</v>
      </c>
      <c r="B31" t="s">
        <v>1621</v>
      </c>
      <c r="D31" t="s">
        <v>1622</v>
      </c>
      <c r="E31" t="s">
        <v>103</v>
      </c>
      <c r="F31" t="s">
        <v>1623</v>
      </c>
    </row>
    <row r="32" spans="1:10">
      <c r="A32" t="s">
        <v>1624</v>
      </c>
      <c r="B32" t="s">
        <v>1625</v>
      </c>
      <c r="C32" t="s">
        <v>1626</v>
      </c>
      <c r="D32" t="s">
        <v>1627</v>
      </c>
      <c r="E32" t="s">
        <v>718</v>
      </c>
    </row>
    <row r="33" spans="1:6">
      <c r="A33" t="s">
        <v>1628</v>
      </c>
      <c r="B33" t="s">
        <v>1629</v>
      </c>
      <c r="C33" t="s">
        <v>1630</v>
      </c>
      <c r="D33" t="s">
        <v>1631</v>
      </c>
      <c r="E33" t="s">
        <v>1632</v>
      </c>
    </row>
    <row r="34" spans="1:6">
      <c r="A34" t="s">
        <v>218</v>
      </c>
      <c r="B34" t="s">
        <v>1633</v>
      </c>
      <c r="C34" t="s">
        <v>1634</v>
      </c>
      <c r="D34" t="s">
        <v>1635</v>
      </c>
      <c r="E34" t="s">
        <v>1636</v>
      </c>
    </row>
    <row r="35" spans="1:6">
      <c r="B35" t="s">
        <v>1637</v>
      </c>
      <c r="D35" t="s">
        <v>1638</v>
      </c>
      <c r="E35" t="s">
        <v>1639</v>
      </c>
    </row>
    <row r="36" spans="1:6">
      <c r="D36" t="s">
        <v>1640</v>
      </c>
      <c r="E36" t="s">
        <v>1641</v>
      </c>
      <c r="F36" s="59" t="s">
        <v>673</v>
      </c>
    </row>
    <row r="37" spans="1:6">
      <c r="D37" t="s">
        <v>1642</v>
      </c>
      <c r="E37" t="s">
        <v>1643</v>
      </c>
    </row>
    <row r="38" spans="1:6">
      <c r="A38" s="59" t="s">
        <v>1644</v>
      </c>
      <c r="B38" s="59" t="s">
        <v>1645</v>
      </c>
      <c r="D38" t="s">
        <v>1646</v>
      </c>
      <c r="E38" t="s">
        <v>218</v>
      </c>
      <c r="F38" t="s">
        <v>1647</v>
      </c>
    </row>
    <row r="39" spans="1:6">
      <c r="D39" t="s">
        <v>1648</v>
      </c>
      <c r="E39" s="59" t="s">
        <v>1649</v>
      </c>
      <c r="F39" t="s">
        <v>1650</v>
      </c>
    </row>
    <row r="40" spans="1:6">
      <c r="A40" t="s">
        <v>1651</v>
      </c>
      <c r="B40" t="s">
        <v>1652</v>
      </c>
      <c r="D40" t="s">
        <v>1653</v>
      </c>
      <c r="F40" t="s">
        <v>1654</v>
      </c>
    </row>
    <row r="41" spans="1:6">
      <c r="A41" t="s">
        <v>1490</v>
      </c>
      <c r="B41" t="s">
        <v>1655</v>
      </c>
      <c r="D41" t="s">
        <v>1656</v>
      </c>
      <c r="E41" t="s">
        <v>1657</v>
      </c>
      <c r="F41" t="s">
        <v>1658</v>
      </c>
    </row>
    <row r="42" spans="1:6">
      <c r="A42" t="s">
        <v>1659</v>
      </c>
      <c r="B42" t="s">
        <v>1660</v>
      </c>
      <c r="D42" t="s">
        <v>1661</v>
      </c>
      <c r="E42" t="s">
        <v>1662</v>
      </c>
      <c r="F42" t="s">
        <v>1663</v>
      </c>
    </row>
    <row r="43" spans="1:6">
      <c r="D43" t="s">
        <v>1664</v>
      </c>
      <c r="E43" t="s">
        <v>1665</v>
      </c>
      <c r="F43" t="s">
        <v>1666</v>
      </c>
    </row>
    <row r="44" spans="1:6">
      <c r="A44" s="59"/>
      <c r="D44" t="s">
        <v>1667</v>
      </c>
      <c r="E44" t="s">
        <v>1668</v>
      </c>
      <c r="F44" t="s">
        <v>1669</v>
      </c>
    </row>
    <row r="45" spans="1:6">
      <c r="C45" s="59" t="s">
        <v>1670</v>
      </c>
      <c r="D45" t="s">
        <v>218</v>
      </c>
      <c r="E45" t="s">
        <v>1671</v>
      </c>
      <c r="F45" t="s">
        <v>1672</v>
      </c>
    </row>
    <row r="46" spans="1:6">
      <c r="A46" s="59"/>
      <c r="E46" t="s">
        <v>1673</v>
      </c>
      <c r="F46" t="s">
        <v>1674</v>
      </c>
    </row>
    <row r="47" spans="1:6">
      <c r="A47" s="59" t="s">
        <v>566</v>
      </c>
      <c r="B47" s="59" t="s">
        <v>1675</v>
      </c>
      <c r="C47" t="s">
        <v>327</v>
      </c>
      <c r="E47" t="s">
        <v>218</v>
      </c>
      <c r="F47" t="s">
        <v>218</v>
      </c>
    </row>
    <row r="48" spans="1:6">
      <c r="C48" t="s">
        <v>1676</v>
      </c>
      <c r="E48" t="s">
        <v>1677</v>
      </c>
      <c r="F48" t="s">
        <v>1677</v>
      </c>
    </row>
    <row r="49" spans="1:6">
      <c r="A49" s="79">
        <v>10</v>
      </c>
      <c r="B49" t="s">
        <v>1678</v>
      </c>
      <c r="C49" t="s">
        <v>106</v>
      </c>
    </row>
    <row r="50" spans="1:6">
      <c r="A50" s="79">
        <v>20</v>
      </c>
      <c r="B50" t="s">
        <v>1679</v>
      </c>
      <c r="C50" t="s">
        <v>1680</v>
      </c>
    </row>
    <row r="51" spans="1:6">
      <c r="A51" s="79">
        <v>25</v>
      </c>
      <c r="B51" t="s">
        <v>1681</v>
      </c>
      <c r="D51" s="59" t="s">
        <v>1682</v>
      </c>
    </row>
    <row r="52" spans="1:6">
      <c r="B52" t="s">
        <v>1683</v>
      </c>
      <c r="C52" s="59" t="s">
        <v>1684</v>
      </c>
      <c r="E52" s="59" t="s">
        <v>373</v>
      </c>
      <c r="F52" s="59" t="s">
        <v>665</v>
      </c>
    </row>
    <row r="53" spans="1:6">
      <c r="A53" s="59" t="s">
        <v>1685</v>
      </c>
      <c r="B53" t="s">
        <v>1686</v>
      </c>
      <c r="D53" t="s">
        <v>327</v>
      </c>
    </row>
    <row r="54" spans="1:6">
      <c r="B54" t="s">
        <v>1687</v>
      </c>
      <c r="C54" t="s">
        <v>327</v>
      </c>
      <c r="D54" t="s">
        <v>1688</v>
      </c>
      <c r="E54" t="s">
        <v>1689</v>
      </c>
      <c r="F54" t="s">
        <v>1690</v>
      </c>
    </row>
    <row r="55" spans="1:6">
      <c r="A55" t="s">
        <v>166</v>
      </c>
      <c r="C55" t="s">
        <v>1691</v>
      </c>
      <c r="D55" t="s">
        <v>1692</v>
      </c>
      <c r="E55" t="s">
        <v>1693</v>
      </c>
      <c r="F55" t="s">
        <v>1694</v>
      </c>
    </row>
    <row r="56" spans="1:6">
      <c r="A56" t="s">
        <v>466</v>
      </c>
      <c r="C56" t="s">
        <v>1695</v>
      </c>
      <c r="D56" t="s">
        <v>1696</v>
      </c>
      <c r="F56" t="s">
        <v>1697</v>
      </c>
    </row>
    <row r="57" spans="1:6">
      <c r="C57" t="s">
        <v>1698</v>
      </c>
      <c r="D57" t="s">
        <v>1699</v>
      </c>
    </row>
    <row r="58" spans="1:6">
      <c r="D58" t="s">
        <v>1700</v>
      </c>
    </row>
    <row r="59" spans="1:6">
      <c r="F59" s="59" t="s">
        <v>1701</v>
      </c>
    </row>
    <row r="60" spans="1:6">
      <c r="A60" s="59" t="s">
        <v>372</v>
      </c>
      <c r="B60" s="59" t="s">
        <v>1702</v>
      </c>
      <c r="D60" s="59" t="s">
        <v>1703</v>
      </c>
      <c r="E60" s="59" t="s">
        <v>1704</v>
      </c>
    </row>
    <row r="61" spans="1:6">
      <c r="C61" s="59" t="s">
        <v>117</v>
      </c>
      <c r="F61" t="s">
        <v>114</v>
      </c>
    </row>
    <row r="62" spans="1:6">
      <c r="A62" t="s">
        <v>327</v>
      </c>
      <c r="B62" t="s">
        <v>1705</v>
      </c>
      <c r="C62" s="24"/>
      <c r="D62" t="s">
        <v>327</v>
      </c>
      <c r="E62" t="s">
        <v>1706</v>
      </c>
      <c r="F62" t="s">
        <v>124</v>
      </c>
    </row>
    <row r="63" spans="1:6">
      <c r="A63" t="s">
        <v>1707</v>
      </c>
      <c r="B63" t="s">
        <v>1708</v>
      </c>
      <c r="C63" s="24" t="s">
        <v>178</v>
      </c>
      <c r="D63" t="s">
        <v>1709</v>
      </c>
    </row>
    <row r="64" spans="1:6">
      <c r="A64" t="s">
        <v>1710</v>
      </c>
      <c r="B64" t="s">
        <v>218</v>
      </c>
      <c r="C64" s="24" t="s">
        <v>118</v>
      </c>
      <c r="D64" t="s">
        <v>1711</v>
      </c>
    </row>
    <row r="65" spans="1:6">
      <c r="A65" t="s">
        <v>1712</v>
      </c>
      <c r="C65" s="24" t="s">
        <v>181</v>
      </c>
    </row>
    <row r="66" spans="1:6">
      <c r="A66" t="s">
        <v>1713</v>
      </c>
    </row>
    <row r="67" spans="1:6">
      <c r="A67" t="s">
        <v>1714</v>
      </c>
      <c r="F67" s="59" t="s">
        <v>1715</v>
      </c>
    </row>
    <row r="68" spans="1:6">
      <c r="A68" t="s">
        <v>1716</v>
      </c>
      <c r="F68" s="79"/>
    </row>
    <row r="69" spans="1:6">
      <c r="F69" s="1737">
        <f>'Break Even'!D4</f>
        <v>45657</v>
      </c>
    </row>
    <row r="70" spans="1:6">
      <c r="A70" s="59" t="s">
        <v>345</v>
      </c>
      <c r="B70" s="59" t="s">
        <v>1717</v>
      </c>
      <c r="C70" s="59" t="s">
        <v>1718</v>
      </c>
      <c r="D70" s="59" t="s">
        <v>1719</v>
      </c>
      <c r="E70" s="59" t="s">
        <v>1720</v>
      </c>
      <c r="F70" s="79" t="str">
        <f>'Break Even'!F4</f>
        <v>Borrower 
Year 1</v>
      </c>
    </row>
    <row r="71" spans="1:6">
      <c r="F71" s="79" t="str">
        <f>'Break Even'!H4</f>
        <v>Appraisal Proj</v>
      </c>
    </row>
    <row r="72" spans="1:6">
      <c r="A72" t="s">
        <v>758</v>
      </c>
      <c r="B72" t="s">
        <v>692</v>
      </c>
      <c r="C72" s="1738">
        <v>0.65</v>
      </c>
      <c r="D72" s="1739" t="s">
        <v>1721</v>
      </c>
      <c r="E72" s="1739" t="s">
        <v>1722</v>
      </c>
      <c r="F72" s="79" t="str">
        <f>'Break Even'!J4</f>
        <v>Bank 
Adjusted</v>
      </c>
    </row>
    <row r="73" spans="1:6">
      <c r="A73" t="s">
        <v>1723</v>
      </c>
      <c r="B73" t="s">
        <v>693</v>
      </c>
      <c r="C73" s="1738">
        <v>0.75</v>
      </c>
      <c r="D73" s="1739" t="s">
        <v>1724</v>
      </c>
      <c r="E73" s="1739" t="s">
        <v>1725</v>
      </c>
    </row>
    <row r="74" spans="1:6">
      <c r="A74" t="s">
        <v>1726</v>
      </c>
      <c r="B74" t="s">
        <v>694</v>
      </c>
      <c r="C74" s="1738">
        <v>0.8</v>
      </c>
      <c r="D74" s="1739" t="s">
        <v>1727</v>
      </c>
      <c r="E74" s="1739" t="s">
        <v>1728</v>
      </c>
      <c r="F74" s="59" t="s">
        <v>1729</v>
      </c>
    </row>
    <row r="75" spans="1:6">
      <c r="A75" t="s">
        <v>760</v>
      </c>
      <c r="C75" s="1738">
        <v>0.85</v>
      </c>
      <c r="D75" s="1739" t="s">
        <v>1730</v>
      </c>
      <c r="E75" s="1739" t="s">
        <v>1731</v>
      </c>
    </row>
    <row r="76" spans="1:6">
      <c r="D76" s="1739" t="s">
        <v>1732</v>
      </c>
      <c r="E76" s="1739" t="s">
        <v>1733</v>
      </c>
      <c r="F76" t="s">
        <v>1734</v>
      </c>
    </row>
    <row r="77" spans="1:6">
      <c r="D77" s="1739" t="s">
        <v>1735</v>
      </c>
      <c r="F77" t="s">
        <v>1551</v>
      </c>
    </row>
    <row r="78" spans="1:6">
      <c r="F78" t="s">
        <v>1552</v>
      </c>
    </row>
    <row r="79" spans="1:6">
      <c r="A79" s="59" t="s">
        <v>524</v>
      </c>
      <c r="B79" s="59"/>
      <c r="F79" t="s">
        <v>1736</v>
      </c>
    </row>
    <row r="80" spans="1:6">
      <c r="F80" t="s">
        <v>1737</v>
      </c>
    </row>
    <row r="81" spans="1:6">
      <c r="A81" t="s">
        <v>1738</v>
      </c>
      <c r="F81" t="s">
        <v>1739</v>
      </c>
    </row>
    <row r="82" spans="1:6">
      <c r="A82" t="s">
        <v>1740</v>
      </c>
      <c r="F82" t="s">
        <v>1741</v>
      </c>
    </row>
    <row r="83" spans="1:6">
      <c r="A83" t="s">
        <v>1742</v>
      </c>
      <c r="F83" t="s">
        <v>1743</v>
      </c>
    </row>
    <row r="84" spans="1:6">
      <c r="F84" t="s">
        <v>1744</v>
      </c>
    </row>
  </sheetData>
  <sheetProtection algorithmName="SHA-512" hashValue="maLXT6TPyY1gwYTMbXbAl5efYbVppkiOSSfnQoqnaGi98dcL2uU+kySqk2q1OVcOSK4lzccM2KFVl59DkZgkPg==" saltValue="ndCmpmGbhu6Ur7MzQ2HCTA==" spinCount="100000" sheet="1" scenarios="1" formatCells="0" formatColumns="0" formatRows="0"/>
  <sortState xmlns:xlrd2="http://schemas.microsoft.com/office/spreadsheetml/2017/richdata2" ref="F76:F84">
    <sortCondition ref="F76:F84"/>
  </sortState>
  <customSheetViews>
    <customSheetView guid="{EDC0EC15-0264-48C8-A990-093960AE8EF3}">
      <selection activeCell="H1" sqref="H1:J1"/>
      <pageMargins left="0" right="0" top="0" bottom="0" header="0" footer="0"/>
      <pageSetup orientation="portrait" r:id="rId1"/>
    </customSheetView>
    <customSheetView guid="{6E1FDEE6-49D0-4876-8C7C-09893145D2CE}">
      <selection activeCell="H1" sqref="H1:J1"/>
      <pageMargins left="0" right="0" top="0" bottom="0" header="0" footer="0"/>
      <pageSetup orientation="portrait" r:id="rId2"/>
    </customSheetView>
    <customSheetView guid="{DB1F6E98-7FCC-445F-9DA6-47D8BF8BE969}">
      <selection activeCell="H1" sqref="H1:J1"/>
      <pageMargins left="0" right="0" top="0" bottom="0" header="0" footer="0"/>
      <pageSetup orientation="portrait" r:id="rId3"/>
    </customSheetView>
    <customSheetView guid="{C02CA8E5-5D4C-45E5-BC4A-4C9BE481059B}" state="hidden" topLeftCell="A37">
      <selection activeCell="C46" sqref="C46"/>
      <pageMargins left="0" right="0" top="0" bottom="0" header="0" footer="0"/>
      <pageSetup orientation="portrait" r:id="rId4"/>
    </customSheetView>
  </customSheetViews>
  <mergeCells count="4">
    <mergeCell ref="H2:J2"/>
    <mergeCell ref="H3:J3"/>
    <mergeCell ref="H4:J4"/>
    <mergeCell ref="H5:J5"/>
  </mergeCells>
  <hyperlinks>
    <hyperlink ref="H1" location="Index!A1" display="Index" xr:uid="{234DB3DE-7C06-446C-9B32-3B130CAC1EFA}"/>
  </hyperlinks>
  <pageMargins left="0.7" right="0.7" top="0.75" bottom="0.75" header="0.3" footer="0.3"/>
  <pageSetup orientation="portrait" r:id="rId5"/>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2">
    <tabColor theme="5"/>
  </sheetPr>
  <dimension ref="A1:I83"/>
  <sheetViews>
    <sheetView topLeftCell="A67" zoomScaleNormal="100" workbookViewId="0">
      <selection activeCell="A84" sqref="A84"/>
    </sheetView>
  </sheetViews>
  <sheetFormatPr baseColWidth="10" defaultColWidth="8.83203125" defaultRowHeight="15"/>
  <cols>
    <col min="1" max="1" width="22.33203125" style="24" bestFit="1" customWidth="1"/>
  </cols>
  <sheetData>
    <row r="1" spans="1:9">
      <c r="A1" s="209" t="s">
        <v>98</v>
      </c>
      <c r="B1" s="59" t="s">
        <v>1745</v>
      </c>
      <c r="G1" s="2533"/>
      <c r="H1" s="2533"/>
      <c r="I1" s="2533"/>
    </row>
    <row r="2" spans="1:9">
      <c r="A2" s="24" t="s">
        <v>1746</v>
      </c>
      <c r="B2" t="s">
        <v>1747</v>
      </c>
    </row>
    <row r="3" spans="1:9">
      <c r="A3" s="24" t="s">
        <v>1748</v>
      </c>
      <c r="B3" t="s">
        <v>1749</v>
      </c>
    </row>
    <row r="4" spans="1:9">
      <c r="B4" t="s">
        <v>1750</v>
      </c>
    </row>
    <row r="5" spans="1:9">
      <c r="B5" t="s">
        <v>1751</v>
      </c>
    </row>
    <row r="6" spans="1:9">
      <c r="B6" t="s">
        <v>1752</v>
      </c>
    </row>
    <row r="7" spans="1:9">
      <c r="A7" s="24" t="s">
        <v>1753</v>
      </c>
      <c r="B7" t="s">
        <v>1754</v>
      </c>
    </row>
    <row r="8" spans="1:9">
      <c r="B8" t="s">
        <v>1755</v>
      </c>
    </row>
    <row r="9" spans="1:9">
      <c r="B9" t="s">
        <v>1756</v>
      </c>
    </row>
    <row r="10" spans="1:9">
      <c r="A10" s="24" t="s">
        <v>1757</v>
      </c>
      <c r="B10" t="s">
        <v>1758</v>
      </c>
    </row>
    <row r="11" spans="1:9">
      <c r="B11" t="s">
        <v>1759</v>
      </c>
    </row>
    <row r="12" spans="1:9">
      <c r="A12" s="24" t="s">
        <v>1760</v>
      </c>
      <c r="B12" t="s">
        <v>1761</v>
      </c>
    </row>
    <row r="13" spans="1:9">
      <c r="B13" t="s">
        <v>1762</v>
      </c>
    </row>
    <row r="14" spans="1:9">
      <c r="A14" s="24" t="s">
        <v>1763</v>
      </c>
      <c r="B14" t="s">
        <v>1764</v>
      </c>
    </row>
    <row r="15" spans="1:9">
      <c r="B15" t="s">
        <v>1762</v>
      </c>
    </row>
    <row r="16" spans="1:9">
      <c r="A16" s="24" t="s">
        <v>1765</v>
      </c>
      <c r="B16" t="s">
        <v>1766</v>
      </c>
    </row>
    <row r="17" spans="1:2">
      <c r="B17" t="s">
        <v>1767</v>
      </c>
    </row>
    <row r="18" spans="1:2">
      <c r="B18" t="s">
        <v>1768</v>
      </c>
    </row>
    <row r="19" spans="1:2">
      <c r="A19" s="24" t="s">
        <v>1769</v>
      </c>
      <c r="B19" t="s">
        <v>1770</v>
      </c>
    </row>
    <row r="20" spans="1:2">
      <c r="A20" s="24" t="s">
        <v>1771</v>
      </c>
      <c r="B20" t="s">
        <v>1772</v>
      </c>
    </row>
    <row r="21" spans="1:2">
      <c r="B21" t="s">
        <v>1773</v>
      </c>
    </row>
    <row r="22" spans="1:2">
      <c r="B22" t="s">
        <v>1774</v>
      </c>
    </row>
    <row r="23" spans="1:2">
      <c r="B23" t="s">
        <v>1775</v>
      </c>
    </row>
    <row r="24" spans="1:2">
      <c r="A24" s="24" t="s">
        <v>1776</v>
      </c>
      <c r="B24" t="s">
        <v>1777</v>
      </c>
    </row>
    <row r="25" spans="1:2">
      <c r="B25" t="s">
        <v>1778</v>
      </c>
    </row>
    <row r="26" spans="1:2">
      <c r="B26" t="s">
        <v>1779</v>
      </c>
    </row>
    <row r="27" spans="1:2">
      <c r="B27" t="s">
        <v>1780</v>
      </c>
    </row>
    <row r="28" spans="1:2">
      <c r="B28" t="s">
        <v>1781</v>
      </c>
    </row>
    <row r="29" spans="1:2">
      <c r="B29" t="s">
        <v>1782</v>
      </c>
    </row>
    <row r="30" spans="1:2">
      <c r="B30" t="s">
        <v>1783</v>
      </c>
    </row>
    <row r="31" spans="1:2">
      <c r="B31" t="s">
        <v>1784</v>
      </c>
    </row>
    <row r="32" spans="1:2">
      <c r="B32" t="s">
        <v>1785</v>
      </c>
    </row>
    <row r="33" spans="1:2">
      <c r="A33" t="s">
        <v>1786</v>
      </c>
      <c r="B33" t="s">
        <v>1787</v>
      </c>
    </row>
    <row r="34" spans="1:2">
      <c r="B34" t="s">
        <v>1788</v>
      </c>
    </row>
    <row r="35" spans="1:2">
      <c r="B35" t="s">
        <v>1789</v>
      </c>
    </row>
    <row r="36" spans="1:2">
      <c r="B36" t="s">
        <v>1790</v>
      </c>
    </row>
    <row r="37" spans="1:2">
      <c r="B37" t="s">
        <v>1791</v>
      </c>
    </row>
    <row r="38" spans="1:2">
      <c r="B38" t="s">
        <v>1792</v>
      </c>
    </row>
    <row r="39" spans="1:2">
      <c r="B39" t="s">
        <v>1793</v>
      </c>
    </row>
    <row r="40" spans="1:2">
      <c r="A40" s="24" t="s">
        <v>1794</v>
      </c>
      <c r="B40" t="s">
        <v>1795</v>
      </c>
    </row>
    <row r="41" spans="1:2">
      <c r="B41" t="s">
        <v>1796</v>
      </c>
    </row>
    <row r="42" spans="1:2">
      <c r="B42" t="s">
        <v>1797</v>
      </c>
    </row>
    <row r="43" spans="1:2">
      <c r="A43" t="s">
        <v>1798</v>
      </c>
      <c r="B43" t="s">
        <v>1799</v>
      </c>
    </row>
    <row r="44" spans="1:2">
      <c r="B44" t="s">
        <v>1800</v>
      </c>
    </row>
    <row r="45" spans="1:2">
      <c r="A45" s="24" t="s">
        <v>1801</v>
      </c>
      <c r="B45" t="s">
        <v>1802</v>
      </c>
    </row>
    <row r="46" spans="1:2">
      <c r="A46" s="24" t="s">
        <v>1803</v>
      </c>
      <c r="B46" t="s">
        <v>1804</v>
      </c>
    </row>
    <row r="47" spans="1:2">
      <c r="A47" s="24" t="s">
        <v>1805</v>
      </c>
      <c r="B47" t="s">
        <v>1806</v>
      </c>
    </row>
    <row r="48" spans="1:2">
      <c r="A48" s="24" t="s">
        <v>1807</v>
      </c>
      <c r="B48" t="s">
        <v>1808</v>
      </c>
    </row>
    <row r="49" spans="1:3">
      <c r="A49" s="24" t="s">
        <v>1809</v>
      </c>
      <c r="B49" t="s">
        <v>1810</v>
      </c>
    </row>
    <row r="50" spans="1:3">
      <c r="A50" s="24" t="s">
        <v>1811</v>
      </c>
      <c r="B50" t="s">
        <v>1812</v>
      </c>
    </row>
    <row r="51" spans="1:3">
      <c r="A51" s="24" t="s">
        <v>1813</v>
      </c>
      <c r="B51" t="s">
        <v>1814</v>
      </c>
    </row>
    <row r="52" spans="1:3">
      <c r="B52" t="s">
        <v>1815</v>
      </c>
    </row>
    <row r="53" spans="1:3">
      <c r="A53" s="24" t="s">
        <v>1816</v>
      </c>
      <c r="B53" t="s">
        <v>1817</v>
      </c>
    </row>
    <row r="54" spans="1:3">
      <c r="C54" t="s">
        <v>1818</v>
      </c>
    </row>
    <row r="55" spans="1:3">
      <c r="C55" t="s">
        <v>1819</v>
      </c>
    </row>
    <row r="56" spans="1:3">
      <c r="C56" t="s">
        <v>1820</v>
      </c>
    </row>
    <row r="57" spans="1:3">
      <c r="C57" t="s">
        <v>1821</v>
      </c>
    </row>
    <row r="58" spans="1:3">
      <c r="C58" t="s">
        <v>1822</v>
      </c>
    </row>
    <row r="59" spans="1:3">
      <c r="C59" t="s">
        <v>1823</v>
      </c>
    </row>
    <row r="60" spans="1:3">
      <c r="C60" t="s">
        <v>1824</v>
      </c>
    </row>
    <row r="61" spans="1:3">
      <c r="A61" s="24" t="s">
        <v>1825</v>
      </c>
      <c r="B61" t="s">
        <v>1826</v>
      </c>
    </row>
    <row r="62" spans="1:3">
      <c r="A62" s="24" t="s">
        <v>1827</v>
      </c>
      <c r="B62" t="s">
        <v>1828</v>
      </c>
    </row>
    <row r="63" spans="1:3">
      <c r="A63" s="24" t="s">
        <v>1829</v>
      </c>
      <c r="B63" t="s">
        <v>1830</v>
      </c>
    </row>
    <row r="64" spans="1:3">
      <c r="A64" s="24" t="s">
        <v>1831</v>
      </c>
      <c r="B64" t="s">
        <v>1832</v>
      </c>
    </row>
    <row r="65" spans="1:2">
      <c r="A65" s="24" t="s">
        <v>1833</v>
      </c>
      <c r="B65" t="s">
        <v>1834</v>
      </c>
    </row>
    <row r="66" spans="1:2">
      <c r="A66" s="24" t="s">
        <v>1835</v>
      </c>
      <c r="B66" t="s">
        <v>1836</v>
      </c>
    </row>
    <row r="67" spans="1:2">
      <c r="A67" s="24" t="s">
        <v>1837</v>
      </c>
      <c r="B67" t="s">
        <v>1838</v>
      </c>
    </row>
    <row r="68" spans="1:2">
      <c r="A68" s="24" t="s">
        <v>1839</v>
      </c>
      <c r="B68" t="s">
        <v>1840</v>
      </c>
    </row>
    <row r="69" spans="1:2">
      <c r="A69" s="24" t="s">
        <v>1841</v>
      </c>
      <c r="B69" t="s">
        <v>1842</v>
      </c>
    </row>
    <row r="70" spans="1:2">
      <c r="A70" t="s">
        <v>1843</v>
      </c>
      <c r="B70" t="s">
        <v>1844</v>
      </c>
    </row>
    <row r="71" spans="1:2">
      <c r="A71" s="24" t="s">
        <v>1845</v>
      </c>
      <c r="B71" t="s">
        <v>1846</v>
      </c>
    </row>
    <row r="72" spans="1:2">
      <c r="A72" s="24" t="s">
        <v>1847</v>
      </c>
      <c r="B72" t="s">
        <v>1848</v>
      </c>
    </row>
    <row r="73" spans="1:2">
      <c r="A73" s="24" t="s">
        <v>1849</v>
      </c>
      <c r="B73" t="s">
        <v>1850</v>
      </c>
    </row>
    <row r="74" spans="1:2">
      <c r="A74" s="24" t="s">
        <v>1851</v>
      </c>
      <c r="B74" t="s">
        <v>1852</v>
      </c>
    </row>
    <row r="75" spans="1:2">
      <c r="A75" s="24" t="s">
        <v>1853</v>
      </c>
      <c r="B75" t="s">
        <v>1854</v>
      </c>
    </row>
    <row r="76" spans="1:2">
      <c r="A76" s="24" t="s">
        <v>1855</v>
      </c>
      <c r="B76" t="s">
        <v>1856</v>
      </c>
    </row>
    <row r="77" spans="1:2">
      <c r="A77" s="24" t="s">
        <v>1857</v>
      </c>
      <c r="B77" t="s">
        <v>1858</v>
      </c>
    </row>
    <row r="78" spans="1:2">
      <c r="A78" s="24" t="s">
        <v>1859</v>
      </c>
      <c r="B78" t="s">
        <v>1860</v>
      </c>
    </row>
    <row r="79" spans="1:2">
      <c r="A79" s="24" t="s">
        <v>1861</v>
      </c>
      <c r="B79" t="s">
        <v>1862</v>
      </c>
    </row>
    <row r="80" spans="1:2">
      <c r="A80" s="24" t="s">
        <v>1863</v>
      </c>
      <c r="B80" t="s">
        <v>1864</v>
      </c>
    </row>
    <row r="81" spans="1:2">
      <c r="A81" s="24" t="s">
        <v>1865</v>
      </c>
      <c r="B81" t="s">
        <v>1866</v>
      </c>
    </row>
    <row r="82" spans="1:2">
      <c r="A82" s="24" t="s">
        <v>1867</v>
      </c>
      <c r="B82" t="s">
        <v>1868</v>
      </c>
    </row>
    <row r="83" spans="1:2">
      <c r="A83" s="24" t="s">
        <v>1869</v>
      </c>
      <c r="B83" t="s">
        <v>1870</v>
      </c>
    </row>
  </sheetData>
  <sheetProtection algorithmName="SHA-512" hashValue="tLxppfc8h7OhHEElOwzGVdMygt1SJTaxhFvCKV7zhIVjpZd37uGR+Pms0PS//ih8AZKt9LixjJcOr1zJqX0SuQ==" saltValue="oKtYKreJlgYxsKU9tTPGhA==" spinCount="100000" sheet="1" scenarios="1" formatCells="0" formatColumns="0" formatRows="0"/>
  <customSheetViews>
    <customSheetView guid="{EDC0EC15-0264-48C8-A990-093960AE8EF3}">
      <selection activeCell="G1" sqref="G1:I1"/>
      <pageMargins left="0" right="0" top="0" bottom="0" header="0" footer="0"/>
    </customSheetView>
    <customSheetView guid="{6E1FDEE6-49D0-4876-8C7C-09893145D2CE}">
      <selection activeCell="G1" sqref="G1:I1"/>
      <pageMargins left="0" right="0" top="0" bottom="0" header="0" footer="0"/>
    </customSheetView>
    <customSheetView guid="{DB1F6E98-7FCC-445F-9DA6-47D8BF8BE969}">
      <selection activeCell="G1" sqref="G1:I1"/>
      <pageMargins left="0" right="0" top="0" bottom="0" header="0" footer="0"/>
    </customSheetView>
    <customSheetView guid="{C02CA8E5-5D4C-45E5-BC4A-4C9BE481059B}">
      <selection activeCell="G1" sqref="G1:I1"/>
      <pageMargins left="0" right="0" top="0" bottom="0" header="0" footer="0"/>
    </customSheetView>
  </customSheetViews>
  <mergeCells count="1">
    <mergeCell ref="G1:I1"/>
  </mergeCells>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cc72fd0-0489-4c40-ab4d-047258b8d50f" xsi:nil="true"/>
    <lcf76f155ced4ddcb4097134ff3c332f xmlns="25597ba5-a476-42af-83e8-7cbc181699e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A39A7701203D45950ABE7CBA81DF14" ma:contentTypeVersion="15" ma:contentTypeDescription="Create a new document." ma:contentTypeScope="" ma:versionID="ec112d37800c56df81d1fcc389551aa1">
  <xsd:schema xmlns:xsd="http://www.w3.org/2001/XMLSchema" xmlns:xs="http://www.w3.org/2001/XMLSchema" xmlns:p="http://schemas.microsoft.com/office/2006/metadata/properties" xmlns:ns2="25597ba5-a476-42af-83e8-7cbc181699e6" xmlns:ns3="acc72fd0-0489-4c40-ab4d-047258b8d50f" targetNamespace="http://schemas.microsoft.com/office/2006/metadata/properties" ma:root="true" ma:fieldsID="fbf1fa09adcfdba6ff36f8f37f94d008" ns2:_="" ns3:_="">
    <xsd:import namespace="25597ba5-a476-42af-83e8-7cbc181699e6"/>
    <xsd:import namespace="acc72fd0-0489-4c40-ab4d-047258b8d50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97ba5-a476-42af-83e8-7cbc181699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15aeb42a-3c22-4695-ae88-f033d92161a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cc72fd0-0489-4c40-ab4d-047258b8d50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ce1695b1-5df9-4619-8e10-4a32b12275e0}" ma:internalName="TaxCatchAll" ma:showField="CatchAllData" ma:web="acc72fd0-0489-4c40-ab4d-047258b8d50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C27D5C-02A8-4E49-9E55-FADCB5478C7C}">
  <ds:schemaRefs>
    <ds:schemaRef ds:uri="http://schemas.microsoft.com/office/2006/metadata/properties"/>
    <ds:schemaRef ds:uri="http://schemas.microsoft.com/office/infopath/2007/PartnerControls"/>
    <ds:schemaRef ds:uri="acc72fd0-0489-4c40-ab4d-047258b8d50f"/>
    <ds:schemaRef ds:uri="25597ba5-a476-42af-83e8-7cbc181699e6"/>
  </ds:schemaRefs>
</ds:datastoreItem>
</file>

<file path=customXml/itemProps2.xml><?xml version="1.0" encoding="utf-8"?>
<ds:datastoreItem xmlns:ds="http://schemas.openxmlformats.org/officeDocument/2006/customXml" ds:itemID="{C5972E4B-3688-452C-A30E-BC69C30C6A48}">
  <ds:schemaRefs>
    <ds:schemaRef ds:uri="http://schemas.microsoft.com/sharepoint/v3/contenttype/forms"/>
  </ds:schemaRefs>
</ds:datastoreItem>
</file>

<file path=customXml/itemProps3.xml><?xml version="1.0" encoding="utf-8"?>
<ds:datastoreItem xmlns:ds="http://schemas.openxmlformats.org/officeDocument/2006/customXml" ds:itemID="{C26B1D8E-F573-4F90-8FA0-7D984B14F7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97ba5-a476-42af-83e8-7cbc181699e6"/>
    <ds:schemaRef ds:uri="acc72fd0-0489-4c40-ab4d-047258b8d5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101</vt:i4>
      </vt:variant>
      <vt:variant>
        <vt:lpstr>Named Ranges</vt:lpstr>
      </vt:variant>
      <vt:variant>
        <vt:i4>134</vt:i4>
      </vt:variant>
    </vt:vector>
  </HeadingPairs>
  <TitlesOfParts>
    <vt:vector size="235" baseType="lpstr">
      <vt:lpstr>Financial Spread</vt:lpstr>
      <vt:lpstr>Table of Contents</vt:lpstr>
      <vt:lpstr>Summary</vt:lpstr>
      <vt:lpstr>BDO Prequal</vt:lpstr>
      <vt:lpstr>Sheet2</vt:lpstr>
      <vt:lpstr>Wksht Print Separately</vt:lpstr>
      <vt:lpstr>UOP</vt:lpstr>
      <vt:lpstr>UOP (2)</vt:lpstr>
      <vt:lpstr>Memo Grid</vt:lpstr>
      <vt:lpstr>Memo Grid 504</vt:lpstr>
      <vt:lpstr>Coll</vt:lpstr>
      <vt:lpstr>Coll (2)</vt:lpstr>
      <vt:lpstr>Ratios</vt:lpstr>
      <vt:lpstr>Hist IS and Proj</vt:lpstr>
      <vt:lpstr>Cash Flow</vt:lpstr>
      <vt:lpstr>Debt Sch</vt:lpstr>
      <vt:lpstr>Break Even</vt:lpstr>
      <vt:lpstr>Global CF</vt:lpstr>
      <vt:lpstr>Hist BS</vt:lpstr>
      <vt:lpstr>Pro-forma</vt:lpstr>
      <vt:lpstr>WC Analysis</vt:lpstr>
      <vt:lpstr>Biz Val Internal</vt:lpstr>
      <vt:lpstr>EPC IS</vt:lpstr>
      <vt:lpstr>EPC BS</vt:lpstr>
      <vt:lpstr>EPC CF</vt:lpstr>
      <vt:lpstr>Per Need 1</vt:lpstr>
      <vt:lpstr>PFS 1</vt:lpstr>
      <vt:lpstr>Per RE 1</vt:lpstr>
      <vt:lpstr>Per Need 2</vt:lpstr>
      <vt:lpstr>PFS 2</vt:lpstr>
      <vt:lpstr>Per RE 2</vt:lpstr>
      <vt:lpstr>Per Need 3</vt:lpstr>
      <vt:lpstr>PFS 3</vt:lpstr>
      <vt:lpstr>Per RE 3</vt:lpstr>
      <vt:lpstr>Per Need 4</vt:lpstr>
      <vt:lpstr>PFS 4</vt:lpstr>
      <vt:lpstr>Per RE 4</vt:lpstr>
      <vt:lpstr>SBA Elig</vt:lpstr>
      <vt:lpstr>EPC Elig</vt:lpstr>
      <vt:lpstr>SBA Debt Refi Elig</vt:lpstr>
      <vt:lpstr>Bus Acq Elig</vt:lpstr>
      <vt:lpstr>Aff 1 IS</vt:lpstr>
      <vt:lpstr>Aff 1 BS</vt:lpstr>
      <vt:lpstr>Aff 1 CF</vt:lpstr>
      <vt:lpstr>Aff 2 IS</vt:lpstr>
      <vt:lpstr>Aff 2 BS</vt:lpstr>
      <vt:lpstr>Aff 2 CF</vt:lpstr>
      <vt:lpstr>Aff 3 IS</vt:lpstr>
      <vt:lpstr>Aff 3 BS</vt:lpstr>
      <vt:lpstr>Aff 3 CF</vt:lpstr>
      <vt:lpstr>Aff 4 IS</vt:lpstr>
      <vt:lpstr>Aff 4 BS</vt:lpstr>
      <vt:lpstr>Aff 4 CF</vt:lpstr>
      <vt:lpstr>Aff 5 IS</vt:lpstr>
      <vt:lpstr>Aff 5 BS</vt:lpstr>
      <vt:lpstr>Aff 5 CF</vt:lpstr>
      <vt:lpstr>Aff 6 IS</vt:lpstr>
      <vt:lpstr>Aff 6 BS</vt:lpstr>
      <vt:lpstr>Aff 6 CF</vt:lpstr>
      <vt:lpstr>Aff 7 IS</vt:lpstr>
      <vt:lpstr>Aff 7 BS</vt:lpstr>
      <vt:lpstr>Aff 7 CF</vt:lpstr>
      <vt:lpstr>Aff 8 IS</vt:lpstr>
      <vt:lpstr>Aff 8 BS</vt:lpstr>
      <vt:lpstr>Aff 8 CF</vt:lpstr>
      <vt:lpstr>Aff 9 IS</vt:lpstr>
      <vt:lpstr>Aff 9 BS</vt:lpstr>
      <vt:lpstr>Aff 9 CF</vt:lpstr>
      <vt:lpstr>Aff 10 IS</vt:lpstr>
      <vt:lpstr>Aff 10 BS</vt:lpstr>
      <vt:lpstr>Aff 10 CF</vt:lpstr>
      <vt:lpstr>Aff 11 IS</vt:lpstr>
      <vt:lpstr>Aff 11 BS</vt:lpstr>
      <vt:lpstr>Aff 11 CF</vt:lpstr>
      <vt:lpstr>Aff 12 IS</vt:lpstr>
      <vt:lpstr>Aff 12 BS</vt:lpstr>
      <vt:lpstr>Aff 12 CF</vt:lpstr>
      <vt:lpstr>Aff 13 IS</vt:lpstr>
      <vt:lpstr>Aff 13 BS</vt:lpstr>
      <vt:lpstr>Aff 13 CF</vt:lpstr>
      <vt:lpstr>Aff 14 IS</vt:lpstr>
      <vt:lpstr>Aff 14 BS</vt:lpstr>
      <vt:lpstr>Aff 14 CF</vt:lpstr>
      <vt:lpstr>Aff 15 IS</vt:lpstr>
      <vt:lpstr>Aff 15 BS</vt:lpstr>
      <vt:lpstr>Aff 15 CF</vt:lpstr>
      <vt:lpstr>Aff 16 IS</vt:lpstr>
      <vt:lpstr>Aff 16 BS</vt:lpstr>
      <vt:lpstr>Aff 16 CF</vt:lpstr>
      <vt:lpstr>Aff 17 IS</vt:lpstr>
      <vt:lpstr>Aff 17 BS</vt:lpstr>
      <vt:lpstr>Aff 17 CF</vt:lpstr>
      <vt:lpstr>Aff 18 IS</vt:lpstr>
      <vt:lpstr>Aff 18 BS</vt:lpstr>
      <vt:lpstr>Aff 18 CF</vt:lpstr>
      <vt:lpstr>SBA Personal Resource Test</vt:lpstr>
      <vt:lpstr>Pmt Calcs</vt:lpstr>
      <vt:lpstr>Amort Sch</vt:lpstr>
      <vt:lpstr>Amort Sch (2)</vt:lpstr>
      <vt:lpstr>Lists</vt:lpstr>
      <vt:lpstr>Version</vt:lpstr>
      <vt:lpstr>'Amort Sch (2)'!Beg_Bal</vt:lpstr>
      <vt:lpstr>Beg_Bal</vt:lpstr>
      <vt:lpstr>'Amort Sch (2)'!Cum_Int</vt:lpstr>
      <vt:lpstr>Cum_Int</vt:lpstr>
      <vt:lpstr>'Amort Sch (2)'!Data</vt:lpstr>
      <vt:lpstr>Data</vt:lpstr>
      <vt:lpstr>'Debt Sch'!DebSchInsRow</vt:lpstr>
      <vt:lpstr>'Amort Sch (2)'!End_Bal</vt:lpstr>
      <vt:lpstr>End_Bal</vt:lpstr>
      <vt:lpstr>'Amort Sch (2)'!Extra_Pay</vt:lpstr>
      <vt:lpstr>Extra_Pay</vt:lpstr>
      <vt:lpstr>'Amort Sch (2)'!Full_Print</vt:lpstr>
      <vt:lpstr>Full_Print</vt:lpstr>
      <vt:lpstr>'Amort Sch (2)'!Int</vt:lpstr>
      <vt:lpstr>Int</vt:lpstr>
      <vt:lpstr>'Amort Sch (2)'!Interest_Rate</vt:lpstr>
      <vt:lpstr>Interest_Rate</vt:lpstr>
      <vt:lpstr>'Amort Sch (2)'!Loan_Amount</vt:lpstr>
      <vt:lpstr>Loan_Amount</vt:lpstr>
      <vt:lpstr>'Amort Sch (2)'!Loan_Start</vt:lpstr>
      <vt:lpstr>Loan_Start</vt:lpstr>
      <vt:lpstr>'Amort Sch (2)'!Loan_Years</vt:lpstr>
      <vt:lpstr>Loan_Years</vt:lpstr>
      <vt:lpstr>'Amort Sch (2)'!Num_Pmt_Per_Year</vt:lpstr>
      <vt:lpstr>Num_Pmt_Per_Year</vt:lpstr>
      <vt:lpstr>'Amort Sch (2)'!Pay_Date</vt:lpstr>
      <vt:lpstr>Pay_Date</vt:lpstr>
      <vt:lpstr>'Amort Sch (2)'!Pay_Num</vt:lpstr>
      <vt:lpstr>Pay_Num</vt:lpstr>
      <vt:lpstr>'Amort Sch (2)'!Princ</vt:lpstr>
      <vt:lpstr>Princ</vt:lpstr>
      <vt:lpstr>'Aff 1 BS'!Print_Area</vt:lpstr>
      <vt:lpstr>'Aff 1 CF'!Print_Area</vt:lpstr>
      <vt:lpstr>'Aff 1 IS'!Print_Area</vt:lpstr>
      <vt:lpstr>'Aff 10 BS'!Print_Area</vt:lpstr>
      <vt:lpstr>'Aff 10 CF'!Print_Area</vt:lpstr>
      <vt:lpstr>'Aff 10 IS'!Print_Area</vt:lpstr>
      <vt:lpstr>'Aff 11 BS'!Print_Area</vt:lpstr>
      <vt:lpstr>'Aff 11 CF'!Print_Area</vt:lpstr>
      <vt:lpstr>'Aff 11 IS'!Print_Area</vt:lpstr>
      <vt:lpstr>'Aff 12 BS'!Print_Area</vt:lpstr>
      <vt:lpstr>'Aff 12 CF'!Print_Area</vt:lpstr>
      <vt:lpstr>'Aff 12 IS'!Print_Area</vt:lpstr>
      <vt:lpstr>'Aff 13 BS'!Print_Area</vt:lpstr>
      <vt:lpstr>'Aff 13 CF'!Print_Area</vt:lpstr>
      <vt:lpstr>'Aff 13 IS'!Print_Area</vt:lpstr>
      <vt:lpstr>'Aff 14 BS'!Print_Area</vt:lpstr>
      <vt:lpstr>'Aff 14 CF'!Print_Area</vt:lpstr>
      <vt:lpstr>'Aff 14 IS'!Print_Area</vt:lpstr>
      <vt:lpstr>'Aff 15 BS'!Print_Area</vt:lpstr>
      <vt:lpstr>'Aff 15 CF'!Print_Area</vt:lpstr>
      <vt:lpstr>'Aff 15 IS'!Print_Area</vt:lpstr>
      <vt:lpstr>'Aff 16 BS'!Print_Area</vt:lpstr>
      <vt:lpstr>'Aff 16 CF'!Print_Area</vt:lpstr>
      <vt:lpstr>'Aff 16 IS'!Print_Area</vt:lpstr>
      <vt:lpstr>'Aff 17 BS'!Print_Area</vt:lpstr>
      <vt:lpstr>'Aff 17 CF'!Print_Area</vt:lpstr>
      <vt:lpstr>'Aff 17 IS'!Print_Area</vt:lpstr>
      <vt:lpstr>'Aff 18 BS'!Print_Area</vt:lpstr>
      <vt:lpstr>'Aff 18 CF'!Print_Area</vt:lpstr>
      <vt:lpstr>'Aff 18 IS'!Print_Area</vt:lpstr>
      <vt:lpstr>'Aff 2 BS'!Print_Area</vt:lpstr>
      <vt:lpstr>'Aff 2 CF'!Print_Area</vt:lpstr>
      <vt:lpstr>'Aff 2 IS'!Print_Area</vt:lpstr>
      <vt:lpstr>'Aff 3 BS'!Print_Area</vt:lpstr>
      <vt:lpstr>'Aff 3 CF'!Print_Area</vt:lpstr>
      <vt:lpstr>'Aff 3 IS'!Print_Area</vt:lpstr>
      <vt:lpstr>'Aff 4 BS'!Print_Area</vt:lpstr>
      <vt:lpstr>'Aff 4 CF'!Print_Area</vt:lpstr>
      <vt:lpstr>'Aff 4 IS'!Print_Area</vt:lpstr>
      <vt:lpstr>'Aff 5 BS'!Print_Area</vt:lpstr>
      <vt:lpstr>'Aff 5 CF'!Print_Area</vt:lpstr>
      <vt:lpstr>'Aff 5 IS'!Print_Area</vt:lpstr>
      <vt:lpstr>'Aff 6 BS'!Print_Area</vt:lpstr>
      <vt:lpstr>'Aff 6 CF'!Print_Area</vt:lpstr>
      <vt:lpstr>'Aff 6 IS'!Print_Area</vt:lpstr>
      <vt:lpstr>'Aff 7 BS'!Print_Area</vt:lpstr>
      <vt:lpstr>'Aff 7 CF'!Print_Area</vt:lpstr>
      <vt:lpstr>'Aff 7 IS'!Print_Area</vt:lpstr>
      <vt:lpstr>'Aff 8 BS'!Print_Area</vt:lpstr>
      <vt:lpstr>'Aff 8 CF'!Print_Area</vt:lpstr>
      <vt:lpstr>'Aff 8 IS'!Print_Area</vt:lpstr>
      <vt:lpstr>'Aff 9 BS'!Print_Area</vt:lpstr>
      <vt:lpstr>'Aff 9 CF'!Print_Area</vt:lpstr>
      <vt:lpstr>'Aff 9 IS'!Print_Area</vt:lpstr>
      <vt:lpstr>'Amort Sch'!Print_Area</vt:lpstr>
      <vt:lpstr>'Amort Sch (2)'!Print_Area</vt:lpstr>
      <vt:lpstr>'Biz Val Internal'!Print_Area</vt:lpstr>
      <vt:lpstr>'Break Even'!Print_Area</vt:lpstr>
      <vt:lpstr>'Bus Acq Elig'!Print_Area</vt:lpstr>
      <vt:lpstr>'Cash Flow'!Print_Area</vt:lpstr>
      <vt:lpstr>Coll!Print_Area</vt:lpstr>
      <vt:lpstr>'Coll (2)'!Print_Area</vt:lpstr>
      <vt:lpstr>'Debt Sch'!Print_Area</vt:lpstr>
      <vt:lpstr>'EPC BS'!Print_Area</vt:lpstr>
      <vt:lpstr>'EPC CF'!Print_Area</vt:lpstr>
      <vt:lpstr>'EPC Elig'!Print_Area</vt:lpstr>
      <vt:lpstr>'EPC IS'!Print_Area</vt:lpstr>
      <vt:lpstr>'Global CF'!Print_Area</vt:lpstr>
      <vt:lpstr>'Hist BS'!Print_Area</vt:lpstr>
      <vt:lpstr>'Hist IS and Proj'!Print_Area</vt:lpstr>
      <vt:lpstr>'Memo Grid'!Print_Area</vt:lpstr>
      <vt:lpstr>'Memo Grid 504'!Print_Area</vt:lpstr>
      <vt:lpstr>'Per Need 1'!Print_Area</vt:lpstr>
      <vt:lpstr>'Per Need 2'!Print_Area</vt:lpstr>
      <vt:lpstr>'Per Need 3'!Print_Area</vt:lpstr>
      <vt:lpstr>'Per Need 4'!Print_Area</vt:lpstr>
      <vt:lpstr>'PFS 1'!Print_Area</vt:lpstr>
      <vt:lpstr>'PFS 2'!Print_Area</vt:lpstr>
      <vt:lpstr>'PFS 3'!Print_Area</vt:lpstr>
      <vt:lpstr>'PFS 4'!Print_Area</vt:lpstr>
      <vt:lpstr>'Pro-forma'!Print_Area</vt:lpstr>
      <vt:lpstr>Ratios!Print_Area</vt:lpstr>
      <vt:lpstr>'SBA Debt Refi Elig'!Print_Area</vt:lpstr>
      <vt:lpstr>'SBA Elig'!Print_Area</vt:lpstr>
      <vt:lpstr>Summary!Print_Area</vt:lpstr>
      <vt:lpstr>UOP!Print_Area</vt:lpstr>
      <vt:lpstr>'UOP (2)'!Print_Area</vt:lpstr>
      <vt:lpstr>'WC Analysis'!Print_Area</vt:lpstr>
      <vt:lpstr>'Wksht Print Separately'!Print_Area</vt:lpstr>
      <vt:lpstr>'Amort Sch'!Print_Titles</vt:lpstr>
      <vt:lpstr>'Amort Sch (2)'!Print_Titles</vt:lpstr>
      <vt:lpstr>'Amort Sch (2)'!Sched_Pay</vt:lpstr>
      <vt:lpstr>Sched_Pay</vt:lpstr>
      <vt:lpstr>'Amort Sch (2)'!Scheduled_Extra_Payments</vt:lpstr>
      <vt:lpstr>Scheduled_Extra_Payments</vt:lpstr>
      <vt:lpstr>'Amort Sch (2)'!Scheduled_Interest_Rate</vt:lpstr>
      <vt:lpstr>Scheduled_Interest_Rate</vt:lpstr>
      <vt:lpstr>'Amort Sch (2)'!Scheduled_Monthly_Payment</vt:lpstr>
      <vt:lpstr>Scheduled_Monthly_Payment</vt:lpstr>
      <vt:lpstr>'Amort Sch (2)'!Total_Interest</vt:lpstr>
      <vt:lpstr>Total_Interest</vt:lpstr>
      <vt:lpstr>'Amort Sch (2)'!Total_Pay</vt:lpstr>
      <vt:lpstr>Total_Pay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Bill Woodard</dc:creator>
  <cp:keywords/>
  <dc:description/>
  <cp:lastModifiedBy>David Clifford</cp:lastModifiedBy>
  <cp:revision/>
  <cp:lastPrinted>2026-03-04T22:14:24Z</cp:lastPrinted>
  <dcterms:created xsi:type="dcterms:W3CDTF">2016-08-31T18:37:33Z</dcterms:created>
  <dcterms:modified xsi:type="dcterms:W3CDTF">2026-03-07T16:03:17Z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0x01010091A39A7701203D45950ABE7CBA81DF14</vt:lpwstr>
  </property>
  <property fmtid="{D5CDD505-2E9C-101B-9397-08002B2CF9AE}" pid="3" name="MediaServiceImageTags">
    <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SpellCheck_1" visible="true" label="SpellCheck" imageMso="TagMarkComplete" onAction="SpellCheck"/>
        <mso:button idQ="doc:TableOfContents_1" visible="true" label="TableOfContents" imageMso="FrontPageToggleBookmark" onAction="TableOfContents"/>
        <mso:button idQ="doc:Home_1" visible="true" label="Home" imageMso="RmsNavigationBarHome" onAction="Home"/>
      </mso:documentControls>
    </mso:qat>
  </mso:ribbon>
</mso:customUI>
</file>