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10" windowWidth="14810" windowHeight="8010"/>
  </bookViews>
  <sheets>
    <sheet name="Airy" sheetId="1" r:id="rId1"/>
    <sheet name="Wave Propagation" sheetId="4" r:id="rId2"/>
  </sheets>
  <definedNames>
    <definedName name="solver_adj" localSheetId="0" hidden="1">Airy!$J$4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Airy!#REF!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 iterate="1"/>
</workbook>
</file>

<file path=xl/calcChain.xml><?xml version="1.0" encoding="utf-8"?>
<calcChain xmlns="http://schemas.openxmlformats.org/spreadsheetml/2006/main">
  <c r="B16" i="4" l="1"/>
  <c r="B13" i="4"/>
  <c r="B14" i="4" s="1"/>
  <c r="C8" i="4"/>
  <c r="C2" i="4"/>
  <c r="B15" i="4" s="1"/>
  <c r="E12" i="1"/>
  <c r="F12" i="1" l="1"/>
  <c r="G12" i="1" s="1"/>
  <c r="H12" i="1" l="1"/>
  <c r="I12" i="1" s="1"/>
  <c r="D13" i="1" s="1"/>
  <c r="E13" i="1" s="1"/>
  <c r="F13" i="1" l="1"/>
  <c r="G13" i="1" s="1"/>
  <c r="H13" i="1" l="1"/>
  <c r="I13" i="1" s="1"/>
  <c r="D14" i="1" s="1"/>
  <c r="E14" i="1" s="1"/>
  <c r="F14" i="1" l="1"/>
  <c r="G14" i="1" l="1"/>
  <c r="H14" i="1" s="1"/>
  <c r="I14" i="1" s="1"/>
  <c r="D15" i="1" s="1"/>
  <c r="E15" i="1" s="1"/>
  <c r="F15" i="1" l="1"/>
  <c r="G15" i="1" s="1"/>
  <c r="H15" i="1" s="1"/>
  <c r="I15" i="1" s="1"/>
  <c r="D16" i="1" s="1"/>
  <c r="E16" i="1" s="1"/>
  <c r="F16" i="1" l="1"/>
  <c r="G16" i="1" s="1"/>
  <c r="H16" i="1" s="1"/>
  <c r="I16" i="1" s="1"/>
  <c r="D17" i="1" s="1"/>
  <c r="E17" i="1" s="1"/>
  <c r="F17" i="1" l="1"/>
  <c r="G17" i="1" l="1"/>
  <c r="H17" i="1" s="1"/>
  <c r="I17" i="1" s="1"/>
  <c r="D18" i="1" s="1"/>
  <c r="E18" i="1" l="1"/>
  <c r="F18" i="1"/>
  <c r="G18" i="1" l="1"/>
  <c r="H18" i="1" s="1"/>
  <c r="I18" i="1" s="1"/>
  <c r="D19" i="1" s="1"/>
  <c r="E19" i="1" l="1"/>
  <c r="F19" i="1"/>
  <c r="G19" i="1" s="1"/>
  <c r="H19" i="1" l="1"/>
  <c r="I19" i="1" s="1"/>
  <c r="D20" i="1" s="1"/>
  <c r="E20" i="1" s="1"/>
  <c r="F20" i="1" l="1"/>
  <c r="G20" i="1" s="1"/>
  <c r="H20" i="1" s="1"/>
  <c r="I20" i="1" s="1"/>
  <c r="J4" i="1" s="1"/>
  <c r="J6" i="1" l="1"/>
  <c r="C3" i="4"/>
  <c r="C7" i="4" s="1"/>
  <c r="G2" i="4" s="1"/>
  <c r="G3" i="4" s="1"/>
  <c r="C5" i="4"/>
  <c r="J3" i="1"/>
  <c r="J5" i="1" l="1"/>
  <c r="C4" i="4"/>
  <c r="G5" i="4" s="1"/>
  <c r="G6" i="4" s="1"/>
  <c r="G7" i="4" s="1"/>
  <c r="I7" i="1"/>
  <c r="C6" i="4"/>
</calcChain>
</file>

<file path=xl/sharedStrings.xml><?xml version="1.0" encoding="utf-8"?>
<sst xmlns="http://schemas.openxmlformats.org/spreadsheetml/2006/main" count="68" uniqueCount="66">
  <si>
    <t>L</t>
  </si>
  <si>
    <t>Wave Celerity</t>
  </si>
  <si>
    <t>C</t>
  </si>
  <si>
    <t>Wave Length</t>
  </si>
  <si>
    <t>Group Velocity</t>
  </si>
  <si>
    <t>Cg</t>
  </si>
  <si>
    <t>x1</t>
  </si>
  <si>
    <t>y1</t>
  </si>
  <si>
    <t>x2</t>
  </si>
  <si>
    <t>y2</t>
  </si>
  <si>
    <t>m</t>
  </si>
  <si>
    <t>d/L</t>
  </si>
  <si>
    <t>H(m)</t>
  </si>
  <si>
    <t>T(s)</t>
  </si>
  <si>
    <t>d(m)</t>
  </si>
  <si>
    <t>Lo (m)</t>
  </si>
  <si>
    <t>L  (m)</t>
  </si>
  <si>
    <t>H/L</t>
  </si>
  <si>
    <t>ω=2π/T</t>
  </si>
  <si>
    <t>Relative depth</t>
  </si>
  <si>
    <t>n</t>
  </si>
  <si>
    <t>H'</t>
  </si>
  <si>
    <t>Density</t>
  </si>
  <si>
    <t>Bed slope</t>
  </si>
  <si>
    <t>Relative Depth</t>
  </si>
  <si>
    <t>Wave Height</t>
  </si>
  <si>
    <t>Wave Period</t>
  </si>
  <si>
    <t>Water Depth</t>
  </si>
  <si>
    <t>Gravitational Acceleration</t>
  </si>
  <si>
    <t>Calculated wave parameters</t>
  </si>
  <si>
    <t>Input data</t>
  </si>
  <si>
    <t>Lnew</t>
  </si>
  <si>
    <t>Newton Raphson Method for 'L' Equation      Error = 1E-07</t>
  </si>
  <si>
    <t>Water depth at breaking</t>
  </si>
  <si>
    <t>Wave height at breaking</t>
  </si>
  <si>
    <t>Deepwater wave length</t>
  </si>
  <si>
    <t>Calculated wavelength</t>
  </si>
  <si>
    <t>Calculated wave celerity</t>
  </si>
  <si>
    <t>Wave steepness</t>
  </si>
  <si>
    <t>Wave number</t>
  </si>
  <si>
    <t>wave angular frequency</t>
  </si>
  <si>
    <t xml:space="preserve">K=2π/L </t>
  </si>
  <si>
    <t xml:space="preserve">    C (m/s)</t>
  </si>
  <si>
    <t>Wave angle at shallow water</t>
  </si>
  <si>
    <t>Wave angle at deepwater</t>
  </si>
  <si>
    <t>Refraction coefficient</t>
  </si>
  <si>
    <t>Shoaling coefficient</t>
  </si>
  <si>
    <t>Surf zone length</t>
  </si>
  <si>
    <t>Surf similarity parameter</t>
  </si>
  <si>
    <t>Wave breaker type</t>
  </si>
  <si>
    <t>Wave breaking calculations</t>
  </si>
  <si>
    <r>
      <t>Breaker index (</t>
    </r>
    <r>
      <rPr>
        <b/>
        <i/>
        <sz val="11"/>
        <color theme="0"/>
        <rFont val="Times New Roman"/>
        <family val="1"/>
      </rPr>
      <t>γ</t>
    </r>
    <r>
      <rPr>
        <b/>
        <i/>
        <vertAlign val="subscript"/>
        <sz val="11"/>
        <color theme="0"/>
        <rFont val="Times New Roman"/>
        <family val="1"/>
      </rPr>
      <t>b</t>
    </r>
    <r>
      <rPr>
        <b/>
        <sz val="11"/>
        <color theme="0"/>
        <rFont val="Times New Roman"/>
        <family val="1"/>
      </rPr>
      <t>)</t>
    </r>
  </si>
  <si>
    <t>New wave height</t>
  </si>
  <si>
    <t>θ (degree)</t>
  </si>
  <si>
    <r>
      <t>θ</t>
    </r>
    <r>
      <rPr>
        <b/>
        <i/>
        <vertAlign val="subscript"/>
        <sz val="11"/>
        <color theme="1"/>
        <rFont val="Times New Roman"/>
        <family val="1"/>
      </rPr>
      <t xml:space="preserve">o </t>
    </r>
    <r>
      <rPr>
        <b/>
        <i/>
        <sz val="11"/>
        <color theme="1"/>
        <rFont val="Times New Roman"/>
        <family val="1"/>
      </rPr>
      <t>(degree)</t>
    </r>
  </si>
  <si>
    <t>Calculate wave height at a secondary water depth</t>
  </si>
  <si>
    <r>
      <t>K</t>
    </r>
    <r>
      <rPr>
        <b/>
        <i/>
        <vertAlign val="subscript"/>
        <sz val="11"/>
        <color theme="1"/>
        <rFont val="Times New Roman"/>
        <family val="1"/>
      </rPr>
      <t>s</t>
    </r>
  </si>
  <si>
    <r>
      <t>K</t>
    </r>
    <r>
      <rPr>
        <b/>
        <i/>
        <vertAlign val="subscript"/>
        <sz val="11"/>
        <color theme="1"/>
        <rFont val="Times New Roman"/>
        <family val="1"/>
      </rPr>
      <t>r</t>
    </r>
  </si>
  <si>
    <t>User input</t>
  </si>
  <si>
    <t>Color palette</t>
  </si>
  <si>
    <t>Automated calculator</t>
  </si>
  <si>
    <t>Wave Zone</t>
  </si>
  <si>
    <r>
      <t>g(m/s</t>
    </r>
    <r>
      <rPr>
        <b/>
        <i/>
        <vertAlign val="superscript"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)</t>
    </r>
  </si>
  <si>
    <r>
      <t>ρ(gr/cm</t>
    </r>
    <r>
      <rPr>
        <b/>
        <i/>
        <vertAlign val="superscript"/>
        <sz val="11"/>
        <color theme="1"/>
        <rFont val="Times New Roman"/>
        <family val="1"/>
      </rPr>
      <t>3</t>
    </r>
    <r>
      <rPr>
        <b/>
        <i/>
        <sz val="11"/>
        <color theme="1"/>
        <rFont val="Times New Roman"/>
        <family val="1"/>
      </rPr>
      <t>)</t>
    </r>
  </si>
  <si>
    <t>tanα</t>
  </si>
  <si>
    <r>
      <rPr>
        <b/>
        <sz val="36"/>
        <color theme="1"/>
        <rFont val="Times New Roman"/>
        <family val="1"/>
      </rPr>
      <t xml:space="preserve">   Wave
               Calculator
</t>
    </r>
    <r>
      <rPr>
        <sz val="24"/>
        <color theme="1"/>
        <rFont val="Times New Roman"/>
        <family val="1"/>
      </rPr>
      <t xml:space="preserve">                   
                     </t>
    </r>
    <r>
      <rPr>
        <sz val="16"/>
        <color theme="1"/>
        <rFont val="Times New Roman"/>
        <family val="1"/>
      </rPr>
      <t xml:space="preserve">Created by </t>
    </r>
    <r>
      <rPr>
        <b/>
        <sz val="16"/>
        <color rgb="FF0070C0"/>
        <rFont val="Times New Roman"/>
        <family val="1"/>
      </rPr>
      <t>Soheil Radfar</t>
    </r>
    <r>
      <rPr>
        <sz val="16"/>
        <color theme="1"/>
        <rFont val="Times New Roman"/>
        <family val="1"/>
      </rPr>
      <t xml:space="preserve">
                              soheil.radfar92@gmail.com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</si>
</sst>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2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6"/>
      <color rgb="FF0070C0"/>
      <name val="Times New Roman"/>
      <family val="1"/>
    </font>
    <font>
      <sz val="18"/>
      <color theme="0"/>
      <name val="Times New Roman"/>
      <family val="1"/>
    </font>
    <font>
      <b/>
      <sz val="1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6"/>
      <color theme="1"/>
      <name val="Times New Roman"/>
      <family val="1"/>
    </font>
    <font>
      <b/>
      <i/>
      <sz val="11"/>
      <color theme="0"/>
      <name val="Times New Roman"/>
      <family val="1"/>
    </font>
    <font>
      <b/>
      <i/>
      <vertAlign val="subscript"/>
      <sz val="11"/>
      <color theme="0"/>
      <name val="Times New Roman"/>
      <family val="1"/>
    </font>
    <font>
      <b/>
      <sz val="11"/>
      <color rgb="FFFF0066"/>
      <name val="Times New Roman"/>
      <family val="1"/>
    </font>
    <font>
      <b/>
      <i/>
      <sz val="11"/>
      <color rgb="FFFF0066"/>
      <name val="Times New Roman"/>
      <family val="1"/>
    </font>
    <font>
      <b/>
      <sz val="1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vertAlign val="superscript"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B5CA0"/>
        <bgColor indexed="64"/>
      </patternFill>
    </fill>
    <fill>
      <patternFill patternType="solid">
        <fgColor rgb="FF204790"/>
        <bgColor indexed="64"/>
      </patternFill>
    </fill>
    <fill>
      <patternFill patternType="solid">
        <fgColor rgb="FFFFA501"/>
        <bgColor indexed="64"/>
      </patternFill>
    </fill>
    <fill>
      <patternFill patternType="solid">
        <fgColor rgb="FFFFE5B4"/>
        <bgColor indexed="64"/>
      </patternFill>
    </fill>
    <fill>
      <patternFill patternType="solid">
        <fgColor rgb="FF48B5FF"/>
        <bgColor indexed="64"/>
      </patternFill>
    </fill>
    <fill>
      <patternFill patternType="solid">
        <fgColor rgb="FF07293E"/>
        <bgColor indexed="64"/>
      </patternFill>
    </fill>
    <fill>
      <patternFill patternType="solid">
        <fgColor rgb="FF1464DF"/>
        <bgColor indexed="64"/>
      </patternFill>
    </fill>
    <fill>
      <patternFill patternType="solid">
        <fgColor rgb="FFDFF6FF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1464DF"/>
      </bottom>
      <diagonal/>
    </border>
    <border>
      <left/>
      <right/>
      <top style="double">
        <color rgb="FF1464DF"/>
      </top>
      <bottom style="thin">
        <color rgb="FF1464D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0" borderId="0" xfId="0" applyFont="1"/>
    <xf numFmtId="2" fontId="15" fillId="10" borderId="1" xfId="0" applyNumberFormat="1" applyFont="1" applyFill="1" applyBorder="1" applyAlignment="1">
      <alignment horizontal="center" vertical="center"/>
    </xf>
    <xf numFmtId="2" fontId="16" fillId="1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0" xfId="0" applyFont="1" applyFill="1"/>
    <xf numFmtId="2" fontId="17" fillId="7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8B5FF"/>
      <color rgb="FF1464DF"/>
      <color rgb="FFDFF6FF"/>
      <color rgb="FF14647B"/>
      <color rgb="FF07293E"/>
      <color rgb="FFFFE5B4"/>
      <color rgb="FFFFA501"/>
      <color rgb="FF204790"/>
      <color rgb="FF3B5CA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54428</xdr:rowOff>
    </xdr:from>
    <xdr:to>
      <xdr:col>1</xdr:col>
      <xdr:colOff>53975</xdr:colOff>
      <xdr:row>12</xdr:row>
      <xdr:rowOff>87124</xdr:rowOff>
    </xdr:to>
    <xdr:pic>
      <xdr:nvPicPr>
        <xdr:cNvPr id="2" name="Picture 1" descr="https://www.pinclipart.com/picdir/big/73-737065_heart-beat-clip-ar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817"/>
          <a:ext cx="2100086" cy="207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zoomScale="90" zoomScaleNormal="90" workbookViewId="0">
      <selection activeCell="F6" sqref="F6"/>
    </sheetView>
  </sheetViews>
  <sheetFormatPr defaultColWidth="9.1796875" defaultRowHeight="14" x14ac:dyDescent="0.35"/>
  <cols>
    <col min="1" max="1" width="29.26953125" style="1" bestFit="1" customWidth="1"/>
    <col min="2" max="2" width="14" style="1" bestFit="1" customWidth="1"/>
    <col min="3" max="3" width="16.7265625" style="1" bestFit="1" customWidth="1"/>
    <col min="4" max="4" width="23.90625" style="1" bestFit="1" customWidth="1"/>
    <col min="5" max="5" width="9.54296875" style="1" bestFit="1" customWidth="1"/>
    <col min="6" max="6" width="15.54296875" style="1" customWidth="1"/>
    <col min="7" max="7" width="10.54296875" style="1" customWidth="1"/>
    <col min="8" max="8" width="19.453125" style="1" customWidth="1"/>
    <col min="9" max="9" width="12.26953125" style="1" bestFit="1" customWidth="1"/>
    <col min="10" max="10" width="19.453125" style="1" customWidth="1"/>
    <col min="11" max="11" width="14.26953125" style="1" customWidth="1"/>
    <col min="12" max="12" width="22.7265625" style="1" customWidth="1"/>
    <col min="13" max="16384" width="9.1796875" style="1"/>
  </cols>
  <sheetData>
    <row r="1" spans="1:10" ht="14.5" customHeight="1" x14ac:dyDescent="0.35">
      <c r="A1" s="21" t="s">
        <v>65</v>
      </c>
      <c r="B1" s="21"/>
      <c r="C1" s="21"/>
      <c r="D1" s="26" t="s">
        <v>30</v>
      </c>
      <c r="E1" s="26"/>
      <c r="F1" s="26"/>
      <c r="G1" s="2"/>
      <c r="H1" s="27" t="s">
        <v>29</v>
      </c>
      <c r="I1" s="27"/>
      <c r="J1" s="27"/>
    </row>
    <row r="2" spans="1:10" ht="21.5" customHeight="1" x14ac:dyDescent="0.35">
      <c r="A2" s="21"/>
      <c r="B2" s="21"/>
      <c r="C2" s="21"/>
      <c r="D2" s="26"/>
      <c r="E2" s="26"/>
      <c r="F2" s="26"/>
      <c r="G2" s="2"/>
      <c r="H2" s="27"/>
      <c r="I2" s="27"/>
      <c r="J2" s="27"/>
    </row>
    <row r="3" spans="1:10" ht="17.5" customHeight="1" x14ac:dyDescent="0.35">
      <c r="A3" s="21"/>
      <c r="B3" s="21"/>
      <c r="C3" s="21"/>
      <c r="D3" s="8" t="s">
        <v>25</v>
      </c>
      <c r="E3" s="17" t="s">
        <v>12</v>
      </c>
      <c r="F3" s="20">
        <v>2.7</v>
      </c>
      <c r="G3" s="2"/>
      <c r="H3" s="5" t="s">
        <v>1</v>
      </c>
      <c r="I3" s="12" t="s">
        <v>2</v>
      </c>
      <c r="J3" s="18">
        <f>J4/F4</f>
        <v>8.1163628418141709</v>
      </c>
    </row>
    <row r="4" spans="1:10" ht="18.5" customHeight="1" x14ac:dyDescent="0.35">
      <c r="A4" s="21"/>
      <c r="B4" s="21"/>
      <c r="C4" s="21"/>
      <c r="D4" s="8" t="s">
        <v>26</v>
      </c>
      <c r="E4" s="17" t="s">
        <v>13</v>
      </c>
      <c r="F4" s="20">
        <v>5.8</v>
      </c>
      <c r="G4" s="2"/>
      <c r="H4" s="5" t="s">
        <v>3</v>
      </c>
      <c r="I4" s="12" t="s">
        <v>0</v>
      </c>
      <c r="J4" s="18">
        <f>I20</f>
        <v>47.074904482522186</v>
      </c>
    </row>
    <row r="5" spans="1:10" ht="17.5" customHeight="1" x14ac:dyDescent="0.35">
      <c r="A5" s="21"/>
      <c r="B5" s="21"/>
      <c r="C5" s="21"/>
      <c r="D5" s="8" t="s">
        <v>27</v>
      </c>
      <c r="E5" s="17" t="s">
        <v>14</v>
      </c>
      <c r="F5" s="20">
        <v>10.9</v>
      </c>
      <c r="G5" s="2"/>
      <c r="H5" s="5" t="s">
        <v>4</v>
      </c>
      <c r="I5" s="12" t="s">
        <v>5</v>
      </c>
      <c r="J5" s="18">
        <f>0.5*J3*(1+((4*PI()*F5)/(J4*SINH(4*PI()*F5/J4))))</f>
        <v>5.348916236934758</v>
      </c>
    </row>
    <row r="6" spans="1:10" ht="19.5" customHeight="1" x14ac:dyDescent="0.35">
      <c r="A6" s="21"/>
      <c r="B6" s="21"/>
      <c r="C6" s="21"/>
      <c r="D6" s="8" t="s">
        <v>28</v>
      </c>
      <c r="E6" s="17" t="s">
        <v>62</v>
      </c>
      <c r="F6" s="20">
        <v>9.8059999999999992</v>
      </c>
      <c r="G6" s="2"/>
      <c r="H6" s="5" t="s">
        <v>24</v>
      </c>
      <c r="I6" s="12" t="s">
        <v>11</v>
      </c>
      <c r="J6" s="19">
        <f>F5/J4</f>
        <v>0.23154587608450519</v>
      </c>
    </row>
    <row r="7" spans="1:10" ht="18.75" customHeight="1" x14ac:dyDescent="0.35">
      <c r="A7" s="21"/>
      <c r="B7" s="21"/>
      <c r="C7" s="21"/>
      <c r="D7" s="8" t="s">
        <v>22</v>
      </c>
      <c r="E7" s="17" t="s">
        <v>63</v>
      </c>
      <c r="F7" s="20">
        <v>1.0249999999999999</v>
      </c>
      <c r="G7" s="2"/>
      <c r="H7" s="24" t="s">
        <v>61</v>
      </c>
      <c r="I7" s="25" t="str">
        <f>IF((J6)&lt;(1/20),"Shallow Water",IF((1/20)&lt;=(J6),IF((J6)&lt;=(1/2),"Transitional Water",IF((J6)&gt;(1/2),"Deep Water"))))</f>
        <v>Transitional Water</v>
      </c>
      <c r="J7" s="25"/>
    </row>
    <row r="8" spans="1:10" ht="18" customHeight="1" x14ac:dyDescent="0.35">
      <c r="A8" s="21"/>
      <c r="B8" s="21"/>
      <c r="C8" s="21"/>
      <c r="D8" s="8" t="s">
        <v>23</v>
      </c>
      <c r="E8" s="17" t="s">
        <v>64</v>
      </c>
      <c r="F8" s="20">
        <v>0.02</v>
      </c>
      <c r="G8" s="2"/>
      <c r="H8" s="24"/>
      <c r="I8" s="25"/>
      <c r="J8" s="25"/>
    </row>
    <row r="9" spans="1:10" ht="12" customHeight="1" x14ac:dyDescent="0.35">
      <c r="A9" s="21"/>
      <c r="B9" s="21"/>
      <c r="C9" s="21"/>
      <c r="D9" s="2"/>
      <c r="E9" s="2"/>
      <c r="F9" s="2"/>
      <c r="G9" s="2"/>
      <c r="H9" s="2"/>
      <c r="I9" s="3"/>
      <c r="J9" s="2"/>
    </row>
    <row r="10" spans="1:10" ht="29" customHeight="1" thickBot="1" x14ac:dyDescent="0.4">
      <c r="A10" s="21"/>
      <c r="B10" s="21"/>
      <c r="C10" s="21"/>
      <c r="D10" s="28" t="s">
        <v>32</v>
      </c>
      <c r="E10" s="28"/>
      <c r="F10" s="28"/>
      <c r="G10" s="28"/>
      <c r="H10" s="28"/>
      <c r="I10" s="28"/>
      <c r="J10" s="28"/>
    </row>
    <row r="11" spans="1:10" ht="14" customHeight="1" thickTop="1" x14ac:dyDescent="0.35">
      <c r="A11" s="21"/>
      <c r="B11" s="21"/>
      <c r="C11" s="21"/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22" t="s">
        <v>31</v>
      </c>
      <c r="J11" s="22"/>
    </row>
    <row r="12" spans="1:10" ht="14" customHeight="1" x14ac:dyDescent="0.35">
      <c r="A12" s="21"/>
      <c r="B12" s="21"/>
      <c r="C12" s="21"/>
      <c r="D12" s="6">
        <v>1</v>
      </c>
      <c r="E12" s="6">
        <f>(($F$6*($F$4^2)*0.5*TANH(2*PI()*$F$5/D12))/PI())-D12</f>
        <v>51.501052232704986</v>
      </c>
      <c r="F12" s="6">
        <f t="shared" ref="F12:F20" si="0">D12+0.0000001*D12</f>
        <v>1.0000001000000001</v>
      </c>
      <c r="G12" s="6">
        <f>(($F$6*($F$4^2)*0.5*TANH(2*PI()*$F$5/F12))/PI())-F12</f>
        <v>51.501052132704984</v>
      </c>
      <c r="H12" s="6">
        <f t="shared" ref="H12:H20" si="1">(G12-E12)/(F12-D12)</f>
        <v>-1.0000000111022302</v>
      </c>
      <c r="I12" s="23">
        <f t="shared" ref="I12:I20" si="2">(H12*D12-E12)/H12</f>
        <v>52.501051660928454</v>
      </c>
      <c r="J12" s="23"/>
    </row>
    <row r="13" spans="1:10" ht="14" customHeight="1" x14ac:dyDescent="0.35">
      <c r="A13" s="21"/>
      <c r="B13" s="21"/>
      <c r="C13" s="21"/>
      <c r="D13" s="6">
        <f t="shared" ref="D13:D20" si="3">I12</f>
        <v>52.501051660928454</v>
      </c>
      <c r="E13" s="6">
        <f t="shared" ref="E13:E20" si="4">(($F$6*($F$4^2)*0.5*TANH(2*PI()*$F$5/D13))/PI())-D13</f>
        <v>-7.1993250167980278</v>
      </c>
      <c r="F13" s="6">
        <f t="shared" si="0"/>
        <v>52.501056911033622</v>
      </c>
      <c r="G13" s="6">
        <f t="shared" ref="G13:G20" si="5">(($F$6*($F$4^2)*0.5*TANH(2*PI()*$F$5/F13))/PI())-F13</f>
        <v>-7.1993320164008736</v>
      </c>
      <c r="H13" s="6">
        <f t="shared" si="1"/>
        <v>-1.3332309775296174</v>
      </c>
      <c r="I13" s="23">
        <f t="shared" si="2"/>
        <v>47.101143364364667</v>
      </c>
      <c r="J13" s="23"/>
    </row>
    <row r="14" spans="1:10" x14ac:dyDescent="0.35">
      <c r="A14" s="21"/>
      <c r="B14" s="21"/>
      <c r="C14" s="21"/>
      <c r="D14" s="6">
        <f t="shared" si="3"/>
        <v>47.101143364364667</v>
      </c>
      <c r="E14" s="6">
        <f t="shared" si="4"/>
        <v>-3.4585768331695022E-2</v>
      </c>
      <c r="F14" s="6">
        <f t="shared" si="0"/>
        <v>47.101148074479006</v>
      </c>
      <c r="G14" s="6">
        <f t="shared" si="5"/>
        <v>-3.4591977040662414E-2</v>
      </c>
      <c r="H14" s="6">
        <f t="shared" si="1"/>
        <v>-1.3181652333567393</v>
      </c>
      <c r="I14" s="23">
        <f t="shared" si="2"/>
        <v>47.074905554827225</v>
      </c>
      <c r="J14" s="23"/>
    </row>
    <row r="15" spans="1:10" x14ac:dyDescent="0.35">
      <c r="A15" s="21"/>
      <c r="B15" s="21"/>
      <c r="C15" s="21"/>
      <c r="D15" s="6">
        <f t="shared" si="3"/>
        <v>47.074905554827225</v>
      </c>
      <c r="E15" s="6">
        <f>(($F$6*($F$4^2)*0.5*TANH(2*PI()*$F$5/D15))/PI())-D15</f>
        <v>-1.4133596550891525E-6</v>
      </c>
      <c r="F15" s="6">
        <f t="shared" si="0"/>
        <v>47.074910262317779</v>
      </c>
      <c r="G15" s="6">
        <f t="shared" si="5"/>
        <v>-7.6181027139909929E-6</v>
      </c>
      <c r="H15" s="6">
        <f t="shared" si="1"/>
        <v>-1.3180574635198741</v>
      </c>
      <c r="I15" s="23">
        <f t="shared" si="2"/>
        <v>47.074904482522186</v>
      </c>
      <c r="J15" s="23"/>
    </row>
    <row r="16" spans="1:10" ht="14.5" customHeight="1" x14ac:dyDescent="0.35">
      <c r="A16" s="21"/>
      <c r="B16" s="21"/>
      <c r="C16" s="21"/>
      <c r="D16" s="6">
        <f t="shared" si="3"/>
        <v>47.074904482522186</v>
      </c>
      <c r="E16" s="6">
        <f t="shared" si="4"/>
        <v>0</v>
      </c>
      <c r="F16" s="6">
        <f t="shared" si="0"/>
        <v>47.074909190012633</v>
      </c>
      <c r="G16" s="6">
        <f t="shared" si="5"/>
        <v>-6.2047428954770112E-6</v>
      </c>
      <c r="H16" s="6">
        <f t="shared" si="1"/>
        <v>-1.3180574586458533</v>
      </c>
      <c r="I16" s="23">
        <f t="shared" si="2"/>
        <v>47.074904482522186</v>
      </c>
      <c r="J16" s="23"/>
    </row>
    <row r="17" spans="1:10" ht="14.5" customHeight="1" x14ac:dyDescent="0.35">
      <c r="A17" s="21"/>
      <c r="B17" s="21"/>
      <c r="C17" s="21"/>
      <c r="D17" s="6">
        <f t="shared" si="3"/>
        <v>47.074904482522186</v>
      </c>
      <c r="E17" s="6">
        <f t="shared" si="4"/>
        <v>0</v>
      </c>
      <c r="F17" s="6">
        <f t="shared" si="0"/>
        <v>47.074909190012633</v>
      </c>
      <c r="G17" s="6">
        <f t="shared" si="5"/>
        <v>-6.2047428954770112E-6</v>
      </c>
      <c r="H17" s="6">
        <f t="shared" si="1"/>
        <v>-1.3180574586458533</v>
      </c>
      <c r="I17" s="23">
        <f t="shared" si="2"/>
        <v>47.074904482522186</v>
      </c>
      <c r="J17" s="23"/>
    </row>
    <row r="18" spans="1:10" ht="15" customHeight="1" x14ac:dyDescent="0.35">
      <c r="A18" s="21"/>
      <c r="B18" s="21"/>
      <c r="C18" s="21"/>
      <c r="D18" s="6">
        <f t="shared" si="3"/>
        <v>47.074904482522186</v>
      </c>
      <c r="E18" s="6">
        <f t="shared" si="4"/>
        <v>0</v>
      </c>
      <c r="F18" s="6">
        <f t="shared" si="0"/>
        <v>47.074909190012633</v>
      </c>
      <c r="G18" s="6">
        <f t="shared" si="5"/>
        <v>-6.2047428954770112E-6</v>
      </c>
      <c r="H18" s="6">
        <f t="shared" si="1"/>
        <v>-1.3180574586458533</v>
      </c>
      <c r="I18" s="23">
        <f t="shared" si="2"/>
        <v>47.074904482522186</v>
      </c>
      <c r="J18" s="23"/>
    </row>
    <row r="19" spans="1:10" x14ac:dyDescent="0.35">
      <c r="A19" s="21"/>
      <c r="B19" s="21"/>
      <c r="C19" s="21"/>
      <c r="D19" s="6">
        <f t="shared" si="3"/>
        <v>47.074904482522186</v>
      </c>
      <c r="E19" s="6">
        <f t="shared" si="4"/>
        <v>0</v>
      </c>
      <c r="F19" s="6">
        <f t="shared" si="0"/>
        <v>47.074909190012633</v>
      </c>
      <c r="G19" s="6">
        <f t="shared" si="5"/>
        <v>-6.2047428954770112E-6</v>
      </c>
      <c r="H19" s="6">
        <f t="shared" si="1"/>
        <v>-1.3180574586458533</v>
      </c>
      <c r="I19" s="23">
        <f t="shared" si="2"/>
        <v>47.074904482522186</v>
      </c>
      <c r="J19" s="23"/>
    </row>
    <row r="20" spans="1:10" x14ac:dyDescent="0.35">
      <c r="A20" s="21"/>
      <c r="B20" s="21"/>
      <c r="C20" s="21"/>
      <c r="D20" s="6">
        <f t="shared" si="3"/>
        <v>47.074904482522186</v>
      </c>
      <c r="E20" s="6">
        <f t="shared" si="4"/>
        <v>0</v>
      </c>
      <c r="F20" s="6">
        <f t="shared" si="0"/>
        <v>47.074909190012633</v>
      </c>
      <c r="G20" s="6">
        <f t="shared" si="5"/>
        <v>-6.2047428954770112E-6</v>
      </c>
      <c r="H20" s="6">
        <f t="shared" si="1"/>
        <v>-1.3180574586458533</v>
      </c>
      <c r="I20" s="23">
        <f t="shared" si="2"/>
        <v>47.074904482522186</v>
      </c>
      <c r="J20" s="23"/>
    </row>
    <row r="21" spans="1:1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idden="1" x14ac:dyDescent="0.35"/>
  </sheetData>
  <sheetProtection sheet="1" formatCells="0" formatColumns="0" formatRows="0" insertColumns="0" insertRows="0" insertHyperlinks="0" deleteColumns="0" deleteRows="0" sort="0" autoFilter="0" pivotTables="0"/>
  <protectedRanges>
    <protectedRange sqref="F3:F8" name="Range1"/>
  </protectedRanges>
  <mergeCells count="16">
    <mergeCell ref="A1:C20"/>
    <mergeCell ref="I11:J11"/>
    <mergeCell ref="I12:J12"/>
    <mergeCell ref="I13:J13"/>
    <mergeCell ref="I14:J14"/>
    <mergeCell ref="I15:J15"/>
    <mergeCell ref="I20:J20"/>
    <mergeCell ref="H7:H8"/>
    <mergeCell ref="I7:J8"/>
    <mergeCell ref="D1:F2"/>
    <mergeCell ref="H1:J2"/>
    <mergeCell ref="D10:J10"/>
    <mergeCell ref="I16:J16"/>
    <mergeCell ref="I17:J17"/>
    <mergeCell ref="I18:J18"/>
    <mergeCell ref="I19:J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B15" sqref="B15"/>
    </sheetView>
  </sheetViews>
  <sheetFormatPr defaultRowHeight="14" x14ac:dyDescent="0.3"/>
  <cols>
    <col min="1" max="1" width="28.36328125" style="9" bestFit="1" customWidth="1"/>
    <col min="2" max="2" width="18.7265625" style="9" bestFit="1" customWidth="1"/>
    <col min="3" max="4" width="8.7265625" style="9"/>
    <col min="5" max="5" width="25.36328125" style="9" bestFit="1" customWidth="1"/>
    <col min="6" max="6" width="21.54296875" style="9" bestFit="1" customWidth="1"/>
    <col min="7" max="9" width="8.7265625" style="9"/>
    <col min="10" max="10" width="28.36328125" style="9" customWidth="1"/>
    <col min="11" max="11" width="16.81640625" style="9" customWidth="1"/>
    <col min="12" max="16384" width="8.7265625" style="9"/>
  </cols>
  <sheetData>
    <row r="1" spans="1:7" ht="35.5" customHeight="1" x14ac:dyDescent="0.3">
      <c r="A1" s="26" t="s">
        <v>55</v>
      </c>
      <c r="B1" s="26"/>
      <c r="C1" s="26"/>
      <c r="D1" s="26"/>
      <c r="E1" s="26"/>
      <c r="F1" s="26"/>
      <c r="G1" s="26"/>
    </row>
    <row r="2" spans="1:7" ht="17" customHeight="1" x14ac:dyDescent="0.3">
      <c r="A2" s="5" t="s">
        <v>35</v>
      </c>
      <c r="B2" s="12" t="s">
        <v>15</v>
      </c>
      <c r="C2" s="15">
        <f>Airy!F6*(Airy!F4^2)/2/PI()</f>
        <v>52.501052232704986</v>
      </c>
      <c r="D2" s="13"/>
      <c r="E2" s="5"/>
      <c r="F2" s="12" t="s">
        <v>20</v>
      </c>
      <c r="G2" s="15">
        <f>0.5*(1+(2*C7*Airy!F5)/SINH(2*C7*Airy!F5))</f>
        <v>0.65902872273994684</v>
      </c>
    </row>
    <row r="3" spans="1:7" ht="17" customHeight="1" x14ac:dyDescent="0.3">
      <c r="A3" s="5" t="s">
        <v>36</v>
      </c>
      <c r="B3" s="12" t="s">
        <v>16</v>
      </c>
      <c r="C3" s="15">
        <f>Airy!J4</f>
        <v>47.074904482522186</v>
      </c>
      <c r="D3" s="13"/>
      <c r="E3" s="5" t="s">
        <v>46</v>
      </c>
      <c r="F3" s="12" t="s">
        <v>56</v>
      </c>
      <c r="G3" s="15">
        <f>(2*G2*TANH(C7*Airy!F5))^(-0.5)</f>
        <v>0.91986079789785391</v>
      </c>
    </row>
    <row r="4" spans="1:7" ht="17" customHeight="1" x14ac:dyDescent="0.3">
      <c r="A4" s="5" t="s">
        <v>37</v>
      </c>
      <c r="B4" s="12" t="s">
        <v>42</v>
      </c>
      <c r="C4" s="15">
        <f>Airy!J3</f>
        <v>8.1163628418141709</v>
      </c>
      <c r="D4" s="13"/>
      <c r="E4" s="5" t="s">
        <v>44</v>
      </c>
      <c r="F4" s="12" t="s">
        <v>54</v>
      </c>
      <c r="G4" s="14">
        <v>60</v>
      </c>
    </row>
    <row r="5" spans="1:7" ht="17" customHeight="1" x14ac:dyDescent="0.3">
      <c r="A5" s="5" t="s">
        <v>38</v>
      </c>
      <c r="B5" s="12" t="s">
        <v>17</v>
      </c>
      <c r="C5" s="15">
        <f>Airy!F3/Airy!J4</f>
        <v>5.73554004979967E-2</v>
      </c>
      <c r="D5" s="13"/>
      <c r="E5" s="5" t="s">
        <v>43</v>
      </c>
      <c r="F5" s="12" t="s">
        <v>53</v>
      </c>
      <c r="G5" s="15">
        <f>ASIN((C4/(1.56*Airy!F4))*SIN(G4*(PI()/180)))*180/PI()</f>
        <v>50.973440534304423</v>
      </c>
    </row>
    <row r="6" spans="1:7" ht="17" customHeight="1" x14ac:dyDescent="0.3">
      <c r="A6" s="5" t="s">
        <v>19</v>
      </c>
      <c r="B6" s="12" t="s">
        <v>11</v>
      </c>
      <c r="C6" s="15">
        <f>Airy!J6</f>
        <v>0.23154587608450519</v>
      </c>
      <c r="D6" s="13"/>
      <c r="E6" s="5" t="s">
        <v>45</v>
      </c>
      <c r="F6" s="12" t="s">
        <v>57</v>
      </c>
      <c r="G6" s="15">
        <f>(COS(G4*(PI()/180))/COS(G5*(PI()/180)))^(0.5)</f>
        <v>0.89109674251868831</v>
      </c>
    </row>
    <row r="7" spans="1:7" ht="17" customHeight="1" x14ac:dyDescent="0.3">
      <c r="A7" s="5" t="s">
        <v>39</v>
      </c>
      <c r="B7" s="12" t="s">
        <v>41</v>
      </c>
      <c r="C7" s="15">
        <f>(2*PI())/C3</f>
        <v>0.13347207766533836</v>
      </c>
      <c r="D7" s="13"/>
      <c r="E7" s="5" t="s">
        <v>52</v>
      </c>
      <c r="F7" s="12" t="s">
        <v>21</v>
      </c>
      <c r="G7" s="15">
        <f>G6*G3*Airy!F3</f>
        <v>2.2131493935590316</v>
      </c>
    </row>
    <row r="8" spans="1:7" ht="17" customHeight="1" x14ac:dyDescent="0.3">
      <c r="A8" s="5" t="s">
        <v>40</v>
      </c>
      <c r="B8" s="12" t="s">
        <v>18</v>
      </c>
      <c r="C8" s="15">
        <f>(2*PI())/Airy!F4</f>
        <v>1.0833078115826873</v>
      </c>
      <c r="D8" s="13"/>
      <c r="E8" s="13"/>
      <c r="F8" s="13"/>
      <c r="G8" s="13"/>
    </row>
    <row r="9" spans="1:7" ht="15" customHeight="1" x14ac:dyDescent="0.3">
      <c r="A9" s="13"/>
      <c r="B9" s="13"/>
      <c r="C9" s="13"/>
      <c r="D9" s="13"/>
      <c r="E9" s="13"/>
      <c r="F9" s="13"/>
      <c r="G9" s="13"/>
    </row>
    <row r="10" spans="1:7" ht="34.5" customHeight="1" x14ac:dyDescent="0.3">
      <c r="A10" s="26" t="s">
        <v>50</v>
      </c>
      <c r="B10" s="26"/>
      <c r="C10" s="13"/>
      <c r="D10" s="13"/>
      <c r="E10" s="13"/>
      <c r="F10" s="13"/>
      <c r="G10" s="13"/>
    </row>
    <row r="11" spans="1:7" ht="17" customHeight="1" x14ac:dyDescent="0.3">
      <c r="A11" s="8" t="s">
        <v>51</v>
      </c>
      <c r="B11" s="14">
        <v>0.89</v>
      </c>
      <c r="C11" s="13"/>
      <c r="D11" s="13"/>
      <c r="E11" s="16" t="s">
        <v>59</v>
      </c>
      <c r="F11" s="13"/>
      <c r="G11" s="13"/>
    </row>
    <row r="12" spans="1:7" ht="17" customHeight="1" x14ac:dyDescent="0.3">
      <c r="A12" s="8" t="s">
        <v>34</v>
      </c>
      <c r="B12" s="14">
        <v>2</v>
      </c>
      <c r="C12" s="13"/>
      <c r="D12" s="13"/>
      <c r="E12" s="14" t="s">
        <v>58</v>
      </c>
      <c r="F12" s="13"/>
      <c r="G12" s="13"/>
    </row>
    <row r="13" spans="1:7" ht="17" customHeight="1" x14ac:dyDescent="0.3">
      <c r="A13" s="8" t="s">
        <v>33</v>
      </c>
      <c r="B13" s="10">
        <f>B12/B11</f>
        <v>2.2471910112359552</v>
      </c>
      <c r="C13" s="13"/>
      <c r="D13" s="13"/>
      <c r="E13" s="15" t="s">
        <v>60</v>
      </c>
      <c r="F13" s="13"/>
      <c r="G13" s="13"/>
    </row>
    <row r="14" spans="1:7" ht="17" customHeight="1" x14ac:dyDescent="0.3">
      <c r="A14" s="8" t="s">
        <v>47</v>
      </c>
      <c r="B14" s="10">
        <f>B13/Airy!F8</f>
        <v>112.35955056179776</v>
      </c>
      <c r="C14" s="13"/>
      <c r="D14" s="13"/>
      <c r="E14" s="10" t="s">
        <v>60</v>
      </c>
      <c r="F14" s="13"/>
      <c r="G14" s="13"/>
    </row>
    <row r="15" spans="1:7" ht="17" customHeight="1" x14ac:dyDescent="0.3">
      <c r="A15" s="8" t="s">
        <v>48</v>
      </c>
      <c r="B15" s="10">
        <f>Airy!F8/(B12/C2)</f>
        <v>0.52501052232704981</v>
      </c>
      <c r="C15" s="13"/>
      <c r="D15" s="13"/>
      <c r="E15" s="13"/>
      <c r="F15" s="13"/>
      <c r="G15" s="13"/>
    </row>
    <row r="16" spans="1:7" ht="17" customHeight="1" x14ac:dyDescent="0.3">
      <c r="A16" s="8" t="s">
        <v>49</v>
      </c>
      <c r="B16" s="11" t="str">
        <f>IF(L16&lt;0.5,"Spilling",IF(L16&gt;0.5,IF(L16&lt;3.3,"Plunging",IF(L16&gt;3.3,"Surging"))))</f>
        <v>Spilling</v>
      </c>
      <c r="C16" s="13"/>
      <c r="D16" s="13"/>
      <c r="E16" s="13"/>
      <c r="F16" s="13"/>
      <c r="G16" s="13"/>
    </row>
    <row r="17" ht="19" customHeight="1" x14ac:dyDescent="0.3"/>
    <row r="18" ht="18.75" customHeight="1" x14ac:dyDescent="0.3"/>
    <row r="19" ht="18.75" customHeight="1" x14ac:dyDescent="0.3"/>
    <row r="20" ht="19.5" customHeight="1" x14ac:dyDescent="0.3"/>
  </sheetData>
  <sheetProtection sheet="1" formatCells="0" formatColumns="0" formatRows="0" insertColumns="0" insertRows="0" insertHyperlinks="0" deleteColumns="0" deleteRows="0" sort="0" autoFilter="0" pivotTables="0"/>
  <protectedRanges>
    <protectedRange sqref="G4" name="Range2"/>
    <protectedRange sqref="B11:B12" name="Range1"/>
  </protectedRanges>
  <mergeCells count="2">
    <mergeCell ref="A10:B10"/>
    <mergeCell ref="A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Airy</vt:lpstr>
      <vt:lpstr>Wave Propagation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2022-06-30T18:58:39Z</dcterms:modified>
</cp:coreProperties>
</file>