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enacorp-my.sharepoint.com/personal/mmckerli_ciena_com/Documents/Documents/Personal/Rocket/"/>
    </mc:Choice>
  </mc:AlternateContent>
  <xr:revisionPtr revIDLastSave="933" documentId="8_{9E39E792-1DAD-4E0E-A534-149819277522}" xr6:coauthVersionLast="47" xr6:coauthVersionMax="47" xr10:uidLastSave="{B8696B25-BDC8-46C6-9F8C-E0D05D72E54D}"/>
  <bookViews>
    <workbookView xWindow="-120" yWindow="-120" windowWidth="29040" windowHeight="15840" tabRatio="710" activeTab="7" xr2:uid="{16C4530C-3848-4F71-858A-08DD9CC55001}"/>
  </bookViews>
  <sheets>
    <sheet name="Altitude 2 stage - E12" sheetId="1" r:id="rId1"/>
    <sheet name="Altitude 1 stage - E12" sheetId="2" r:id="rId2"/>
    <sheet name="Altitude 1 stage - D12" sheetId="3" r:id="rId3"/>
    <sheet name="Measured Weights" sheetId="6" r:id="rId4"/>
    <sheet name="Drift Dist" sheetId="4" r:id="rId5"/>
    <sheet name="Launch Rod Length" sheetId="5" r:id="rId6"/>
    <sheet name="Center of Pressure" sheetId="7" r:id="rId7"/>
    <sheet name="Stabilit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8" l="1"/>
  <c r="C17" i="8"/>
  <c r="C36" i="7"/>
  <c r="C46" i="7" s="1"/>
  <c r="C90" i="7" s="1"/>
  <c r="C56" i="7"/>
  <c r="C35" i="8"/>
  <c r="C13" i="8"/>
  <c r="C44" i="7"/>
  <c r="C64" i="7"/>
  <c r="C67" i="7"/>
  <c r="C47" i="7"/>
  <c r="C26" i="7"/>
  <c r="C27" i="7"/>
  <c r="C22" i="7"/>
  <c r="C21" i="7"/>
  <c r="D4" i="3"/>
  <c r="D2" i="1"/>
  <c r="D2" i="3" s="1"/>
  <c r="C10" i="5"/>
  <c r="D8" i="1"/>
  <c r="D7" i="1"/>
  <c r="D3" i="1"/>
  <c r="D8" i="3"/>
  <c r="D7" i="3"/>
  <c r="D6" i="3"/>
  <c r="D5" i="3"/>
  <c r="D3" i="3"/>
  <c r="D3" i="2"/>
  <c r="D4" i="2"/>
  <c r="D5" i="2"/>
  <c r="D6" i="2"/>
  <c r="D7" i="2"/>
  <c r="D8" i="2"/>
  <c r="C16" i="5"/>
  <c r="D16" i="3"/>
  <c r="D21" i="3" s="1"/>
  <c r="K5" i="3"/>
  <c r="D16" i="2"/>
  <c r="D21" i="2" s="1"/>
  <c r="K5" i="2"/>
  <c r="K10" i="1"/>
  <c r="K5" i="1"/>
  <c r="D16" i="1"/>
  <c r="D21" i="1" s="1"/>
  <c r="C48" i="7" l="1"/>
  <c r="C25" i="7"/>
  <c r="C68" i="7"/>
  <c r="C27" i="5"/>
  <c r="D2" i="2"/>
  <c r="D12" i="2" s="1"/>
  <c r="D25" i="2" s="1"/>
  <c r="D26" i="2" s="1"/>
  <c r="D10" i="1"/>
  <c r="D25" i="1" s="1"/>
  <c r="D26" i="1" s="1"/>
  <c r="C11" i="5"/>
  <c r="C12" i="5"/>
  <c r="C13" i="5"/>
  <c r="D12" i="3"/>
  <c r="D25" i="3" s="1"/>
  <c r="D26" i="3" s="1"/>
  <c r="D13" i="3"/>
  <c r="D11" i="1"/>
  <c r="D13" i="1"/>
  <c r="D40" i="1" s="1"/>
  <c r="D12" i="1"/>
  <c r="D31" i="1" s="1"/>
  <c r="C92" i="7" l="1"/>
  <c r="C94" i="7" s="1"/>
  <c r="D13" i="2"/>
  <c r="D32" i="2" s="1"/>
  <c r="C29" i="5"/>
  <c r="C32" i="5" s="1"/>
  <c r="C34" i="5" s="1"/>
  <c r="C28" i="5"/>
  <c r="D39" i="1"/>
  <c r="D32" i="3"/>
  <c r="D33" i="3"/>
  <c r="D27" i="3"/>
  <c r="D27" i="2"/>
  <c r="D32" i="1"/>
  <c r="D27" i="1"/>
  <c r="D33" i="2" l="1"/>
  <c r="D34" i="2" s="1"/>
  <c r="D34" i="3"/>
  <c r="D28" i="3"/>
  <c r="D31" i="3"/>
  <c r="F31" i="3" s="1"/>
  <c r="D28" i="2"/>
  <c r="D31" i="2"/>
  <c r="D28" i="1"/>
  <c r="D33" i="1"/>
  <c r="D34" i="1" s="1"/>
  <c r="C37" i="5" l="1"/>
  <c r="C35" i="5"/>
  <c r="C36" i="5" s="1"/>
  <c r="D36" i="3"/>
  <c r="F28" i="3"/>
  <c r="D36" i="2"/>
  <c r="D26" i="4" s="1"/>
  <c r="F31" i="2"/>
  <c r="F28" i="2"/>
  <c r="D38" i="1"/>
  <c r="F38" i="1" s="1"/>
  <c r="D41" i="1"/>
  <c r="F28" i="1"/>
  <c r="D35" i="1"/>
  <c r="F35" i="1" s="1"/>
  <c r="F36" i="3" l="1"/>
  <c r="D25" i="4"/>
  <c r="D30" i="4"/>
  <c r="F30" i="4" s="1"/>
  <c r="D35" i="4"/>
  <c r="F36" i="2"/>
  <c r="D43" i="1"/>
  <c r="D29" i="4" l="1"/>
  <c r="F29" i="4" s="1"/>
  <c r="D34" i="4"/>
  <c r="F43" i="1"/>
  <c r="D27" i="4"/>
  <c r="D31" i="4" l="1"/>
  <c r="F31" i="4" s="1"/>
  <c r="D36" i="4"/>
  <c r="C66" i="7"/>
  <c r="C79" i="7" l="1"/>
  <c r="C81" i="7" s="1"/>
  <c r="C83" i="7" s="1"/>
</calcChain>
</file>

<file path=xl/sharedStrings.xml><?xml version="1.0" encoding="utf-8"?>
<sst xmlns="http://schemas.openxmlformats.org/spreadsheetml/2006/main" count="433" uniqueCount="161">
  <si>
    <t>kg</t>
  </si>
  <si>
    <t>Rocket Mass (Mr)</t>
  </si>
  <si>
    <t>Propellant Mass (Mp)</t>
  </si>
  <si>
    <t>Booster Mass (Mb)</t>
  </si>
  <si>
    <t>E12-8 Engine Total Mass (Mer)</t>
  </si>
  <si>
    <t>Parachute Mass (Mpara)</t>
  </si>
  <si>
    <t>Nylon Cloth (Mn)</t>
  </si>
  <si>
    <t>First Stage Mass (M1)</t>
  </si>
  <si>
    <t>First Stage Coasting Mass (M1c)</t>
  </si>
  <si>
    <t>Second Stage Mass (M2)</t>
  </si>
  <si>
    <t>E12-0 Engine Total Mass (Meb)</t>
  </si>
  <si>
    <t>Second Stage Coasting Mass (M2c)</t>
  </si>
  <si>
    <t>m</t>
  </si>
  <si>
    <t>m^2</t>
  </si>
  <si>
    <t>Rocket Cross Sectional Area (A)</t>
  </si>
  <si>
    <t>Rocket diameter (d)</t>
  </si>
  <si>
    <t>kg/m^3</t>
  </si>
  <si>
    <t>Drag Term (k)</t>
  </si>
  <si>
    <t>Drag Coefficient (Cd)</t>
  </si>
  <si>
    <r>
      <t>Air Density (</t>
    </r>
    <r>
      <rPr>
        <sz val="11"/>
        <color theme="1"/>
        <rFont val="Calibri"/>
        <family val="2"/>
      </rPr>
      <t>ρ)</t>
    </r>
  </si>
  <si>
    <t>Gravity (g)</t>
  </si>
  <si>
    <t>m/s^2</t>
  </si>
  <si>
    <t>kg/m</t>
  </si>
  <si>
    <t>Rocket</t>
  </si>
  <si>
    <t>N</t>
  </si>
  <si>
    <t>E12-0 Engines</t>
  </si>
  <si>
    <t>Max Thrust</t>
  </si>
  <si>
    <t>N-s</t>
  </si>
  <si>
    <t>Burn Time (t)</t>
  </si>
  <si>
    <t>Thrust (T)</t>
  </si>
  <si>
    <t>Impulse (I)</t>
  </si>
  <si>
    <t>s</t>
  </si>
  <si>
    <t>E12-8 Engines</t>
  </si>
  <si>
    <t>Delay</t>
  </si>
  <si>
    <t>q</t>
  </si>
  <si>
    <t>x</t>
  </si>
  <si>
    <t>First Stage Burn</t>
  </si>
  <si>
    <t>m/s</t>
  </si>
  <si>
    <t>ft</t>
  </si>
  <si>
    <t>Max Velocity at Burnout (v1)</t>
  </si>
  <si>
    <t>Second Stage Burn</t>
  </si>
  <si>
    <t>Terminal Velocity Ratio (s)</t>
  </si>
  <si>
    <t>Max Velocity at Burnout (v2)</t>
  </si>
  <si>
    <t>Second Stage Coast</t>
  </si>
  <si>
    <t>Altitude Increase During Burn (y2)</t>
  </si>
  <si>
    <t>Altitude Increase During Burn (y1)</t>
  </si>
  <si>
    <t>Altitude Increase During Coast (yc)</t>
  </si>
  <si>
    <t>qa</t>
  </si>
  <si>
    <t>qb</t>
  </si>
  <si>
    <t>Time Coasting (tc)</t>
  </si>
  <si>
    <t>Total Altitude Reached (y)</t>
  </si>
  <si>
    <t>D12-5 Engines</t>
  </si>
  <si>
    <t>D12-5 Engine Total Mass (Mer)</t>
  </si>
  <si>
    <t>(engine + spacer)</t>
  </si>
  <si>
    <t>Wind Speed (X)</t>
  </si>
  <si>
    <t>km/hr</t>
  </si>
  <si>
    <t>1 Stage D12 Altitude</t>
  </si>
  <si>
    <t>1 Stage E12 Altitude</t>
  </si>
  <si>
    <t>2 Stage E12 Altitude</t>
  </si>
  <si>
    <t>1 Stage D12 Drift Distance</t>
  </si>
  <si>
    <t>1 Stage E12 Drift Distance</t>
  </si>
  <si>
    <t>2 Stage E12 Drift Distance</t>
  </si>
  <si>
    <t>(A)</t>
  </si>
  <si>
    <t>(D)</t>
  </si>
  <si>
    <t>Decent Rate</t>
  </si>
  <si>
    <t>(td)</t>
  </si>
  <si>
    <t>1 Stage D12 Decent Time</t>
  </si>
  <si>
    <t>1 Stage E12 Decent Time</t>
  </si>
  <si>
    <t>2 Stage E12 Decent Time</t>
  </si>
  <si>
    <t>min</t>
  </si>
  <si>
    <t>https://www.translatorscafe.com/unit-converter/en-US/calculator/parachute-size/</t>
  </si>
  <si>
    <t>https://estesrockets.com/product/001691-e12-0-engines/</t>
  </si>
  <si>
    <t>https://estesrockets.com/product/001694-e12-8-engines/</t>
  </si>
  <si>
    <t>https://estesrockets.com/products/d12-5-engines</t>
  </si>
  <si>
    <t>http://www.rocketmime.com/rockets/multistg.html</t>
  </si>
  <si>
    <t>T1</t>
  </si>
  <si>
    <t>T2</t>
  </si>
  <si>
    <t>Phase 1</t>
  </si>
  <si>
    <t>a1</t>
  </si>
  <si>
    <t>v1</t>
  </si>
  <si>
    <t>t1</t>
  </si>
  <si>
    <t>d1</t>
  </si>
  <si>
    <t>v2</t>
  </si>
  <si>
    <t>Phase 2</t>
  </si>
  <si>
    <t>dc</t>
  </si>
  <si>
    <t>Initial Runout for Launch Rod</t>
  </si>
  <si>
    <t>Final Runout for Launch Rod</t>
  </si>
  <si>
    <t>Main Rocket</t>
  </si>
  <si>
    <t>Booster</t>
  </si>
  <si>
    <t>Electronics Assembly</t>
  </si>
  <si>
    <t>Parachute</t>
  </si>
  <si>
    <t>Nylon Fire Cloth (Mn)</t>
  </si>
  <si>
    <t>Nylon Fire Cloth</t>
  </si>
  <si>
    <t>Main Rocket Body + Engine Cap Plate + Rip cord</t>
  </si>
  <si>
    <t>Measured Rev1</t>
  </si>
  <si>
    <t>Nost Cone</t>
  </si>
  <si>
    <t>(10g misc.)</t>
  </si>
  <si>
    <t>Measured on 2023-07-24</t>
  </si>
  <si>
    <t>https://www.youtube.com/redirect?event=video_description&amp;redir_token=QUFFLUhqbG1EeEV4NzE4RGVNRHA1MFBCNlREOFlLT09CZ3xBQ3Jtc0tsNXZWeXVwWk9qLWZfa2w1RkRXWVVKTUlBRlp0dU0tS2xFYWZkcE1Pa1I1elZoVUU0MFJTZmpYTUNtOGt3dWlsdEdCMVV1ZUJIYW1WN1BqQ0NRbWFnWGdPT0lncUZ3cFZrRTJCZ3lud3BmTVAzbWtTVQ&amp;q=https%3A%2F%2Fwww.apogeerockets.com%2Fdownloads%2Fbarrowman_report.pdf&amp;v=jikEHfFwBd8</t>
  </si>
  <si>
    <t>General Center of Pressure Formula</t>
  </si>
  <si>
    <t>Break up the rocket piecewise (nose, body, fins), then sum the center of pressures to determine the overall center of pressure</t>
  </si>
  <si>
    <t>Nose</t>
  </si>
  <si>
    <t>Volume of Semi-Ellipsoid</t>
  </si>
  <si>
    <t>r</t>
  </si>
  <si>
    <t>mm</t>
  </si>
  <si>
    <t>V</t>
  </si>
  <si>
    <t>m^3</t>
  </si>
  <si>
    <t>S(L)</t>
  </si>
  <si>
    <t>L</t>
  </si>
  <si>
    <r>
      <t xml:space="preserve">V = 0.5 * (4/3) * </t>
    </r>
    <r>
      <rPr>
        <sz val="11"/>
        <color theme="1"/>
        <rFont val="Calibri"/>
        <family val="2"/>
      </rPr>
      <t>π * r^2 * L</t>
    </r>
  </si>
  <si>
    <t>S(0)</t>
  </si>
  <si>
    <t>Ẍ</t>
  </si>
  <si>
    <t>Ẍcone</t>
  </si>
  <si>
    <t>Ẍellipse</t>
  </si>
  <si>
    <t>r0</t>
  </si>
  <si>
    <t>Ẍogive</t>
  </si>
  <si>
    <t>Main Fins</t>
  </si>
  <si>
    <r>
      <t>(Cn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)N</t>
    </r>
  </si>
  <si>
    <r>
      <t>(Cn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)FM</t>
    </r>
  </si>
  <si>
    <t>l</t>
  </si>
  <si>
    <t>Cr</t>
  </si>
  <si>
    <t>Ct</t>
  </si>
  <si>
    <t>σ</t>
  </si>
  <si>
    <t>deg</t>
  </si>
  <si>
    <t>rL</t>
  </si>
  <si>
    <t>d</t>
  </si>
  <si>
    <t xml:space="preserve">m </t>
  </si>
  <si>
    <t>ẌFM</t>
  </si>
  <si>
    <t>Xt</t>
  </si>
  <si>
    <t>ẌTBM</t>
  </si>
  <si>
    <t>XF</t>
  </si>
  <si>
    <t>Booster Fins</t>
  </si>
  <si>
    <r>
      <t>(Cn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)FB</t>
    </r>
  </si>
  <si>
    <t>ẌFB</t>
  </si>
  <si>
    <t>ẌTBB</t>
  </si>
  <si>
    <t>Cnα</t>
  </si>
  <si>
    <r>
      <t>Cn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= (Cnα)N + (Cnα)FM + (Cnα)FB</t>
    </r>
  </si>
  <si>
    <t>from tip</t>
  </si>
  <si>
    <t>from ACS0</t>
  </si>
  <si>
    <t>Center of Pressure - First Stage</t>
  </si>
  <si>
    <t>Center of Pressure - Second Stage</t>
  </si>
  <si>
    <r>
      <t>Cn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= (Cnα)N + (Cnα)FM</t>
    </r>
  </si>
  <si>
    <t>For a rocket to be stable, center of gravity (CG) must be ahead of center of pressure (CP)</t>
  </si>
  <si>
    <t>First Stage</t>
  </si>
  <si>
    <t>d CG to CP</t>
  </si>
  <si>
    <t>For this rocket, 1 caliber is 60mm</t>
  </si>
  <si>
    <t>calibers</t>
  </si>
  <si>
    <t>Second Stage</t>
  </si>
  <si>
    <t>so that the aerodynamic forces will keep the rocket in a straight trajectory.</t>
  </si>
  <si>
    <t>the nose</t>
  </si>
  <si>
    <t>Body</t>
  </si>
  <si>
    <t>For cylindrical bodies, Cnα = 0, therefore no need to calculate center of pressure distance</t>
  </si>
  <si>
    <t>http://servidor.demec.ufpr.br/CFD/bibliografia/aerodinamica/Crowell_1996.pdf</t>
  </si>
  <si>
    <t>Start</t>
  </si>
  <si>
    <t>End</t>
  </si>
  <si>
    <t>This is because the fuel is spent which</t>
  </si>
  <si>
    <t>causes the CG to gradually shift towards</t>
  </si>
  <si>
    <t xml:space="preserve">A typical guide for model rockets is to target a distance between CG and CP to be between 1-2 calibers. </t>
  </si>
  <si>
    <t>Exceeding 5 calibers will make the rocket become unstable. A caliber is the maximum tube diameter of the rocket.</t>
  </si>
  <si>
    <t>Note that the stability at the start</t>
  </si>
  <si>
    <t>of the stage is worse than the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</si>
</sst>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3" fillId="0" borderId="0" xfId="1"/>
    <xf numFmtId="0" fontId="1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12</xdr:row>
      <xdr:rowOff>180975</xdr:rowOff>
    </xdr:from>
    <xdr:to>
      <xdr:col>11</xdr:col>
      <xdr:colOff>504544</xdr:colOff>
      <xdr:row>28</xdr:row>
      <xdr:rowOff>152023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C55FB2-9DDF-9F01-AE57-6149AC524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2466975"/>
          <a:ext cx="2247619" cy="30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30</xdr:row>
      <xdr:rowOff>123825</xdr:rowOff>
    </xdr:from>
    <xdr:to>
      <xdr:col>9</xdr:col>
      <xdr:colOff>771404</xdr:colOff>
      <xdr:row>33</xdr:row>
      <xdr:rowOff>152325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980EF7-8DEA-DD07-ABC1-A01C32CF4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8025" y="5838825"/>
          <a:ext cx="971429" cy="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828675</xdr:colOff>
      <xdr:row>30</xdr:row>
      <xdr:rowOff>57150</xdr:rowOff>
    </xdr:from>
    <xdr:to>
      <xdr:col>13</xdr:col>
      <xdr:colOff>409294</xdr:colOff>
      <xdr:row>37</xdr:row>
      <xdr:rowOff>114126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55B9D2-5255-D377-E22D-329B0358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86725" y="5772150"/>
          <a:ext cx="2247619" cy="1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37</xdr:row>
      <xdr:rowOff>66675</xdr:rowOff>
    </xdr:from>
    <xdr:to>
      <xdr:col>11</xdr:col>
      <xdr:colOff>209314</xdr:colOff>
      <xdr:row>49</xdr:row>
      <xdr:rowOff>180675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C58717-6DD4-1885-D156-2346B5D55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29450" y="7115175"/>
          <a:ext cx="1885714" cy="2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15</xdr:row>
      <xdr:rowOff>180975</xdr:rowOff>
    </xdr:from>
    <xdr:to>
      <xdr:col>12</xdr:col>
      <xdr:colOff>95250</xdr:colOff>
      <xdr:row>17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38033A-3882-A96E-F001-67A95177BED6}"/>
            </a:ext>
          </a:extLst>
        </xdr:cNvPr>
        <xdr:cNvSpPr/>
      </xdr:nvSpPr>
      <xdr:spPr>
        <a:xfrm>
          <a:off x="1057275" y="3990975"/>
          <a:ext cx="6353175" cy="257175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152400</xdr:colOff>
      <xdr:row>1</xdr:row>
      <xdr:rowOff>85725</xdr:rowOff>
    </xdr:from>
    <xdr:to>
      <xdr:col>8</xdr:col>
      <xdr:colOff>190500</xdr:colOff>
      <xdr:row>32</xdr:row>
      <xdr:rowOff>114300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10C5295C-A058-0EBE-0904-3EC9817A74FA}"/>
            </a:ext>
          </a:extLst>
        </xdr:cNvPr>
        <xdr:cNvSpPr/>
      </xdr:nvSpPr>
      <xdr:spPr>
        <a:xfrm rot="10800000" flipV="1">
          <a:off x="3200400" y="276225"/>
          <a:ext cx="1866900" cy="5934075"/>
        </a:xfrm>
        <a:prstGeom prst="arc">
          <a:avLst>
            <a:gd name="adj1" fmla="val 16200000"/>
            <a:gd name="adj2" fmla="val 208497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438150</xdr:colOff>
      <xdr:row>0</xdr:row>
      <xdr:rowOff>171450</xdr:rowOff>
    </xdr:from>
    <xdr:to>
      <xdr:col>6</xdr:col>
      <xdr:colOff>590550</xdr:colOff>
      <xdr:row>1</xdr:row>
      <xdr:rowOff>142875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FAD70420-BCA7-6A61-4E7C-4E1887249672}"/>
            </a:ext>
          </a:extLst>
        </xdr:cNvPr>
        <xdr:cNvSpPr/>
      </xdr:nvSpPr>
      <xdr:spPr>
        <a:xfrm>
          <a:off x="4095750" y="1123950"/>
          <a:ext cx="152400" cy="161925"/>
        </a:xfrm>
        <a:prstGeom prst="star5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542925</xdr:colOff>
      <xdr:row>1</xdr:row>
      <xdr:rowOff>95250</xdr:rowOff>
    </xdr:from>
    <xdr:to>
      <xdr:col>9</xdr:col>
      <xdr:colOff>0</xdr:colOff>
      <xdr:row>15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998C192-EF73-4CCF-995E-1810240E6506}"/>
            </a:ext>
          </a:extLst>
        </xdr:cNvPr>
        <xdr:cNvCxnSpPr/>
      </xdr:nvCxnSpPr>
      <xdr:spPr>
        <a:xfrm>
          <a:off x="4200525" y="1238250"/>
          <a:ext cx="1285875" cy="2752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2</xdr:row>
      <xdr:rowOff>9525</xdr:rowOff>
    </xdr:from>
    <xdr:to>
      <xdr:col>6</xdr:col>
      <xdr:colOff>561975</xdr:colOff>
      <xdr:row>15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4A54C2C-9AE2-F527-002F-61A82EF2F9EC}"/>
            </a:ext>
          </a:extLst>
        </xdr:cNvPr>
        <xdr:cNvCxnSpPr/>
      </xdr:nvCxnSpPr>
      <xdr:spPr>
        <a:xfrm>
          <a:off x="4181475" y="1343025"/>
          <a:ext cx="38100" cy="25622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15</xdr:row>
      <xdr:rowOff>76200</xdr:rowOff>
    </xdr:from>
    <xdr:to>
      <xdr:col>8</xdr:col>
      <xdr:colOff>304800</xdr:colOff>
      <xdr:row>15</xdr:row>
      <xdr:rowOff>85725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343255-D1FB-4E80-BAD2-94893BAB9CF2}"/>
            </a:ext>
          </a:extLst>
        </xdr:cNvPr>
        <xdr:cNvCxnSpPr/>
      </xdr:nvCxnSpPr>
      <xdr:spPr>
        <a:xfrm flipH="1" flipV="1">
          <a:off x="4505325" y="3886200"/>
          <a:ext cx="676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2</xdr:row>
      <xdr:rowOff>142875</xdr:rowOff>
    </xdr:from>
    <xdr:to>
      <xdr:col>9</xdr:col>
      <xdr:colOff>238125</xdr:colOff>
      <xdr:row>4</xdr:row>
      <xdr:rowOff>28575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895F4D4E-CA43-2307-67A6-A5C706B0FE95}"/>
            </a:ext>
          </a:extLst>
        </xdr:cNvPr>
        <xdr:cNvSpPr/>
      </xdr:nvSpPr>
      <xdr:spPr>
        <a:xfrm>
          <a:off x="5067300" y="1476375"/>
          <a:ext cx="6572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oneCellAnchor>
    <xdr:from>
      <xdr:col>8</xdr:col>
      <xdr:colOff>361950</xdr:colOff>
      <xdr:row>1</xdr:row>
      <xdr:rowOff>133350</xdr:rowOff>
    </xdr:from>
    <xdr:ext cx="25789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CC4ED6C-5D95-25C2-F323-97C713ED8B1D}"/>
            </a:ext>
          </a:extLst>
        </xdr:cNvPr>
        <xdr:cNvSpPr txBox="1"/>
      </xdr:nvSpPr>
      <xdr:spPr>
        <a:xfrm>
          <a:off x="5238750" y="1276350"/>
          <a:ext cx="2578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X</a:t>
          </a:r>
        </a:p>
      </xdr:txBody>
    </xdr:sp>
    <xdr:clientData/>
  </xdr:oneCellAnchor>
  <xdr:oneCellAnchor>
    <xdr:from>
      <xdr:col>7</xdr:col>
      <xdr:colOff>466725</xdr:colOff>
      <xdr:row>13</xdr:row>
      <xdr:rowOff>180975</xdr:rowOff>
    </xdr:from>
    <xdr:ext cx="271485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2F9622-8E7F-4CC1-B5A1-26760ECDF075}"/>
            </a:ext>
          </a:extLst>
        </xdr:cNvPr>
        <xdr:cNvSpPr txBox="1"/>
      </xdr:nvSpPr>
      <xdr:spPr>
        <a:xfrm>
          <a:off x="4733925" y="3609975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295275</xdr:colOff>
      <xdr:row>2</xdr:row>
      <xdr:rowOff>76200</xdr:rowOff>
    </xdr:from>
    <xdr:to>
      <xdr:col>14</xdr:col>
      <xdr:colOff>313637</xdr:colOff>
      <xdr:row>20</xdr:row>
      <xdr:rowOff>66248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6A1D71-5F73-A3EE-60E6-1385B82E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457200"/>
          <a:ext cx="5504762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3</xdr:row>
      <xdr:rowOff>22893</xdr:rowOff>
    </xdr:from>
    <xdr:to>
      <xdr:col>23</xdr:col>
      <xdr:colOff>485775</xdr:colOff>
      <xdr:row>39</xdr:row>
      <xdr:rowOff>94282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21F0D2-5D06-D5F7-1C6D-CFA3EF746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594393"/>
          <a:ext cx="4943475" cy="6929389"/>
        </a:xfrm>
        <a:prstGeom prst="rect">
          <a:avLst/>
        </a:prstGeom>
      </xdr:spPr>
    </xdr:pic>
    <xdr:clientData/>
  </xdr:twoCellAnchor>
  <xdr:twoCellAnchor>
    <xdr:from>
      <xdr:col>7</xdr:col>
      <xdr:colOff>198834</xdr:colOff>
      <xdr:row>2</xdr:row>
      <xdr:rowOff>114300</xdr:rowOff>
    </xdr:from>
    <xdr:to>
      <xdr:col>7</xdr:col>
      <xdr:colOff>198834</xdr:colOff>
      <xdr:row>18</xdr:row>
      <xdr:rowOff>171450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B3ADBE1-9BC9-A83C-6A06-A2252B281071}"/>
            </a:ext>
          </a:extLst>
        </xdr:cNvPr>
        <xdr:cNvCxnSpPr/>
      </xdr:nvCxnSpPr>
      <xdr:spPr>
        <a:xfrm flipH="1">
          <a:off x="2020490" y="495300"/>
          <a:ext cx="0" cy="31051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</xdr:row>
      <xdr:rowOff>66675</xdr:rowOff>
    </xdr:from>
    <xdr:to>
      <xdr:col>8</xdr:col>
      <xdr:colOff>47625</xdr:colOff>
      <xdr:row>18</xdr:row>
      <xdr:rowOff>123825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37055ED-733D-4FBC-BA15-08F1ED182186}"/>
            </a:ext>
          </a:extLst>
        </xdr:cNvPr>
        <xdr:cNvCxnSpPr/>
      </xdr:nvCxnSpPr>
      <xdr:spPr>
        <a:xfrm flipH="1">
          <a:off x="2486025" y="447675"/>
          <a:ext cx="0" cy="31051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428625</xdr:colOff>
      <xdr:row>3</xdr:row>
      <xdr:rowOff>133350</xdr:rowOff>
    </xdr:from>
    <xdr:ext cx="314638" cy="40543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5493C02-4FDC-2624-FEC2-E97A55B780C4}"/>
            </a:ext>
          </a:extLst>
        </xdr:cNvPr>
        <xdr:cNvSpPr txBox="1"/>
      </xdr:nvSpPr>
      <xdr:spPr>
        <a:xfrm>
          <a:off x="1647825" y="704850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7</xdr:col>
      <xdr:colOff>286252</xdr:colOff>
      <xdr:row>3</xdr:row>
      <xdr:rowOff>138864</xdr:rowOff>
    </xdr:from>
    <xdr:ext cx="314638" cy="405432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2709F30-9BD4-4CF9-9CAB-FCECD17344DC}"/>
            </a:ext>
          </a:extLst>
        </xdr:cNvPr>
        <xdr:cNvSpPr txBox="1"/>
      </xdr:nvSpPr>
      <xdr:spPr>
        <a:xfrm>
          <a:off x="2121068" y="710364"/>
          <a:ext cx="3146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11</xdr:col>
      <xdr:colOff>142875</xdr:colOff>
      <xdr:row>21</xdr:row>
      <xdr:rowOff>161925</xdr:rowOff>
    </xdr:from>
    <xdr:ext cx="2648738" cy="5932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50FABAD-759E-A93F-C07B-F3DAFA6B4302}"/>
            </a:ext>
          </a:extLst>
        </xdr:cNvPr>
        <xdr:cNvSpPr txBox="1"/>
      </xdr:nvSpPr>
      <xdr:spPr>
        <a:xfrm>
          <a:off x="4410075" y="4162425"/>
          <a:ext cx="2648738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/>
            <a:t>a = 1/m*(Ft</a:t>
          </a:r>
          <a:r>
            <a:rPr lang="en-CA" sz="1600" baseline="0"/>
            <a:t> - 1/2</a:t>
          </a:r>
          <a:r>
            <a:rPr lang="el-GR" sz="1600" baseline="0"/>
            <a:t>ρ</a:t>
          </a:r>
          <a:r>
            <a:rPr lang="en-CA" sz="1600" baseline="0"/>
            <a:t>v^2CdA) - g</a:t>
          </a:r>
        </a:p>
        <a:p>
          <a:endParaRPr lang="en-CA" sz="16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5</xdr:row>
      <xdr:rowOff>38100</xdr:rowOff>
    </xdr:from>
    <xdr:to>
      <xdr:col>4</xdr:col>
      <xdr:colOff>304800</xdr:colOff>
      <xdr:row>9</xdr:row>
      <xdr:rowOff>29878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769665-C066-7D8D-EFF8-AED7D3338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800100"/>
          <a:ext cx="2047875" cy="753778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13</xdr:row>
      <xdr:rowOff>76200</xdr:rowOff>
    </xdr:from>
    <xdr:to>
      <xdr:col>10</xdr:col>
      <xdr:colOff>598615</xdr:colOff>
      <xdr:row>20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F85B8A-6B89-4C2D-8392-3B3C1B2FC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2362200"/>
          <a:ext cx="3141790" cy="1362075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16</xdr:row>
      <xdr:rowOff>114300</xdr:rowOff>
    </xdr:from>
    <xdr:to>
      <xdr:col>9</xdr:col>
      <xdr:colOff>447675</xdr:colOff>
      <xdr:row>16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48ABB6E-1156-27A9-AB12-7BF5FA875EB6}"/>
            </a:ext>
          </a:extLst>
        </xdr:cNvPr>
        <xdr:cNvCxnSpPr/>
      </xdr:nvCxnSpPr>
      <xdr:spPr>
        <a:xfrm flipV="1">
          <a:off x="3657600" y="2971800"/>
          <a:ext cx="2276475" cy="9525"/>
        </a:xfrm>
        <a:prstGeom prst="straightConnector1">
          <a:avLst/>
        </a:prstGeom>
        <a:ln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13</xdr:row>
      <xdr:rowOff>152400</xdr:rowOff>
    </xdr:from>
    <xdr:to>
      <xdr:col>9</xdr:col>
      <xdr:colOff>438150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64E514B-EBFB-42CC-A431-8C4CCB7754CA}"/>
            </a:ext>
          </a:extLst>
        </xdr:cNvPr>
        <xdr:cNvCxnSpPr/>
      </xdr:nvCxnSpPr>
      <xdr:spPr>
        <a:xfrm>
          <a:off x="5924550" y="2438400"/>
          <a:ext cx="0" cy="542925"/>
        </a:xfrm>
        <a:prstGeom prst="straightConnector1">
          <a:avLst/>
        </a:prstGeom>
        <a:ln>
          <a:solidFill>
            <a:srgbClr val="FFFF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211456</xdr:colOff>
      <xdr:row>14</xdr:row>
      <xdr:rowOff>76200</xdr:rowOff>
    </xdr:from>
    <xdr:to>
      <xdr:col>9</xdr:col>
      <xdr:colOff>523875</xdr:colOff>
      <xdr:row>16</xdr:row>
      <xdr:rowOff>9525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0E5A267-A687-E3FC-ECC4-94F83DA645ED}"/>
            </a:ext>
          </a:extLst>
        </xdr:cNvPr>
        <xdr:cNvSpPr txBox="1"/>
      </xdr:nvSpPr>
      <xdr:spPr>
        <a:xfrm>
          <a:off x="5697856" y="2552700"/>
          <a:ext cx="312419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600">
              <a:solidFill>
                <a:schemeClr val="bg1"/>
              </a:solidFill>
            </a:rPr>
            <a:t>r</a:t>
          </a:r>
        </a:p>
      </xdr:txBody>
    </xdr:sp>
    <xdr:clientData/>
  </xdr:twoCellAnchor>
  <xdr:twoCellAnchor>
    <xdr:from>
      <xdr:col>7</xdr:col>
      <xdr:colOff>573406</xdr:colOff>
      <xdr:row>15</xdr:row>
      <xdr:rowOff>0</xdr:rowOff>
    </xdr:from>
    <xdr:to>
      <xdr:col>8</xdr:col>
      <xdr:colOff>276225</xdr:colOff>
      <xdr:row>16</xdr:row>
      <xdr:rowOff>123825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E66EC2-50E2-44A4-AE7D-2097F51FF082}"/>
            </a:ext>
          </a:extLst>
        </xdr:cNvPr>
        <xdr:cNvSpPr txBox="1"/>
      </xdr:nvSpPr>
      <xdr:spPr>
        <a:xfrm>
          <a:off x="4840606" y="2667000"/>
          <a:ext cx="312419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600">
              <a:solidFill>
                <a:schemeClr val="bg1"/>
              </a:solidFill>
            </a:rPr>
            <a:t>L</a:t>
          </a:r>
        </a:p>
      </xdr:txBody>
    </xdr:sp>
    <xdr:clientData/>
  </xdr:twoCellAnchor>
  <xdr:twoCellAnchor editAs="oneCell">
    <xdr:from>
      <xdr:col>5</xdr:col>
      <xdr:colOff>428625</xdr:colOff>
      <xdr:row>38</xdr:row>
      <xdr:rowOff>138920</xdr:rowOff>
    </xdr:from>
    <xdr:to>
      <xdr:col>11</xdr:col>
      <xdr:colOff>581025</xdr:colOff>
      <xdr:row>48</xdr:row>
      <xdr:rowOff>123390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3994E4-ABD0-02E6-099B-3823E4D84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6625" y="6806420"/>
          <a:ext cx="3810000" cy="1889470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33</xdr:row>
      <xdr:rowOff>76200</xdr:rowOff>
    </xdr:from>
    <xdr:to>
      <xdr:col>11</xdr:col>
      <xdr:colOff>447675</xdr:colOff>
      <xdr:row>38</xdr:row>
      <xdr:rowOff>102051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37FDA1F-238A-F498-54F7-A3ADF5912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7100" y="5791200"/>
          <a:ext cx="3686175" cy="978351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33</xdr:row>
      <xdr:rowOff>0</xdr:rowOff>
    </xdr:from>
    <xdr:to>
      <xdr:col>18</xdr:col>
      <xdr:colOff>286438</xdr:colOff>
      <xdr:row>50</xdr:row>
      <xdr:rowOff>151693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AB8FBBB-D57F-BB66-4290-BBDB8FE6B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6650" y="5715000"/>
          <a:ext cx="3772588" cy="3390193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47626</xdr:colOff>
      <xdr:row>33</xdr:row>
      <xdr:rowOff>76200</xdr:rowOff>
    </xdr:from>
    <xdr:to>
      <xdr:col>24</xdr:col>
      <xdr:colOff>477586</xdr:colOff>
      <xdr:row>53</xdr:row>
      <xdr:rowOff>19050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DCFA694-8F16-CA65-D861-5B19677E8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30026" y="5791200"/>
          <a:ext cx="3477960" cy="3752850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53</xdr:row>
      <xdr:rowOff>47625</xdr:rowOff>
    </xdr:from>
    <xdr:to>
      <xdr:col>13</xdr:col>
      <xdr:colOff>13853</xdr:colOff>
      <xdr:row>72</xdr:row>
      <xdr:rowOff>66675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AEA0668-A5A0-FE9C-D2D2-897D7B8D6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29075" y="9572625"/>
          <a:ext cx="3909578" cy="3638550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75</xdr:row>
      <xdr:rowOff>57150</xdr:rowOff>
    </xdr:from>
    <xdr:to>
      <xdr:col>13</xdr:col>
      <xdr:colOff>186821</xdr:colOff>
      <xdr:row>88</xdr:row>
      <xdr:rowOff>161390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0111A82-DF73-218D-31D0-98B40C4E1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76700" y="13773150"/>
          <a:ext cx="4034921" cy="2580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8</xdr:row>
      <xdr:rowOff>161925</xdr:rowOff>
    </xdr:from>
    <xdr:to>
      <xdr:col>13</xdr:col>
      <xdr:colOff>134950</xdr:colOff>
      <xdr:row>30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E9F146FE-492C-84FA-9EF8-838171123034}"/>
            </a:ext>
          </a:extLst>
        </xdr:cNvPr>
        <xdr:cNvGrpSpPr/>
      </xdr:nvGrpSpPr>
      <xdr:grpSpPr>
        <a:xfrm>
          <a:off x="2938829" y="1685925"/>
          <a:ext cx="5446236" cy="4067175"/>
          <a:chOff x="2947166" y="1685925"/>
          <a:chExt cx="5471250" cy="406717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77331D05-3C76-2A0A-74D5-BDA61BDCC9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947166" y="1685925"/>
            <a:ext cx="5471250" cy="4067175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6968C17-AC5F-27C6-3F29-535B2888768F}"/>
              </a:ext>
            </a:extLst>
          </xdr:cNvPr>
          <xdr:cNvSpPr txBox="1"/>
        </xdr:nvSpPr>
        <xdr:spPr>
          <a:xfrm>
            <a:off x="3063287" y="3630040"/>
            <a:ext cx="35735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>
                <a:solidFill>
                  <a:srgbClr val="FF0000"/>
                </a:solidFill>
              </a:rPr>
              <a:t>CG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5AE1A26-7A4A-41D0-A39A-8E238759BDA7}"/>
              </a:ext>
            </a:extLst>
          </xdr:cNvPr>
          <xdr:cNvSpPr txBox="1"/>
        </xdr:nvSpPr>
        <xdr:spPr>
          <a:xfrm>
            <a:off x="3061974" y="4050066"/>
            <a:ext cx="33278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CA" sz="1100">
                <a:solidFill>
                  <a:srgbClr val="FF0000"/>
                </a:solidFill>
              </a:rPr>
              <a:t>CP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DC8054B4-C681-2AA2-7CA7-A058DB865028}"/>
              </a:ext>
            </a:extLst>
          </xdr:cNvPr>
          <xdr:cNvCxnSpPr/>
        </xdr:nvCxnSpPr>
        <xdr:spPr>
          <a:xfrm>
            <a:off x="3339423" y="3818659"/>
            <a:ext cx="293215" cy="19497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77EB7115-BE7B-4ACF-BF2F-CAD80709B4E1}"/>
              </a:ext>
            </a:extLst>
          </xdr:cNvPr>
          <xdr:cNvCxnSpPr/>
        </xdr:nvCxnSpPr>
        <xdr:spPr>
          <a:xfrm>
            <a:off x="3300457" y="4225636"/>
            <a:ext cx="324388" cy="2607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329648</xdr:colOff>
      <xdr:row>31</xdr:row>
      <xdr:rowOff>103321</xdr:rowOff>
    </xdr:from>
    <xdr:to>
      <xdr:col>12</xdr:col>
      <xdr:colOff>455544</xdr:colOff>
      <xdr:row>52</xdr:row>
      <xdr:rowOff>141760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EBB9B5E-A271-5581-10E7-6368FC216D63}"/>
            </a:ext>
          </a:extLst>
        </xdr:cNvPr>
        <xdr:cNvGrpSpPr/>
      </xdr:nvGrpSpPr>
      <xdr:grpSpPr>
        <a:xfrm>
          <a:off x="3106552" y="6008821"/>
          <a:ext cx="4990973" cy="4038939"/>
          <a:chOff x="2899541" y="5784235"/>
          <a:chExt cx="5402975" cy="441396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402F86C-625C-9318-10DA-B4DD044A62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899541" y="5784235"/>
            <a:ext cx="5402975" cy="4413963"/>
          </a:xfrm>
          <a:prstGeom prst="rect">
            <a:avLst/>
          </a:prstGeom>
        </xdr:spPr>
      </xdr:pic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BA26EE93-DF66-45C6-B44A-412BFE6E5034}"/>
              </a:ext>
            </a:extLst>
          </xdr:cNvPr>
          <xdr:cNvSpPr txBox="1"/>
        </xdr:nvSpPr>
        <xdr:spPr>
          <a:xfrm>
            <a:off x="3189710" y="7878190"/>
            <a:ext cx="387873" cy="2891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CA" sz="1100">
                <a:solidFill>
                  <a:srgbClr val="FF0000"/>
                </a:solidFill>
              </a:rPr>
              <a:t>CG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5D2B9E13-291B-440F-811F-5719F626AF28}"/>
              </a:ext>
            </a:extLst>
          </xdr:cNvPr>
          <xdr:cNvSpPr txBox="1"/>
        </xdr:nvSpPr>
        <xdr:spPr>
          <a:xfrm>
            <a:off x="3188397" y="8298216"/>
            <a:ext cx="33278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CA" sz="1100">
                <a:solidFill>
                  <a:srgbClr val="FF0000"/>
                </a:solidFill>
              </a:rPr>
              <a:t>CP</a:t>
            </a:r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EE45698E-C1AC-4C6C-AE6A-F7BCAE61FC47}"/>
              </a:ext>
            </a:extLst>
          </xdr:cNvPr>
          <xdr:cNvCxnSpPr/>
        </xdr:nvCxnSpPr>
        <xdr:spPr>
          <a:xfrm>
            <a:off x="3466294" y="8066809"/>
            <a:ext cx="292767" cy="19497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01204D24-2C70-4394-857A-CE0EFF896E9F}"/>
              </a:ext>
            </a:extLst>
          </xdr:cNvPr>
          <xdr:cNvCxnSpPr/>
        </xdr:nvCxnSpPr>
        <xdr:spPr>
          <a:xfrm>
            <a:off x="3427328" y="8473786"/>
            <a:ext cx="323849" cy="21561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342447</xdr:colOff>
      <xdr:row>8</xdr:row>
      <xdr:rowOff>190499</xdr:rowOff>
    </xdr:from>
    <xdr:to>
      <xdr:col>22</xdr:col>
      <xdr:colOff>74543</xdr:colOff>
      <xdr:row>30</xdr:row>
      <xdr:rowOff>29670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39E4DA6B-2566-C1D0-D13A-202EF1F24D7C}"/>
            </a:ext>
          </a:extLst>
        </xdr:cNvPr>
        <xdr:cNvGrpSpPr/>
      </xdr:nvGrpSpPr>
      <xdr:grpSpPr>
        <a:xfrm>
          <a:off x="8592562" y="1714499"/>
          <a:ext cx="5205308" cy="4030171"/>
          <a:chOff x="8592562" y="1714499"/>
          <a:chExt cx="5205308" cy="4030171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5AEB59A4-6DB0-DCF3-BED8-BABBC918E3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592562" y="1714499"/>
            <a:ext cx="5205308" cy="4030171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309D81F-71D5-4FA3-ADD4-3B1381F7A043}"/>
              </a:ext>
            </a:extLst>
          </xdr:cNvPr>
          <xdr:cNvSpPr txBox="1"/>
        </xdr:nvSpPr>
        <xdr:spPr>
          <a:xfrm>
            <a:off x="8727099" y="3561617"/>
            <a:ext cx="35571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CA" sz="1100">
                <a:solidFill>
                  <a:srgbClr val="FF0000"/>
                </a:solidFill>
              </a:rPr>
              <a:t>CG</a:t>
            </a:r>
          </a:p>
        </xdr:txBody>
      </xdr: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AB09FCC5-9836-4C8A-ABC0-510EF6AC6776}"/>
              </a:ext>
            </a:extLst>
          </xdr:cNvPr>
          <xdr:cNvCxnSpPr/>
        </xdr:nvCxnSpPr>
        <xdr:spPr>
          <a:xfrm>
            <a:off x="9001973" y="3750236"/>
            <a:ext cx="291874" cy="19497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09B25CD-E0FD-4C11-B0BD-7C3594A6BC5A}"/>
              </a:ext>
            </a:extLst>
          </xdr:cNvPr>
          <xdr:cNvSpPr txBox="1"/>
        </xdr:nvSpPr>
        <xdr:spPr>
          <a:xfrm>
            <a:off x="8734425" y="4118463"/>
            <a:ext cx="3312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CA" sz="1100">
                <a:solidFill>
                  <a:srgbClr val="FF0000"/>
                </a:solidFill>
              </a:rPr>
              <a:t>CP</a:t>
            </a:r>
          </a:p>
        </xdr:txBody>
      </xdr: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42A0BE9E-383D-424C-A649-915FFECA4502}"/>
              </a:ext>
            </a:extLst>
          </xdr:cNvPr>
          <xdr:cNvCxnSpPr/>
        </xdr:nvCxnSpPr>
        <xdr:spPr>
          <a:xfrm>
            <a:off x="8971818" y="4294033"/>
            <a:ext cx="322905" cy="2607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80596</xdr:colOff>
      <xdr:row>31</xdr:row>
      <xdr:rowOff>109904</xdr:rowOff>
    </xdr:from>
    <xdr:to>
      <xdr:col>21</xdr:col>
      <xdr:colOff>303014</xdr:colOff>
      <xdr:row>52</xdr:row>
      <xdr:rowOff>150657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9B7D1BE-C551-F12B-8265-C7D5DF078BAE}"/>
            </a:ext>
          </a:extLst>
        </xdr:cNvPr>
        <xdr:cNvGrpSpPr/>
      </xdr:nvGrpSpPr>
      <xdr:grpSpPr>
        <a:xfrm>
          <a:off x="8330711" y="6015404"/>
          <a:ext cx="5087495" cy="4041253"/>
          <a:chOff x="8330711" y="6015404"/>
          <a:chExt cx="5087495" cy="4041253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2C3EE6E7-496F-6D2F-6E07-67A78FF5FC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330711" y="6015404"/>
            <a:ext cx="5087495" cy="4041253"/>
          </a:xfrm>
          <a:prstGeom prst="rect">
            <a:avLst/>
          </a:prstGeom>
        </xdr:spPr>
      </xdr:pic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4B94D444-A7D3-417C-B43C-015B052789B4}"/>
              </a:ext>
            </a:extLst>
          </xdr:cNvPr>
          <xdr:cNvSpPr txBox="1"/>
        </xdr:nvSpPr>
        <xdr:spPr>
          <a:xfrm>
            <a:off x="8551669" y="7752629"/>
            <a:ext cx="35829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CA" sz="1100">
                <a:solidFill>
                  <a:srgbClr val="FF0000"/>
                </a:solidFill>
              </a:rPr>
              <a:t>CG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B44EEB5D-31C4-4E03-856B-0C537F4D7276}"/>
              </a:ext>
            </a:extLst>
          </xdr:cNvPr>
          <xdr:cNvSpPr txBox="1"/>
        </xdr:nvSpPr>
        <xdr:spPr>
          <a:xfrm>
            <a:off x="8550456" y="8364103"/>
            <a:ext cx="307407" cy="2420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CA" sz="1100">
                <a:solidFill>
                  <a:srgbClr val="FF0000"/>
                </a:solidFill>
              </a:rPr>
              <a:t>CP</a:t>
            </a:r>
          </a:p>
        </xdr:txBody>
      </xdr: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765805BF-6E5A-4C4C-8418-8B275D43EB8B}"/>
              </a:ext>
            </a:extLst>
          </xdr:cNvPr>
          <xdr:cNvCxnSpPr/>
        </xdr:nvCxnSpPr>
        <xdr:spPr>
          <a:xfrm>
            <a:off x="8807162" y="7925222"/>
            <a:ext cx="270442" cy="17841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32D6260B-3DFA-4C33-8DF1-9FF53AB5E2F8}"/>
              </a:ext>
            </a:extLst>
          </xdr:cNvPr>
          <xdr:cNvCxnSpPr/>
        </xdr:nvCxnSpPr>
        <xdr:spPr>
          <a:xfrm>
            <a:off x="8771168" y="8524756"/>
            <a:ext cx="299154" cy="19729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cketmime.com/rockets/multistg.html" TargetMode="External"/><Relationship Id="rId2" Type="http://schemas.openxmlformats.org/officeDocument/2006/relationships/hyperlink" Target="https://estesrockets.com/product/001691-e12-0-engines/" TargetMode="External"/><Relationship Id="rId1" Type="http://schemas.openxmlformats.org/officeDocument/2006/relationships/hyperlink" Target="https://estesrockets.com/product/001694-e12-8-engine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stesrockets.com/products/d12-5-engine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translatorscafe.com/unit-converter/en-US/calculator/parachute-siz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servidor.demec.ufpr.br/CFD/bibliografia/aerodinamica/Crowell_1996.pdf" TargetMode="External"/><Relationship Id="rId1" Type="http://schemas.openxmlformats.org/officeDocument/2006/relationships/hyperlink" Target="https://www.youtube.com/redirect?event=video_description&amp;redir_token=QUFFLUhqbG1EeEV4NzE4RGVNRHA1MFBCNlREOFlLT09CZ3xBQ3Jtc0tsNXZWeXVwWk9qLWZfa2w1RkRXWVVKTUlBRlp0dU0tS2xFYWZkcE1Pa1I1elZoVUU0MFJTZmpYTUNtOGt3dWlsdEdCMVV1ZUJIYW1WN1BqQ0NRbWFnWGdPT0lncUZ3cFZrRTJCZ3lud3BmTVAzbWtTVQ&amp;q=https%3A%2F%2Fwww.apogeerockets.com%2Fdownloads%2Fbarrowman_report.pdf&amp;v=jikEHfFwBd8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8967-48F6-40A3-8CB8-B6C16603ED0F}">
  <dimension ref="B2:O43"/>
  <sheetViews>
    <sheetView workbookViewId="0">
      <selection activeCell="V24" sqref="V24"/>
    </sheetView>
  </sheetViews>
  <sheetFormatPr defaultRowHeight="15" x14ac:dyDescent="0.25"/>
  <cols>
    <col min="3" max="3" width="31.7109375" style="4" bestFit="1" customWidth="1"/>
    <col min="9" max="9" width="13.140625" bestFit="1" customWidth="1"/>
    <col min="10" max="10" width="12.5703125" bestFit="1" customWidth="1"/>
  </cols>
  <sheetData>
    <row r="2" spans="2:15" x14ac:dyDescent="0.25">
      <c r="B2" t="s">
        <v>23</v>
      </c>
      <c r="C2" s="4" t="s">
        <v>1</v>
      </c>
      <c r="D2">
        <f>'Measured Weights'!C3+'Measured Weights'!C4+'Measured Weights'!C6+0.01</f>
        <v>0.501</v>
      </c>
      <c r="E2" t="s">
        <v>0</v>
      </c>
      <c r="F2" t="s">
        <v>96</v>
      </c>
      <c r="I2" t="s">
        <v>25</v>
      </c>
      <c r="J2" t="s">
        <v>29</v>
      </c>
      <c r="K2">
        <v>12</v>
      </c>
      <c r="L2" t="s">
        <v>24</v>
      </c>
      <c r="O2" s="7" t="s">
        <v>71</v>
      </c>
    </row>
    <row r="3" spans="2:15" x14ac:dyDescent="0.25">
      <c r="C3" s="4" t="s">
        <v>3</v>
      </c>
      <c r="D3" s="1">
        <f>'Measured Weights'!C5</f>
        <v>0.09</v>
      </c>
      <c r="E3" t="s">
        <v>0</v>
      </c>
      <c r="J3" t="s">
        <v>26</v>
      </c>
      <c r="K3">
        <v>31.3</v>
      </c>
      <c r="L3" t="s">
        <v>24</v>
      </c>
    </row>
    <row r="4" spans="2:15" x14ac:dyDescent="0.25">
      <c r="C4" s="4" t="s">
        <v>4</v>
      </c>
      <c r="D4">
        <v>6.3500000000000001E-2</v>
      </c>
      <c r="E4" t="s">
        <v>0</v>
      </c>
      <c r="J4" t="s">
        <v>30</v>
      </c>
      <c r="K4">
        <v>28.8</v>
      </c>
      <c r="L4" t="s">
        <v>27</v>
      </c>
      <c r="O4" s="7" t="s">
        <v>72</v>
      </c>
    </row>
    <row r="5" spans="2:15" x14ac:dyDescent="0.25">
      <c r="C5" s="4" t="s">
        <v>10</v>
      </c>
      <c r="D5">
        <v>5.8099999999999999E-2</v>
      </c>
      <c r="E5" t="s">
        <v>0</v>
      </c>
      <c r="J5" t="s">
        <v>28</v>
      </c>
      <c r="K5" s="3">
        <f>K4/K2</f>
        <v>2.4</v>
      </c>
      <c r="L5" t="s">
        <v>31</v>
      </c>
    </row>
    <row r="6" spans="2:15" x14ac:dyDescent="0.25">
      <c r="C6" s="4" t="s">
        <v>2</v>
      </c>
      <c r="D6">
        <v>3.6900000000000002E-2</v>
      </c>
      <c r="E6" t="s">
        <v>0</v>
      </c>
    </row>
    <row r="7" spans="2:15" x14ac:dyDescent="0.25">
      <c r="C7" s="4" t="s">
        <v>5</v>
      </c>
      <c r="D7">
        <f>'Measured Weights'!C7</f>
        <v>4.1000000000000002E-2</v>
      </c>
      <c r="E7" t="s">
        <v>0</v>
      </c>
      <c r="I7" t="s">
        <v>32</v>
      </c>
      <c r="J7" t="s">
        <v>29</v>
      </c>
      <c r="K7">
        <v>12</v>
      </c>
      <c r="L7" t="s">
        <v>24</v>
      </c>
    </row>
    <row r="8" spans="2:15" x14ac:dyDescent="0.25">
      <c r="C8" s="4" t="s">
        <v>91</v>
      </c>
      <c r="D8">
        <f>'Measured Weights'!C8</f>
        <v>1.4999999999999999E-2</v>
      </c>
      <c r="E8" t="s">
        <v>0</v>
      </c>
      <c r="J8" t="s">
        <v>26</v>
      </c>
      <c r="K8">
        <v>31.3</v>
      </c>
      <c r="L8" t="s">
        <v>24</v>
      </c>
    </row>
    <row r="9" spans="2:15" x14ac:dyDescent="0.25">
      <c r="J9" t="s">
        <v>30</v>
      </c>
      <c r="K9">
        <v>29.8</v>
      </c>
      <c r="L9" t="s">
        <v>27</v>
      </c>
    </row>
    <row r="10" spans="2:15" x14ac:dyDescent="0.25">
      <c r="C10" s="4" t="s">
        <v>7</v>
      </c>
      <c r="D10" s="1">
        <f>$D$2+$D$3+(3*$D$4)+(3*$D$5)-(3*$D$6/2)+$D$7+$D$8</f>
        <v>0.95645000000000002</v>
      </c>
      <c r="E10" t="s">
        <v>0</v>
      </c>
      <c r="J10" t="s">
        <v>28</v>
      </c>
      <c r="K10" s="3">
        <f>K9/K7</f>
        <v>2.4833333333333334</v>
      </c>
      <c r="L10" t="s">
        <v>31</v>
      </c>
    </row>
    <row r="11" spans="2:15" x14ac:dyDescent="0.25">
      <c r="C11" s="4" t="s">
        <v>8</v>
      </c>
      <c r="D11" s="1">
        <f>$D$2+$D$3+(3*$D$4)+(3*$D$5)-(3*$D$6)+$D$7+$D$8</f>
        <v>0.90110000000000001</v>
      </c>
      <c r="E11" t="s">
        <v>0</v>
      </c>
      <c r="J11" t="s">
        <v>33</v>
      </c>
      <c r="K11">
        <v>8</v>
      </c>
      <c r="L11" t="s">
        <v>31</v>
      </c>
    </row>
    <row r="12" spans="2:15" x14ac:dyDescent="0.25">
      <c r="C12" s="4" t="s">
        <v>9</v>
      </c>
      <c r="D12" s="1">
        <f>$D$2+(3*$D$4)-(3*$D$6/2)+$D$7+$D$8</f>
        <v>0.69215000000000004</v>
      </c>
      <c r="E12" t="s">
        <v>0</v>
      </c>
    </row>
    <row r="13" spans="2:15" x14ac:dyDescent="0.25">
      <c r="C13" s="4" t="s">
        <v>11</v>
      </c>
      <c r="D13" s="1">
        <f>$D$2+(3*$D$4)-(3*$D$6)+$D$7+$D$8</f>
        <v>0.63680000000000003</v>
      </c>
      <c r="E13" t="s">
        <v>0</v>
      </c>
    </row>
    <row r="14" spans="2:15" x14ac:dyDescent="0.25">
      <c r="O14" s="7" t="s">
        <v>74</v>
      </c>
    </row>
    <row r="15" spans="2:15" x14ac:dyDescent="0.25">
      <c r="C15" s="4" t="s">
        <v>15</v>
      </c>
      <c r="D15">
        <v>0.06</v>
      </c>
      <c r="E15" t="s">
        <v>12</v>
      </c>
    </row>
    <row r="16" spans="2:15" x14ac:dyDescent="0.25">
      <c r="C16" s="4" t="s">
        <v>14</v>
      </c>
      <c r="D16">
        <f>(D15^2)*PI()/4</f>
        <v>2.8274333882308137E-3</v>
      </c>
      <c r="E16" t="s">
        <v>13</v>
      </c>
    </row>
    <row r="17" spans="3:7" x14ac:dyDescent="0.25">
      <c r="C17" s="4" t="s">
        <v>18</v>
      </c>
      <c r="D17">
        <v>0.75</v>
      </c>
    </row>
    <row r="18" spans="3:7" x14ac:dyDescent="0.25">
      <c r="C18" s="4" t="s">
        <v>19</v>
      </c>
      <c r="D18">
        <v>1.2</v>
      </c>
      <c r="E18" t="s">
        <v>16</v>
      </c>
    </row>
    <row r="19" spans="3:7" x14ac:dyDescent="0.25">
      <c r="C19" s="4" t="s">
        <v>20</v>
      </c>
      <c r="D19">
        <v>9.81</v>
      </c>
      <c r="E19" t="s">
        <v>21</v>
      </c>
    </row>
    <row r="21" spans="3:7" x14ac:dyDescent="0.25">
      <c r="C21" s="4" t="s">
        <v>17</v>
      </c>
      <c r="D21">
        <f>0.5*$D$18*$D$17*$D$16</f>
        <v>1.2723450247038659E-3</v>
      </c>
      <c r="E21" t="s">
        <v>22</v>
      </c>
    </row>
    <row r="24" spans="3:7" x14ac:dyDescent="0.25">
      <c r="C24" s="5" t="s">
        <v>36</v>
      </c>
    </row>
    <row r="25" spans="3:7" x14ac:dyDescent="0.25">
      <c r="C25" s="4" t="s">
        <v>34</v>
      </c>
      <c r="D25">
        <f>SQRT((($K$2*3)-($D$10*$D$19))/$D$21)</f>
        <v>144.63684638408725</v>
      </c>
    </row>
    <row r="26" spans="3:7" x14ac:dyDescent="0.25">
      <c r="C26" s="4" t="s">
        <v>35</v>
      </c>
      <c r="D26">
        <f>2*$D$21*D25/$D$10</f>
        <v>0.38481462049380677</v>
      </c>
    </row>
    <row r="27" spans="3:7" x14ac:dyDescent="0.25">
      <c r="C27" s="4" t="s">
        <v>39</v>
      </c>
      <c r="D27">
        <f>D25*((1-EXP(-D26*$K$5))/(1+EXP(-D26*$K$5)))</f>
        <v>62.415406045458724</v>
      </c>
      <c r="E27" t="s">
        <v>37</v>
      </c>
    </row>
    <row r="28" spans="3:7" x14ac:dyDescent="0.25">
      <c r="C28" s="4" t="s">
        <v>45</v>
      </c>
      <c r="D28">
        <f>(-$D$10/(2*$D$21))*LN(((3*$K$2)-($D$10*$D$19)-($D$21*D27^2))/((3*$K$2)-($D$10*$D$19)))</f>
        <v>77.451779280915304</v>
      </c>
      <c r="E28" t="s">
        <v>12</v>
      </c>
      <c r="F28">
        <f>D28*3.28084</f>
        <v>254.10689553599818</v>
      </c>
      <c r="G28" t="s">
        <v>38</v>
      </c>
    </row>
    <row r="30" spans="3:7" x14ac:dyDescent="0.25">
      <c r="C30" s="5" t="s">
        <v>40</v>
      </c>
    </row>
    <row r="31" spans="3:7" x14ac:dyDescent="0.25">
      <c r="C31" s="4" t="s">
        <v>34</v>
      </c>
      <c r="D31">
        <f>SQRT((($K$7*3)-($D$12*$D$19))/$D$21)</f>
        <v>151.51770854465693</v>
      </c>
    </row>
    <row r="32" spans="3:7" x14ac:dyDescent="0.25">
      <c r="C32" s="4" t="s">
        <v>35</v>
      </c>
      <c r="D32">
        <f>2*$D$21*D31/$D$12</f>
        <v>0.55705498120732411</v>
      </c>
    </row>
    <row r="33" spans="3:7" x14ac:dyDescent="0.25">
      <c r="C33" s="4" t="s">
        <v>41</v>
      </c>
      <c r="D33">
        <f>(D31+$D$27)/(D31-$D$27)</f>
        <v>2.4009830115449682</v>
      </c>
    </row>
    <row r="34" spans="3:7" x14ac:dyDescent="0.25">
      <c r="C34" s="4" t="s">
        <v>42</v>
      </c>
      <c r="D34">
        <f>D31*((D33-EXP(-D32*$K$10))/(D33+EXP(-D32*$K$10)))</f>
        <v>122.86384664373185</v>
      </c>
      <c r="E34" t="s">
        <v>37</v>
      </c>
    </row>
    <row r="35" spans="3:7" x14ac:dyDescent="0.25">
      <c r="C35" s="4" t="s">
        <v>44</v>
      </c>
      <c r="D35">
        <f>(-$D$10/(2*$D$21))*LN(((3*$K$2)-($D$10*$D$19)-($D$21*D34^2))/((3*$K$2)-($D$10*$D$19)-($D$21*$D$27^2)))</f>
        <v>403.14653792166928</v>
      </c>
      <c r="E35" t="s">
        <v>12</v>
      </c>
      <c r="F35">
        <f>D35*3.28084</f>
        <v>1322.6592874749294</v>
      </c>
      <c r="G35" t="s">
        <v>38</v>
      </c>
    </row>
    <row r="37" spans="3:7" x14ac:dyDescent="0.25">
      <c r="C37" s="5" t="s">
        <v>43</v>
      </c>
    </row>
    <row r="38" spans="3:7" x14ac:dyDescent="0.25">
      <c r="C38" s="4" t="s">
        <v>46</v>
      </c>
      <c r="D38">
        <f>($D$13/(2*$D$21))*LN((($D$13*$D$19)+($D$21*D34^2))/($D$13*$D$19))</f>
        <v>351.53625174552957</v>
      </c>
      <c r="E38" t="s">
        <v>12</v>
      </c>
      <c r="F38">
        <f>D38*3.28084</f>
        <v>1153.3341961768033</v>
      </c>
      <c r="G38" t="s">
        <v>38</v>
      </c>
    </row>
    <row r="39" spans="3:7" x14ac:dyDescent="0.25">
      <c r="C39" s="4" t="s">
        <v>47</v>
      </c>
      <c r="D39">
        <f>SQRT(($D$13*$D$19)/$D$21)</f>
        <v>70.070236464533437</v>
      </c>
    </row>
    <row r="40" spans="3:7" x14ac:dyDescent="0.25">
      <c r="C40" s="4" t="s">
        <v>48</v>
      </c>
      <c r="D40">
        <f>SQRT(($D$19*$D$21)/$D$13)</f>
        <v>0.14000238182392041</v>
      </c>
    </row>
    <row r="41" spans="3:7" x14ac:dyDescent="0.25">
      <c r="C41" s="4" t="s">
        <v>49</v>
      </c>
      <c r="D41">
        <f>ATAN(D34/D39)/D40</f>
        <v>7.5176960128967103</v>
      </c>
      <c r="E41" t="s">
        <v>31</v>
      </c>
    </row>
    <row r="43" spans="3:7" x14ac:dyDescent="0.25">
      <c r="C43" s="4" t="s">
        <v>50</v>
      </c>
      <c r="D43">
        <f>D28+D35+D38</f>
        <v>832.13456894811407</v>
      </c>
      <c r="E43" t="s">
        <v>12</v>
      </c>
      <c r="F43">
        <f>D43*3.28084</f>
        <v>2730.1003791877306</v>
      </c>
      <c r="G43" t="s">
        <v>38</v>
      </c>
    </row>
  </sheetData>
  <hyperlinks>
    <hyperlink ref="O4" r:id="rId1" xr:uid="{2B30CA94-3931-48E9-88F9-74F28CC993C6}"/>
    <hyperlink ref="O2" r:id="rId2" xr:uid="{55FB2024-23DC-491B-B049-2DBE03E30AA1}"/>
    <hyperlink ref="O14" r:id="rId3" xr:uid="{E89ED466-6479-422E-A58B-C21DB67E9587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11A-5D73-4C9C-B687-214911C01D77}">
  <dimension ref="B2:L36"/>
  <sheetViews>
    <sheetView topLeftCell="A7" workbookViewId="0">
      <selection activeCell="J23" sqref="J23"/>
    </sheetView>
  </sheetViews>
  <sheetFormatPr defaultRowHeight="15" x14ac:dyDescent="0.25"/>
  <cols>
    <col min="3" max="3" width="31.7109375" style="4" bestFit="1" customWidth="1"/>
    <col min="9" max="9" width="13.140625" bestFit="1" customWidth="1"/>
    <col min="10" max="10" width="12.5703125" bestFit="1" customWidth="1"/>
  </cols>
  <sheetData>
    <row r="2" spans="2:12" x14ac:dyDescent="0.25">
      <c r="B2" t="s">
        <v>23</v>
      </c>
      <c r="C2" s="4" t="s">
        <v>1</v>
      </c>
      <c r="D2">
        <f>'Altitude 2 stage - E12'!D2</f>
        <v>0.501</v>
      </c>
      <c r="E2" t="s">
        <v>0</v>
      </c>
      <c r="I2" t="s">
        <v>32</v>
      </c>
      <c r="J2" t="s">
        <v>29</v>
      </c>
      <c r="K2">
        <v>12</v>
      </c>
      <c r="L2" t="s">
        <v>24</v>
      </c>
    </row>
    <row r="3" spans="2:12" x14ac:dyDescent="0.25">
      <c r="C3" s="4" t="s">
        <v>3</v>
      </c>
      <c r="D3">
        <f>'Altitude 2 stage - E12'!D3</f>
        <v>0.09</v>
      </c>
      <c r="E3" t="s">
        <v>0</v>
      </c>
      <c r="J3" t="s">
        <v>26</v>
      </c>
      <c r="K3">
        <v>31.3</v>
      </c>
      <c r="L3" t="s">
        <v>24</v>
      </c>
    </row>
    <row r="4" spans="2:12" x14ac:dyDescent="0.25">
      <c r="C4" s="4" t="s">
        <v>4</v>
      </c>
      <c r="D4">
        <f>'Altitude 2 stage - E12'!D4</f>
        <v>6.3500000000000001E-2</v>
      </c>
      <c r="E4" t="s">
        <v>0</v>
      </c>
      <c r="J4" t="s">
        <v>30</v>
      </c>
      <c r="K4">
        <v>29.8</v>
      </c>
      <c r="L4" t="s">
        <v>27</v>
      </c>
    </row>
    <row r="5" spans="2:12" x14ac:dyDescent="0.25">
      <c r="C5" s="4" t="s">
        <v>10</v>
      </c>
      <c r="D5">
        <f>'Altitude 2 stage - E12'!D5</f>
        <v>5.8099999999999999E-2</v>
      </c>
      <c r="E5" t="s">
        <v>0</v>
      </c>
      <c r="J5" t="s">
        <v>28</v>
      </c>
      <c r="K5" s="3">
        <f>K4/K2</f>
        <v>2.4833333333333334</v>
      </c>
      <c r="L5" t="s">
        <v>31</v>
      </c>
    </row>
    <row r="6" spans="2:12" x14ac:dyDescent="0.25">
      <c r="C6" s="4" t="s">
        <v>2</v>
      </c>
      <c r="D6">
        <f>'Altitude 2 stage - E12'!D6</f>
        <v>3.6900000000000002E-2</v>
      </c>
      <c r="E6" t="s">
        <v>0</v>
      </c>
      <c r="J6" t="s">
        <v>33</v>
      </c>
      <c r="K6">
        <v>8</v>
      </c>
      <c r="L6" t="s">
        <v>31</v>
      </c>
    </row>
    <row r="7" spans="2:12" x14ac:dyDescent="0.25">
      <c r="C7" s="4" t="s">
        <v>5</v>
      </c>
      <c r="D7">
        <f>'Altitude 2 stage - E12'!D7</f>
        <v>4.1000000000000002E-2</v>
      </c>
      <c r="E7" t="s">
        <v>0</v>
      </c>
    </row>
    <row r="8" spans="2:12" x14ac:dyDescent="0.25">
      <c r="C8" s="4" t="s">
        <v>6</v>
      </c>
      <c r="D8">
        <f>'Altitude 2 stage - E12'!D8</f>
        <v>1.4999999999999999E-2</v>
      </c>
      <c r="E8" t="s">
        <v>0</v>
      </c>
    </row>
    <row r="10" spans="2:12" x14ac:dyDescent="0.25">
      <c r="D10" s="1"/>
    </row>
    <row r="11" spans="2:12" x14ac:dyDescent="0.25">
      <c r="D11" s="1"/>
    </row>
    <row r="12" spans="2:12" x14ac:dyDescent="0.25">
      <c r="C12" s="4" t="s">
        <v>7</v>
      </c>
      <c r="D12" s="1">
        <f>$D$2+(3*$D$4)-(3*$D$6/2)+$D$7+$D$8</f>
        <v>0.69215000000000004</v>
      </c>
      <c r="E12" t="s">
        <v>0</v>
      </c>
    </row>
    <row r="13" spans="2:12" x14ac:dyDescent="0.25">
      <c r="C13" s="4" t="s">
        <v>8</v>
      </c>
      <c r="D13" s="1">
        <f>$D$2+(3*$D$4)-(3*$D$6)+$D$7+$D$8</f>
        <v>0.63680000000000003</v>
      </c>
      <c r="E13" t="s">
        <v>0</v>
      </c>
    </row>
    <row r="15" spans="2:12" x14ac:dyDescent="0.25">
      <c r="C15" s="4" t="s">
        <v>15</v>
      </c>
      <c r="D15">
        <v>0.06</v>
      </c>
      <c r="E15" t="s">
        <v>12</v>
      </c>
    </row>
    <row r="16" spans="2:12" x14ac:dyDescent="0.25">
      <c r="C16" s="4" t="s">
        <v>14</v>
      </c>
      <c r="D16">
        <f>(D15^2)*PI()/4</f>
        <v>2.8274333882308137E-3</v>
      </c>
      <c r="E16" t="s">
        <v>13</v>
      </c>
    </row>
    <row r="17" spans="3:7" x14ac:dyDescent="0.25">
      <c r="C17" s="4" t="s">
        <v>18</v>
      </c>
      <c r="D17">
        <v>0.75</v>
      </c>
    </row>
    <row r="18" spans="3:7" x14ac:dyDescent="0.25">
      <c r="C18" s="4" t="s">
        <v>19</v>
      </c>
      <c r="D18">
        <v>1.2</v>
      </c>
      <c r="E18" t="s">
        <v>16</v>
      </c>
    </row>
    <row r="19" spans="3:7" x14ac:dyDescent="0.25">
      <c r="C19" s="4" t="s">
        <v>20</v>
      </c>
      <c r="D19">
        <v>9.81</v>
      </c>
      <c r="E19" t="s">
        <v>21</v>
      </c>
    </row>
    <row r="21" spans="3:7" x14ac:dyDescent="0.25">
      <c r="C21" s="4" t="s">
        <v>17</v>
      </c>
      <c r="D21">
        <f>0.5*$D$18*$D$17*$D$16</f>
        <v>1.2723450247038659E-3</v>
      </c>
      <c r="E21" t="s">
        <v>22</v>
      </c>
    </row>
    <row r="24" spans="3:7" x14ac:dyDescent="0.25">
      <c r="C24" s="5" t="s">
        <v>36</v>
      </c>
    </row>
    <row r="25" spans="3:7" x14ac:dyDescent="0.25">
      <c r="C25" s="4" t="s">
        <v>34</v>
      </c>
      <c r="D25">
        <f>SQRT((($K$2*3)-($D$12*$D$19))/$D$21)</f>
        <v>151.51770854465693</v>
      </c>
    </row>
    <row r="26" spans="3:7" x14ac:dyDescent="0.25">
      <c r="C26" s="4" t="s">
        <v>35</v>
      </c>
      <c r="D26">
        <f>2*$D$21*D25/$D$12</f>
        <v>0.55705498120732411</v>
      </c>
    </row>
    <row r="27" spans="3:7" x14ac:dyDescent="0.25">
      <c r="C27" s="4" t="s">
        <v>39</v>
      </c>
      <c r="D27">
        <f>D25*((1-EXP(-D26*$K$5))/(1+EXP(-D26*$K$5)))</f>
        <v>90.767895296057603</v>
      </c>
      <c r="E27" t="s">
        <v>37</v>
      </c>
    </row>
    <row r="28" spans="3:7" x14ac:dyDescent="0.25">
      <c r="C28" s="4" t="s">
        <v>45</v>
      </c>
      <c r="D28">
        <f>(-$D$12/(2*$D$21))*LN(((3*$K$2)-($D$12*$D$19)-($D$21*D27^2))/((3*$K$2)-($D$12*$D$19)))</f>
        <v>120.90947708244111</v>
      </c>
      <c r="E28" t="s">
        <v>12</v>
      </c>
      <c r="F28">
        <f>D28*3.28084</f>
        <v>396.68464879115612</v>
      </c>
      <c r="G28" t="s">
        <v>38</v>
      </c>
    </row>
    <row r="30" spans="3:7" x14ac:dyDescent="0.25">
      <c r="C30" s="5" t="s">
        <v>43</v>
      </c>
    </row>
    <row r="31" spans="3:7" x14ac:dyDescent="0.25">
      <c r="C31" s="4" t="s">
        <v>46</v>
      </c>
      <c r="D31">
        <f>($D$13/(2*$D$21))*LN((($D$13*$D$19)+($D$21*D27^2))/($D$13*$D$19))</f>
        <v>246.51241987880738</v>
      </c>
      <c r="E31" t="s">
        <v>12</v>
      </c>
      <c r="F31">
        <f>D31*3.28084</f>
        <v>808.76780763518639</v>
      </c>
      <c r="G31" t="s">
        <v>38</v>
      </c>
    </row>
    <row r="32" spans="3:7" x14ac:dyDescent="0.25">
      <c r="C32" s="4" t="s">
        <v>47</v>
      </c>
      <c r="D32">
        <f>SQRT(($D$13*$D$19)/$D$21)</f>
        <v>70.070236464533437</v>
      </c>
    </row>
    <row r="33" spans="3:7" x14ac:dyDescent="0.25">
      <c r="C33" s="4" t="s">
        <v>48</v>
      </c>
      <c r="D33">
        <f>SQRT(($D$19*$D$21)/$D$13)</f>
        <v>0.14000238182392041</v>
      </c>
    </row>
    <row r="34" spans="3:7" x14ac:dyDescent="0.25">
      <c r="C34" s="4" t="s">
        <v>49</v>
      </c>
      <c r="D34">
        <f>ATAN(D27/D32)/D33</f>
        <v>6.5240393753150308</v>
      </c>
      <c r="E34" t="s">
        <v>31</v>
      </c>
    </row>
    <row r="36" spans="3:7" x14ac:dyDescent="0.25">
      <c r="C36" s="4" t="s">
        <v>50</v>
      </c>
      <c r="D36">
        <f>D28+D31</f>
        <v>367.42189696124848</v>
      </c>
      <c r="E36" t="s">
        <v>12</v>
      </c>
      <c r="F36">
        <f>D36*3.28084</f>
        <v>1205.4524564263425</v>
      </c>
      <c r="G36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553C-0762-41D3-A1EB-FA52488B0F91}">
  <dimension ref="B2:N36"/>
  <sheetViews>
    <sheetView workbookViewId="0">
      <selection activeCell="O33" sqref="O33"/>
    </sheetView>
  </sheetViews>
  <sheetFormatPr defaultRowHeight="15" x14ac:dyDescent="0.25"/>
  <cols>
    <col min="3" max="3" width="31.7109375" style="4" bestFit="1" customWidth="1"/>
    <col min="9" max="9" width="13.140625" bestFit="1" customWidth="1"/>
    <col min="10" max="10" width="12.5703125" bestFit="1" customWidth="1"/>
  </cols>
  <sheetData>
    <row r="2" spans="2:14" x14ac:dyDescent="0.25">
      <c r="B2" t="s">
        <v>23</v>
      </c>
      <c r="C2" s="4" t="s">
        <v>1</v>
      </c>
      <c r="D2">
        <f>'Altitude 2 stage - E12'!D2</f>
        <v>0.501</v>
      </c>
      <c r="E2" t="s">
        <v>0</v>
      </c>
      <c r="I2" t="s">
        <v>51</v>
      </c>
      <c r="J2" t="s">
        <v>29</v>
      </c>
      <c r="K2">
        <v>12</v>
      </c>
      <c r="L2" t="s">
        <v>24</v>
      </c>
      <c r="N2" s="7" t="s">
        <v>73</v>
      </c>
    </row>
    <row r="3" spans="2:14" x14ac:dyDescent="0.25">
      <c r="C3" s="4" t="s">
        <v>3</v>
      </c>
      <c r="D3">
        <f>'Altitude 2 stage - E12'!D3</f>
        <v>0.09</v>
      </c>
      <c r="E3" t="s">
        <v>0</v>
      </c>
      <c r="J3" t="s">
        <v>26</v>
      </c>
      <c r="K3">
        <v>31.3</v>
      </c>
      <c r="L3" t="s">
        <v>24</v>
      </c>
    </row>
    <row r="4" spans="2:14" x14ac:dyDescent="0.25">
      <c r="C4" s="4" t="s">
        <v>52</v>
      </c>
      <c r="D4">
        <f>0.0456+0.004</f>
        <v>4.9600000000000005E-2</v>
      </c>
      <c r="E4" t="s">
        <v>0</v>
      </c>
      <c r="F4" t="s">
        <v>53</v>
      </c>
      <c r="J4" t="s">
        <v>30</v>
      </c>
      <c r="K4">
        <v>20</v>
      </c>
      <c r="L4" t="s">
        <v>27</v>
      </c>
    </row>
    <row r="5" spans="2:14" x14ac:dyDescent="0.25">
      <c r="C5" s="4" t="s">
        <v>10</v>
      </c>
      <c r="D5">
        <f>'Altitude 2 stage - E12'!D5</f>
        <v>5.8099999999999999E-2</v>
      </c>
      <c r="E5" t="s">
        <v>0</v>
      </c>
      <c r="J5" t="s">
        <v>28</v>
      </c>
      <c r="K5" s="3">
        <f>K4/K2</f>
        <v>1.6666666666666667</v>
      </c>
      <c r="L5" t="s">
        <v>31</v>
      </c>
    </row>
    <row r="6" spans="2:14" x14ac:dyDescent="0.25">
      <c r="C6" s="4" t="s">
        <v>2</v>
      </c>
      <c r="D6">
        <f>'Altitude 2 stage - E12'!D6</f>
        <v>3.6900000000000002E-2</v>
      </c>
      <c r="E6" t="s">
        <v>0</v>
      </c>
      <c r="J6" t="s">
        <v>33</v>
      </c>
      <c r="K6">
        <v>5</v>
      </c>
      <c r="L6" t="s">
        <v>31</v>
      </c>
    </row>
    <row r="7" spans="2:14" x14ac:dyDescent="0.25">
      <c r="C7" s="4" t="s">
        <v>5</v>
      </c>
      <c r="D7">
        <f>'Altitude 2 stage - E12'!D7</f>
        <v>4.1000000000000002E-2</v>
      </c>
      <c r="E7" t="s">
        <v>0</v>
      </c>
    </row>
    <row r="8" spans="2:14" x14ac:dyDescent="0.25">
      <c r="C8" s="4" t="s">
        <v>6</v>
      </c>
      <c r="D8">
        <f>'Altitude 2 stage - E12'!D8</f>
        <v>1.4999999999999999E-2</v>
      </c>
      <c r="E8" t="s">
        <v>0</v>
      </c>
    </row>
    <row r="10" spans="2:14" x14ac:dyDescent="0.25">
      <c r="D10" s="1"/>
    </row>
    <row r="11" spans="2:14" x14ac:dyDescent="0.25">
      <c r="D11" s="1"/>
    </row>
    <row r="12" spans="2:14" x14ac:dyDescent="0.25">
      <c r="C12" s="4" t="s">
        <v>7</v>
      </c>
      <c r="D12" s="1">
        <f>$D$2+(3*$D$4)-(3*$D$6/2)+$D$7+$D$8</f>
        <v>0.65045000000000008</v>
      </c>
      <c r="E12" t="s">
        <v>0</v>
      </c>
    </row>
    <row r="13" spans="2:14" x14ac:dyDescent="0.25">
      <c r="C13" s="4" t="s">
        <v>8</v>
      </c>
      <c r="D13" s="1">
        <f>$D$2+(3*$D$4)-(3*$D$6)+$D$7+$D$8</f>
        <v>0.59510000000000007</v>
      </c>
      <c r="E13" t="s">
        <v>0</v>
      </c>
    </row>
    <row r="15" spans="2:14" x14ac:dyDescent="0.25">
      <c r="C15" s="4" t="s">
        <v>15</v>
      </c>
      <c r="D15">
        <v>0.06</v>
      </c>
      <c r="E15" t="s">
        <v>12</v>
      </c>
    </row>
    <row r="16" spans="2:14" x14ac:dyDescent="0.25">
      <c r="C16" s="4" t="s">
        <v>14</v>
      </c>
      <c r="D16">
        <f>(D15^2)*PI()/4</f>
        <v>2.8274333882308137E-3</v>
      </c>
      <c r="E16" t="s">
        <v>13</v>
      </c>
    </row>
    <row r="17" spans="3:7" x14ac:dyDescent="0.25">
      <c r="C17" s="4" t="s">
        <v>18</v>
      </c>
      <c r="D17">
        <v>0.75</v>
      </c>
    </row>
    <row r="18" spans="3:7" x14ac:dyDescent="0.25">
      <c r="C18" s="4" t="s">
        <v>19</v>
      </c>
      <c r="D18">
        <v>1.2</v>
      </c>
      <c r="E18" t="s">
        <v>16</v>
      </c>
    </row>
    <row r="19" spans="3:7" x14ac:dyDescent="0.25">
      <c r="C19" s="4" t="s">
        <v>20</v>
      </c>
      <c r="D19">
        <v>9.81</v>
      </c>
      <c r="E19" t="s">
        <v>21</v>
      </c>
    </row>
    <row r="21" spans="3:7" x14ac:dyDescent="0.25">
      <c r="C21" s="4" t="s">
        <v>17</v>
      </c>
      <c r="D21">
        <f>0.5*$D$18*$D$17*$D$16</f>
        <v>1.2723450247038659E-3</v>
      </c>
      <c r="E21" t="s">
        <v>22</v>
      </c>
    </row>
    <row r="24" spans="3:7" x14ac:dyDescent="0.25">
      <c r="C24" s="5" t="s">
        <v>36</v>
      </c>
    </row>
    <row r="25" spans="3:7" x14ac:dyDescent="0.25">
      <c r="C25" s="4" t="s">
        <v>34</v>
      </c>
      <c r="D25">
        <f>SQRT((($K$2*3)-($D$12*$D$19))/$D$21)</f>
        <v>152.57499863453486</v>
      </c>
    </row>
    <row r="26" spans="3:7" x14ac:dyDescent="0.25">
      <c r="C26" s="4" t="s">
        <v>35</v>
      </c>
      <c r="D26">
        <f>2*$D$21*D25/$D$12</f>
        <v>0.59690380630901552</v>
      </c>
    </row>
    <row r="27" spans="3:7" x14ac:dyDescent="0.25">
      <c r="C27" s="4" t="s">
        <v>39</v>
      </c>
      <c r="D27">
        <f>D25*((1-EXP(-D26*$K$5))/(1+EXP(-D26*$K$5)))</f>
        <v>70.1975563359033</v>
      </c>
      <c r="E27" t="s">
        <v>37</v>
      </c>
    </row>
    <row r="28" spans="3:7" x14ac:dyDescent="0.25">
      <c r="C28" s="4" t="s">
        <v>45</v>
      </c>
      <c r="D28">
        <f>(-$D$12/(2*$D$21))*LN(((3*$K$2)-($D$12*$D$19)-($D$21*D27^2))/((3*$K$2)-($D$12*$D$19)))</f>
        <v>60.796897170966318</v>
      </c>
      <c r="E28" t="s">
        <v>12</v>
      </c>
      <c r="F28">
        <f>D28*3.28084</f>
        <v>199.46489211439314</v>
      </c>
      <c r="G28" t="s">
        <v>38</v>
      </c>
    </row>
    <row r="30" spans="3:7" x14ac:dyDescent="0.25">
      <c r="C30" s="5" t="s">
        <v>43</v>
      </c>
    </row>
    <row r="31" spans="3:7" x14ac:dyDescent="0.25">
      <c r="C31" s="4" t="s">
        <v>46</v>
      </c>
      <c r="D31">
        <f>($D$13/(2*$D$21))*LN((($D$13*$D$19)+($D$21*D27^2))/($D$13*$D$19))</f>
        <v>170.59163351969212</v>
      </c>
      <c r="E31" t="s">
        <v>12</v>
      </c>
      <c r="F31">
        <f>D31*3.28084</f>
        <v>559.68385491674667</v>
      </c>
      <c r="G31" t="s">
        <v>38</v>
      </c>
    </row>
    <row r="32" spans="3:7" x14ac:dyDescent="0.25">
      <c r="C32" s="4" t="s">
        <v>47</v>
      </c>
      <c r="D32">
        <f>SQRT(($D$13*$D$19)/$D$21)</f>
        <v>67.737167290129008</v>
      </c>
    </row>
    <row r="33" spans="3:7" x14ac:dyDescent="0.25">
      <c r="C33" s="4" t="s">
        <v>48</v>
      </c>
      <c r="D33">
        <f>SQRT(($D$19*$D$21)/$D$13)</f>
        <v>0.14482447956499594</v>
      </c>
    </row>
    <row r="34" spans="3:7" x14ac:dyDescent="0.25">
      <c r="C34" s="4" t="s">
        <v>49</v>
      </c>
      <c r="D34">
        <f>ATAN(D27/D32)/D33</f>
        <v>5.5462558394560846</v>
      </c>
      <c r="E34" t="s">
        <v>31</v>
      </c>
    </row>
    <row r="36" spans="3:7" x14ac:dyDescent="0.25">
      <c r="C36" s="4" t="s">
        <v>50</v>
      </c>
      <c r="D36">
        <f>D28+D31</f>
        <v>231.38853069065846</v>
      </c>
      <c r="E36" t="s">
        <v>12</v>
      </c>
      <c r="F36">
        <f>D36*3.28084</f>
        <v>759.14874703113992</v>
      </c>
      <c r="G36" t="s">
        <v>38</v>
      </c>
    </row>
  </sheetData>
  <hyperlinks>
    <hyperlink ref="N2" r:id="rId1" xr:uid="{0B7E9443-4D12-40F7-B0E8-27C196D58EA8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B11D-6E6C-47DC-9002-AC997B33794A}">
  <dimension ref="B2:E8"/>
  <sheetViews>
    <sheetView workbookViewId="0">
      <selection activeCell="N35" sqref="N35"/>
    </sheetView>
  </sheetViews>
  <sheetFormatPr defaultRowHeight="15" x14ac:dyDescent="0.25"/>
  <cols>
    <col min="2" max="2" width="19.28515625" style="4" customWidth="1"/>
  </cols>
  <sheetData>
    <row r="2" spans="2:5" x14ac:dyDescent="0.25">
      <c r="B2" s="4" t="s">
        <v>97</v>
      </c>
    </row>
    <row r="3" spans="2:5" x14ac:dyDescent="0.25">
      <c r="B3" s="4" t="s">
        <v>87</v>
      </c>
      <c r="C3">
        <v>0.253</v>
      </c>
      <c r="D3" t="s">
        <v>0</v>
      </c>
      <c r="E3" t="s">
        <v>93</v>
      </c>
    </row>
    <row r="4" spans="2:5" x14ac:dyDescent="0.25">
      <c r="B4" s="4" t="s">
        <v>95</v>
      </c>
      <c r="C4">
        <v>0.18</v>
      </c>
      <c r="D4" t="s">
        <v>0</v>
      </c>
    </row>
    <row r="5" spans="2:5" x14ac:dyDescent="0.25">
      <c r="B5" s="4" t="s">
        <v>88</v>
      </c>
      <c r="C5">
        <v>0.09</v>
      </c>
      <c r="D5" t="s">
        <v>0</v>
      </c>
    </row>
    <row r="6" spans="2:5" x14ac:dyDescent="0.25">
      <c r="B6" s="4" t="s">
        <v>89</v>
      </c>
      <c r="C6">
        <v>5.8000000000000003E-2</v>
      </c>
      <c r="D6" t="s">
        <v>0</v>
      </c>
      <c r="E6" t="s">
        <v>94</v>
      </c>
    </row>
    <row r="7" spans="2:5" x14ac:dyDescent="0.25">
      <c r="B7" s="4" t="s">
        <v>90</v>
      </c>
      <c r="C7">
        <v>4.1000000000000002E-2</v>
      </c>
      <c r="D7" t="s">
        <v>0</v>
      </c>
    </row>
    <row r="8" spans="2:5" x14ac:dyDescent="0.25">
      <c r="B8" s="4" t="s">
        <v>92</v>
      </c>
      <c r="C8">
        <v>1.4999999999999999E-2</v>
      </c>
      <c r="D8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BF19-5F47-40AE-97D6-E546FF19EEAF}">
  <dimension ref="C21:H36"/>
  <sheetViews>
    <sheetView showGridLines="0" workbookViewId="0">
      <selection activeCell="M33" sqref="M33"/>
    </sheetView>
  </sheetViews>
  <sheetFormatPr defaultRowHeight="15" x14ac:dyDescent="0.25"/>
  <sheetData>
    <row r="21" spans="3:8" x14ac:dyDescent="0.25">
      <c r="C21" s="4" t="s">
        <v>54</v>
      </c>
      <c r="D21">
        <v>15</v>
      </c>
      <c r="E21" t="s">
        <v>55</v>
      </c>
    </row>
    <row r="22" spans="3:8" x14ac:dyDescent="0.25">
      <c r="C22" s="4" t="s">
        <v>64</v>
      </c>
      <c r="D22">
        <v>4.6500000000000004</v>
      </c>
      <c r="E22" t="s">
        <v>37</v>
      </c>
      <c r="H22" s="7" t="s">
        <v>70</v>
      </c>
    </row>
    <row r="23" spans="3:8" x14ac:dyDescent="0.25">
      <c r="C23" s="4"/>
    </row>
    <row r="24" spans="3:8" x14ac:dyDescent="0.25">
      <c r="C24" s="4" t="s">
        <v>62</v>
      </c>
    </row>
    <row r="25" spans="3:8" x14ac:dyDescent="0.25">
      <c r="C25" s="4" t="s">
        <v>56</v>
      </c>
      <c r="D25" s="6">
        <f>'Altitude 1 stage - D12'!D36</f>
        <v>231.38853069065846</v>
      </c>
      <c r="E25" t="s">
        <v>12</v>
      </c>
    </row>
    <row r="26" spans="3:8" x14ac:dyDescent="0.25">
      <c r="C26" s="4" t="s">
        <v>57</v>
      </c>
      <c r="D26" s="6">
        <f>'Altitude 1 stage - E12'!D36</f>
        <v>367.42189696124848</v>
      </c>
      <c r="E26" t="s">
        <v>12</v>
      </c>
    </row>
    <row r="27" spans="3:8" x14ac:dyDescent="0.25">
      <c r="C27" s="4" t="s">
        <v>58</v>
      </c>
      <c r="D27" s="6">
        <f>'Altitude 2 stage - E12'!D43</f>
        <v>832.13456894811407</v>
      </c>
      <c r="E27" t="s">
        <v>12</v>
      </c>
    </row>
    <row r="28" spans="3:8" x14ac:dyDescent="0.25">
      <c r="C28" s="4" t="s">
        <v>65</v>
      </c>
    </row>
    <row r="29" spans="3:8" x14ac:dyDescent="0.25">
      <c r="C29" s="4" t="s">
        <v>66</v>
      </c>
      <c r="D29" s="6">
        <f>D25/$D$22</f>
        <v>49.760974342077084</v>
      </c>
      <c r="E29" t="s">
        <v>31</v>
      </c>
      <c r="F29" s="3">
        <f>D29/60</f>
        <v>0.82934957236795137</v>
      </c>
      <c r="G29" t="s">
        <v>69</v>
      </c>
    </row>
    <row r="30" spans="3:8" x14ac:dyDescent="0.25">
      <c r="C30" s="4" t="s">
        <v>67</v>
      </c>
      <c r="D30" s="6">
        <f t="shared" ref="D30:D31" si="0">D26/$D$22</f>
        <v>79.015461712096439</v>
      </c>
      <c r="E30" t="s">
        <v>31</v>
      </c>
      <c r="F30" s="3">
        <f t="shared" ref="F30:F31" si="1">D30/60</f>
        <v>1.316924361868274</v>
      </c>
      <c r="G30" t="s">
        <v>69</v>
      </c>
    </row>
    <row r="31" spans="3:8" x14ac:dyDescent="0.25">
      <c r="C31" s="4" t="s">
        <v>68</v>
      </c>
      <c r="D31" s="6">
        <f t="shared" si="0"/>
        <v>178.95367074152989</v>
      </c>
      <c r="E31" t="s">
        <v>31</v>
      </c>
      <c r="F31" s="3">
        <f t="shared" si="1"/>
        <v>2.982561179025498</v>
      </c>
      <c r="G31" t="s">
        <v>69</v>
      </c>
    </row>
    <row r="33" spans="3:5" x14ac:dyDescent="0.25">
      <c r="C33" s="4" t="s">
        <v>63</v>
      </c>
    </row>
    <row r="34" spans="3:5" x14ac:dyDescent="0.25">
      <c r="C34" s="4" t="s">
        <v>59</v>
      </c>
      <c r="D34" s="6">
        <f>(D25/$D$22)*$D$21/3.6</f>
        <v>207.33739309198782</v>
      </c>
      <c r="E34" t="s">
        <v>12</v>
      </c>
    </row>
    <row r="35" spans="3:5" x14ac:dyDescent="0.25">
      <c r="C35" s="4" t="s">
        <v>60</v>
      </c>
      <c r="D35" s="6">
        <f>(D26/$D$22)*$D$21/3.6</f>
        <v>329.2310904670685</v>
      </c>
      <c r="E35" t="s">
        <v>12</v>
      </c>
    </row>
    <row r="36" spans="3:5" x14ac:dyDescent="0.25">
      <c r="C36" s="4" t="s">
        <v>61</v>
      </c>
      <c r="D36" s="6">
        <f>(D27/$D$22)*$D$21/3.6</f>
        <v>745.64029475637449</v>
      </c>
      <c r="E36" t="s">
        <v>12</v>
      </c>
    </row>
  </sheetData>
  <hyperlinks>
    <hyperlink ref="H22" r:id="rId1" xr:uid="{5FF45D66-CFE2-46DF-97EF-0A72B3DDD9AA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97DF-D215-4F5B-8792-A757ADBABAA8}">
  <dimension ref="B2:H45"/>
  <sheetViews>
    <sheetView showGridLines="0" zoomScaleNormal="100" workbookViewId="0">
      <selection activeCell="Z31" sqref="Z31"/>
    </sheetView>
  </sheetViews>
  <sheetFormatPr defaultRowHeight="15" x14ac:dyDescent="0.25"/>
  <cols>
    <col min="2" max="2" width="31.7109375" style="4" bestFit="1" customWidth="1"/>
  </cols>
  <sheetData>
    <row r="2" spans="2:4" x14ac:dyDescent="0.25">
      <c r="B2" s="4" t="s">
        <v>1</v>
      </c>
      <c r="C2">
        <v>0.503</v>
      </c>
      <c r="D2" t="s">
        <v>0</v>
      </c>
    </row>
    <row r="3" spans="2:4" x14ac:dyDescent="0.25">
      <c r="B3" s="4" t="s">
        <v>3</v>
      </c>
      <c r="C3">
        <v>0.09</v>
      </c>
      <c r="D3" t="s">
        <v>0</v>
      </c>
    </row>
    <row r="4" spans="2:4" x14ac:dyDescent="0.25">
      <c r="B4" s="4" t="s">
        <v>4</v>
      </c>
      <c r="C4">
        <v>6.3500000000000001E-2</v>
      </c>
      <c r="D4" t="s">
        <v>0</v>
      </c>
    </row>
    <row r="5" spans="2:4" x14ac:dyDescent="0.25">
      <c r="B5" s="4" t="s">
        <v>10</v>
      </c>
      <c r="C5">
        <v>5.8099999999999999E-2</v>
      </c>
      <c r="D5" t="s">
        <v>0</v>
      </c>
    </row>
    <row r="6" spans="2:4" x14ac:dyDescent="0.25">
      <c r="B6" s="4" t="s">
        <v>2</v>
      </c>
      <c r="C6">
        <v>3.6900000000000002E-2</v>
      </c>
      <c r="D6" t="s">
        <v>0</v>
      </c>
    </row>
    <row r="7" spans="2:4" x14ac:dyDescent="0.25">
      <c r="B7" s="4" t="s">
        <v>5</v>
      </c>
      <c r="C7">
        <v>4.1000000000000002E-2</v>
      </c>
      <c r="D7" t="s">
        <v>0</v>
      </c>
    </row>
    <row r="8" spans="2:4" x14ac:dyDescent="0.25">
      <c r="B8" s="4" t="s">
        <v>6</v>
      </c>
      <c r="C8">
        <v>1.4999999999999999E-2</v>
      </c>
      <c r="D8" t="s">
        <v>0</v>
      </c>
    </row>
    <row r="10" spans="2:4" x14ac:dyDescent="0.25">
      <c r="B10" s="4" t="s">
        <v>7</v>
      </c>
      <c r="C10" s="1">
        <f>$C$2+$C$3+(3*$C$4)+(3*$C$5)-(3*$C$6/2)+$C$7+$C$8</f>
        <v>0.95845000000000002</v>
      </c>
      <c r="D10" t="s">
        <v>0</v>
      </c>
    </row>
    <row r="11" spans="2:4" x14ac:dyDescent="0.25">
      <c r="B11" s="4" t="s">
        <v>8</v>
      </c>
      <c r="C11" s="1">
        <f>$C$2+$C$3+(3*$C$4)+(3*$C$5)-(3*$C$6)+$C$7+$C$8</f>
        <v>0.90310000000000001</v>
      </c>
      <c r="D11" t="s">
        <v>0</v>
      </c>
    </row>
    <row r="12" spans="2:4" x14ac:dyDescent="0.25">
      <c r="B12" s="4" t="s">
        <v>9</v>
      </c>
      <c r="C12" s="1">
        <f>$C$2+(3*$C$4)-(3*$C$6/2)+$C$7+$C$8</f>
        <v>0.69415000000000004</v>
      </c>
      <c r="D12" t="s">
        <v>0</v>
      </c>
    </row>
    <row r="13" spans="2:4" x14ac:dyDescent="0.25">
      <c r="B13" s="4" t="s">
        <v>11</v>
      </c>
      <c r="C13" s="1">
        <f>$C$2+(3*$C$4)-(3*$C$6)+$C$7+$C$8</f>
        <v>0.63880000000000003</v>
      </c>
      <c r="D13" t="s">
        <v>0</v>
      </c>
    </row>
    <row r="15" spans="2:4" x14ac:dyDescent="0.25">
      <c r="B15" s="4" t="s">
        <v>15</v>
      </c>
      <c r="C15">
        <v>0.06</v>
      </c>
      <c r="D15" t="s">
        <v>12</v>
      </c>
    </row>
    <row r="16" spans="2:4" x14ac:dyDescent="0.25">
      <c r="B16" s="4" t="s">
        <v>14</v>
      </c>
      <c r="C16" s="1">
        <f>(C15^2)*PI()/4</f>
        <v>2.8274333882308137E-3</v>
      </c>
      <c r="D16" t="s">
        <v>13</v>
      </c>
    </row>
    <row r="17" spans="2:8" x14ac:dyDescent="0.25">
      <c r="B17" s="4" t="s">
        <v>18</v>
      </c>
      <c r="C17">
        <v>0.75</v>
      </c>
    </row>
    <row r="18" spans="2:8" x14ac:dyDescent="0.25">
      <c r="B18" s="4" t="s">
        <v>19</v>
      </c>
      <c r="C18">
        <v>1.2</v>
      </c>
      <c r="D18" t="s">
        <v>16</v>
      </c>
    </row>
    <row r="19" spans="2:8" x14ac:dyDescent="0.25">
      <c r="B19" s="4" t="s">
        <v>20</v>
      </c>
      <c r="C19">
        <v>9.81</v>
      </c>
      <c r="D19" t="s">
        <v>21</v>
      </c>
    </row>
    <row r="21" spans="2:8" x14ac:dyDescent="0.25">
      <c r="B21" s="4" t="s">
        <v>85</v>
      </c>
      <c r="C21">
        <v>1.1399999999999999</v>
      </c>
      <c r="D21" t="s">
        <v>12</v>
      </c>
    </row>
    <row r="22" spans="2:8" x14ac:dyDescent="0.25">
      <c r="B22" s="4" t="s">
        <v>86</v>
      </c>
      <c r="C22">
        <v>1.48</v>
      </c>
      <c r="D22" t="s">
        <v>12</v>
      </c>
    </row>
    <row r="24" spans="2:8" x14ac:dyDescent="0.25">
      <c r="B24" s="5" t="s">
        <v>77</v>
      </c>
      <c r="F24" s="4" t="s">
        <v>75</v>
      </c>
      <c r="G24">
        <v>15</v>
      </c>
      <c r="H24" t="s">
        <v>24</v>
      </c>
    </row>
    <row r="25" spans="2:8" x14ac:dyDescent="0.25">
      <c r="B25" s="4" t="s">
        <v>79</v>
      </c>
      <c r="C25" s="2">
        <v>0</v>
      </c>
      <c r="D25" t="s">
        <v>37</v>
      </c>
      <c r="F25" s="4" t="s">
        <v>76</v>
      </c>
      <c r="G25">
        <v>20</v>
      </c>
      <c r="H25" t="s">
        <v>24</v>
      </c>
    </row>
    <row r="26" spans="2:8" x14ac:dyDescent="0.25">
      <c r="B26" s="4" t="s">
        <v>80</v>
      </c>
      <c r="C26" s="2">
        <v>0.25</v>
      </c>
      <c r="D26" t="s">
        <v>31</v>
      </c>
      <c r="F26" s="4"/>
    </row>
    <row r="27" spans="2:8" x14ac:dyDescent="0.25">
      <c r="B27" s="4" t="s">
        <v>78</v>
      </c>
      <c r="C27" s="2">
        <f>(1/$C$10)*((3*G24)-0.5*$C$18*(C25^2)*$C$17*$C$16)-$C$19</f>
        <v>37.140805988836135</v>
      </c>
      <c r="D27" t="s">
        <v>21</v>
      </c>
    </row>
    <row r="28" spans="2:8" x14ac:dyDescent="0.25">
      <c r="B28" s="4" t="s">
        <v>81</v>
      </c>
      <c r="C28" s="2">
        <f>(C25*C26)+(0.5*C27*C26^2)</f>
        <v>1.1606501871511292</v>
      </c>
      <c r="D28" t="s">
        <v>12</v>
      </c>
    </row>
    <row r="29" spans="2:8" x14ac:dyDescent="0.25">
      <c r="B29" s="4" t="s">
        <v>82</v>
      </c>
      <c r="C29" s="2">
        <f>C27*C26</f>
        <v>9.2852014972090338</v>
      </c>
      <c r="D29" t="s">
        <v>37</v>
      </c>
    </row>
    <row r="31" spans="2:8" x14ac:dyDescent="0.25">
      <c r="B31" s="5" t="s">
        <v>83</v>
      </c>
    </row>
    <row r="32" spans="2:8" x14ac:dyDescent="0.25">
      <c r="B32" s="4" t="s">
        <v>79</v>
      </c>
      <c r="C32" s="2">
        <f>C29</f>
        <v>9.2852014972090338</v>
      </c>
      <c r="D32" t="s">
        <v>37</v>
      </c>
    </row>
    <row r="33" spans="2:4" x14ac:dyDescent="0.25">
      <c r="B33" s="4" t="s">
        <v>80</v>
      </c>
      <c r="C33" s="2">
        <v>3.2000000000000001E-2</v>
      </c>
      <c r="D33" t="s">
        <v>31</v>
      </c>
    </row>
    <row r="34" spans="2:4" x14ac:dyDescent="0.25">
      <c r="B34" s="4" t="s">
        <v>78</v>
      </c>
      <c r="C34" s="2">
        <f>(1/$C$10)*((3*G25)-0.5*$C$18*(C32^2)*$C$17*$C$16)-$C$19</f>
        <v>52.676624044948937</v>
      </c>
      <c r="D34" t="s">
        <v>21</v>
      </c>
    </row>
    <row r="35" spans="2:4" x14ac:dyDescent="0.25">
      <c r="B35" s="4" t="s">
        <v>81</v>
      </c>
      <c r="C35" s="2">
        <f>(C32*C33)+(0.5*C34*C33^2)</f>
        <v>0.32409687942170295</v>
      </c>
      <c r="D35" t="s">
        <v>12</v>
      </c>
    </row>
    <row r="36" spans="2:4" x14ac:dyDescent="0.25">
      <c r="B36" s="4" t="s">
        <v>84</v>
      </c>
      <c r="C36" s="2">
        <f>C35+C28</f>
        <v>1.4847470665728322</v>
      </c>
      <c r="D36" t="s">
        <v>12</v>
      </c>
    </row>
    <row r="37" spans="2:4" x14ac:dyDescent="0.25">
      <c r="B37" s="4" t="s">
        <v>82</v>
      </c>
      <c r="C37" s="2">
        <f>C34*C33+C32</f>
        <v>10.9708534666474</v>
      </c>
      <c r="D37" t="s">
        <v>37</v>
      </c>
    </row>
    <row r="39" spans="2:4" x14ac:dyDescent="0.25">
      <c r="B39" s="5"/>
    </row>
    <row r="40" spans="2:4" x14ac:dyDescent="0.25">
      <c r="C40" s="2"/>
    </row>
    <row r="41" spans="2:4" x14ac:dyDescent="0.25">
      <c r="C41" s="2"/>
    </row>
    <row r="42" spans="2:4" x14ac:dyDescent="0.25">
      <c r="C42" s="2"/>
    </row>
    <row r="43" spans="2:4" x14ac:dyDescent="0.25">
      <c r="C43" s="2"/>
    </row>
    <row r="44" spans="2:4" x14ac:dyDescent="0.25">
      <c r="C44" s="2"/>
    </row>
    <row r="45" spans="2:4" x14ac:dyDescent="0.25">
      <c r="C45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85C9-2750-46A9-8F64-DFF107BE2DC4}">
  <dimension ref="B2:E94"/>
  <sheetViews>
    <sheetView topLeftCell="A65" zoomScaleNormal="100" workbookViewId="0">
      <selection activeCell="F80" sqref="F80"/>
    </sheetView>
  </sheetViews>
  <sheetFormatPr defaultRowHeight="15" x14ac:dyDescent="0.25"/>
  <sheetData>
    <row r="2" spans="2:2" x14ac:dyDescent="0.25">
      <c r="B2" s="7" t="s">
        <v>98</v>
      </c>
    </row>
    <row r="3" spans="2:2" x14ac:dyDescent="0.25">
      <c r="B3" s="7" t="s">
        <v>152</v>
      </c>
    </row>
    <row r="5" spans="2:2" x14ac:dyDescent="0.25">
      <c r="B5" t="s">
        <v>99</v>
      </c>
    </row>
    <row r="11" spans="2:2" x14ac:dyDescent="0.25">
      <c r="B11" t="s">
        <v>100</v>
      </c>
    </row>
    <row r="13" spans="2:2" x14ac:dyDescent="0.25">
      <c r="B13" s="8" t="s">
        <v>101</v>
      </c>
    </row>
    <row r="15" spans="2:2" x14ac:dyDescent="0.25">
      <c r="B15" t="s">
        <v>102</v>
      </c>
    </row>
    <row r="16" spans="2:2" x14ac:dyDescent="0.25">
      <c r="B16" t="s">
        <v>109</v>
      </c>
    </row>
    <row r="18" spans="2:4" x14ac:dyDescent="0.25">
      <c r="B18" t="s">
        <v>103</v>
      </c>
      <c r="C18">
        <v>0.03</v>
      </c>
      <c r="D18" t="s">
        <v>12</v>
      </c>
    </row>
    <row r="19" spans="2:4" x14ac:dyDescent="0.25">
      <c r="B19" t="s">
        <v>114</v>
      </c>
      <c r="C19">
        <v>1.4999999999999999E-2</v>
      </c>
      <c r="D19" t="s">
        <v>12</v>
      </c>
    </row>
    <row r="20" spans="2:4" x14ac:dyDescent="0.25">
      <c r="B20" t="s">
        <v>108</v>
      </c>
      <c r="C20">
        <v>0.12</v>
      </c>
      <c r="D20" t="s">
        <v>12</v>
      </c>
    </row>
    <row r="21" spans="2:4" x14ac:dyDescent="0.25">
      <c r="B21" t="s">
        <v>105</v>
      </c>
      <c r="C21">
        <f>(2*PI()*C18^2*C20)/3</f>
        <v>2.2619467105846507E-4</v>
      </c>
      <c r="D21" t="s">
        <v>106</v>
      </c>
    </row>
    <row r="22" spans="2:4" x14ac:dyDescent="0.25">
      <c r="B22" t="s">
        <v>107</v>
      </c>
      <c r="C22">
        <f>PI()*C18^2</f>
        <v>2.8274333882308137E-3</v>
      </c>
      <c r="D22" t="s">
        <v>13</v>
      </c>
    </row>
    <row r="23" spans="2:4" x14ac:dyDescent="0.25">
      <c r="B23" t="s">
        <v>110</v>
      </c>
      <c r="C23">
        <v>0</v>
      </c>
      <c r="D23" t="s">
        <v>13</v>
      </c>
    </row>
    <row r="25" spans="2:4" x14ac:dyDescent="0.25">
      <c r="B25" s="9" t="s">
        <v>113</v>
      </c>
      <c r="C25">
        <f>(C20-(C21/C22))/(1-(C23/C22))</f>
        <v>4.0000000000000008E-2</v>
      </c>
      <c r="D25" t="s">
        <v>12</v>
      </c>
    </row>
    <row r="26" spans="2:4" x14ac:dyDescent="0.25">
      <c r="B26" s="9" t="s">
        <v>115</v>
      </c>
      <c r="C26" s="1">
        <f>0.466*C20</f>
        <v>5.5920000000000004E-2</v>
      </c>
      <c r="D26" t="s">
        <v>12</v>
      </c>
    </row>
    <row r="27" spans="2:4" x14ac:dyDescent="0.25">
      <c r="B27" s="9" t="s">
        <v>112</v>
      </c>
      <c r="C27">
        <f>2*C20/3</f>
        <v>0.08</v>
      </c>
      <c r="D27" t="s">
        <v>12</v>
      </c>
    </row>
    <row r="29" spans="2:4" x14ac:dyDescent="0.25">
      <c r="B29" t="s">
        <v>117</v>
      </c>
      <c r="C29">
        <v>2</v>
      </c>
    </row>
    <row r="31" spans="2:4" x14ac:dyDescent="0.25">
      <c r="B31" s="8" t="s">
        <v>150</v>
      </c>
    </row>
    <row r="32" spans="2:4" x14ac:dyDescent="0.25">
      <c r="B32" t="s">
        <v>151</v>
      </c>
    </row>
    <row r="34" spans="2:4" x14ac:dyDescent="0.25">
      <c r="B34" s="8" t="s">
        <v>116</v>
      </c>
    </row>
    <row r="36" spans="2:4" x14ac:dyDescent="0.25">
      <c r="B36" t="s">
        <v>119</v>
      </c>
      <c r="C36">
        <f>SQRT((C43+0.5*C39-0.5*C38)^2+C37^2)</f>
        <v>7.9056941504209485E-2</v>
      </c>
      <c r="D36" t="s">
        <v>12</v>
      </c>
    </row>
    <row r="37" spans="2:4" x14ac:dyDescent="0.25">
      <c r="B37" t="s">
        <v>31</v>
      </c>
      <c r="C37">
        <v>7.4999999999999997E-2</v>
      </c>
      <c r="D37" t="s">
        <v>12</v>
      </c>
    </row>
    <row r="38" spans="2:4" x14ac:dyDescent="0.25">
      <c r="B38" t="s">
        <v>120</v>
      </c>
      <c r="C38">
        <v>0.115</v>
      </c>
      <c r="D38" t="s">
        <v>12</v>
      </c>
    </row>
    <row r="39" spans="2:4" x14ac:dyDescent="0.25">
      <c r="B39" t="s">
        <v>121</v>
      </c>
      <c r="C39">
        <v>4.4999999999999998E-2</v>
      </c>
      <c r="D39" t="s">
        <v>12</v>
      </c>
    </row>
    <row r="40" spans="2:4" x14ac:dyDescent="0.25">
      <c r="B40" s="9" t="s">
        <v>122</v>
      </c>
      <c r="C40">
        <v>18.433</v>
      </c>
      <c r="D40" t="s">
        <v>123</v>
      </c>
    </row>
    <row r="41" spans="2:4" x14ac:dyDescent="0.25">
      <c r="B41" s="9" t="s">
        <v>124</v>
      </c>
      <c r="C41">
        <v>38.659999999999997</v>
      </c>
      <c r="D41" t="s">
        <v>123</v>
      </c>
    </row>
    <row r="42" spans="2:4" x14ac:dyDescent="0.25">
      <c r="B42" s="9" t="s">
        <v>125</v>
      </c>
      <c r="C42">
        <v>0.06</v>
      </c>
      <c r="D42" t="s">
        <v>126</v>
      </c>
    </row>
    <row r="43" spans="2:4" x14ac:dyDescent="0.25">
      <c r="B43" s="9" t="s">
        <v>128</v>
      </c>
      <c r="C43">
        <v>0.06</v>
      </c>
      <c r="D43" t="s">
        <v>12</v>
      </c>
    </row>
    <row r="44" spans="2:4" x14ac:dyDescent="0.25">
      <c r="B44" s="9" t="s">
        <v>130</v>
      </c>
      <c r="C44">
        <f>0.421+0.02</f>
        <v>0.441</v>
      </c>
      <c r="D44" t="s">
        <v>12</v>
      </c>
    </row>
    <row r="46" spans="2:4" x14ac:dyDescent="0.25">
      <c r="B46" t="s">
        <v>118</v>
      </c>
      <c r="C46" s="1">
        <f>(12*(C37/C42)^2)/(1+SQRT(1+(2*C36/(C38+C39))^2))</f>
        <v>7.793332510084781</v>
      </c>
    </row>
    <row r="47" spans="2:4" x14ac:dyDescent="0.25">
      <c r="B47" s="9" t="s">
        <v>127</v>
      </c>
      <c r="C47" s="1">
        <f>(C43/3)*((C38+2*C39)/(C38+C39))+(1/6)*(C38+C39-((C38*C39)/(C38+C39)))</f>
        <v>4.6901041666666671E-2</v>
      </c>
      <c r="D47" t="s">
        <v>12</v>
      </c>
    </row>
    <row r="48" spans="2:4" x14ac:dyDescent="0.25">
      <c r="B48" s="9" t="s">
        <v>129</v>
      </c>
      <c r="C48" s="1">
        <f>C44+C47</f>
        <v>0.4879010416666667</v>
      </c>
      <c r="D48" t="s">
        <v>12</v>
      </c>
    </row>
    <row r="54" spans="2:4" x14ac:dyDescent="0.25">
      <c r="B54" s="8" t="s">
        <v>131</v>
      </c>
    </row>
    <row r="56" spans="2:4" x14ac:dyDescent="0.25">
      <c r="B56" t="s">
        <v>119</v>
      </c>
      <c r="C56">
        <f>SQRT((C63+0.5*C59-0.5*C58)^2+C57^2)</f>
        <v>8.1738913621359072E-2</v>
      </c>
      <c r="D56" t="s">
        <v>12</v>
      </c>
    </row>
    <row r="57" spans="2:4" x14ac:dyDescent="0.25">
      <c r="B57" t="s">
        <v>31</v>
      </c>
      <c r="C57">
        <v>7.4999999999999997E-2</v>
      </c>
      <c r="D57" t="s">
        <v>12</v>
      </c>
    </row>
    <row r="58" spans="2:4" x14ac:dyDescent="0.25">
      <c r="B58" t="s">
        <v>120</v>
      </c>
      <c r="C58">
        <v>0.105</v>
      </c>
      <c r="D58" t="s">
        <v>12</v>
      </c>
    </row>
    <row r="59" spans="2:4" x14ac:dyDescent="0.25">
      <c r="B59" t="s">
        <v>121</v>
      </c>
      <c r="C59">
        <v>0.04</v>
      </c>
      <c r="D59" t="s">
        <v>12</v>
      </c>
    </row>
    <row r="60" spans="2:4" x14ac:dyDescent="0.25">
      <c r="B60" s="9" t="s">
        <v>122</v>
      </c>
      <c r="C60">
        <v>23.428999999999998</v>
      </c>
      <c r="D60" t="s">
        <v>123</v>
      </c>
    </row>
    <row r="61" spans="2:4" x14ac:dyDescent="0.25">
      <c r="B61" s="9" t="s">
        <v>124</v>
      </c>
      <c r="C61">
        <v>40.914000000000001</v>
      </c>
      <c r="D61" t="s">
        <v>123</v>
      </c>
    </row>
    <row r="62" spans="2:4" x14ac:dyDescent="0.25">
      <c r="B62" s="9" t="s">
        <v>125</v>
      </c>
      <c r="C62">
        <v>0.06</v>
      </c>
      <c r="D62" t="s">
        <v>126</v>
      </c>
    </row>
    <row r="63" spans="2:4" x14ac:dyDescent="0.25">
      <c r="B63" s="9" t="s">
        <v>128</v>
      </c>
      <c r="C63">
        <v>6.5000000000000002E-2</v>
      </c>
      <c r="D63" t="s">
        <v>12</v>
      </c>
    </row>
    <row r="64" spans="2:4" x14ac:dyDescent="0.25">
      <c r="B64" s="9" t="s">
        <v>130</v>
      </c>
      <c r="C64">
        <f>0.561+0.029</f>
        <v>0.59000000000000008</v>
      </c>
      <c r="D64" t="s">
        <v>12</v>
      </c>
    </row>
    <row r="66" spans="2:4" x14ac:dyDescent="0.25">
      <c r="B66" t="s">
        <v>132</v>
      </c>
      <c r="C66" s="1">
        <f>(12*(C57/C62)^2)/(1+SQRT(1+(2*C56/(C58+C59))^2))</f>
        <v>7.47900238957972</v>
      </c>
    </row>
    <row r="67" spans="2:4" x14ac:dyDescent="0.25">
      <c r="B67" s="9" t="s">
        <v>133</v>
      </c>
      <c r="C67" s="1">
        <f>(C63/3)*((C58+2*C59)/(C58+C59))+(1/6)*(C58+C59-((C58*C59)/(C58+C59)))</f>
        <v>4.6982758620689652E-2</v>
      </c>
      <c r="D67" t="s">
        <v>12</v>
      </c>
    </row>
    <row r="68" spans="2:4" x14ac:dyDescent="0.25">
      <c r="B68" s="9" t="s">
        <v>134</v>
      </c>
      <c r="C68" s="1">
        <f>C64+C67</f>
        <v>0.63698275862068976</v>
      </c>
      <c r="D68" t="s">
        <v>12</v>
      </c>
    </row>
    <row r="75" spans="2:4" x14ac:dyDescent="0.25">
      <c r="B75" s="8" t="s">
        <v>139</v>
      </c>
    </row>
    <row r="77" spans="2:4" x14ac:dyDescent="0.25">
      <c r="B77" t="s">
        <v>136</v>
      </c>
    </row>
    <row r="79" spans="2:4" x14ac:dyDescent="0.25">
      <c r="B79" t="s">
        <v>135</v>
      </c>
      <c r="C79" s="1">
        <f>$C$29+$C$46+$C$66</f>
        <v>17.2723348996645</v>
      </c>
    </row>
    <row r="81" spans="2:5" x14ac:dyDescent="0.25">
      <c r="B81" t="s">
        <v>111</v>
      </c>
      <c r="C81">
        <f>(($C$29*$C$25)+($C$46*$C$48)+($C$66*$C$68))/C79</f>
        <v>0.50059072347759026</v>
      </c>
      <c r="D81" t="s">
        <v>12</v>
      </c>
      <c r="E81" t="s">
        <v>137</v>
      </c>
    </row>
    <row r="83" spans="2:5" x14ac:dyDescent="0.25">
      <c r="C83">
        <f>0.6805-C81</f>
        <v>0.17990927652240973</v>
      </c>
      <c r="E83" t="s">
        <v>138</v>
      </c>
    </row>
    <row r="86" spans="2:5" x14ac:dyDescent="0.25">
      <c r="B86" s="8" t="s">
        <v>140</v>
      </c>
    </row>
    <row r="88" spans="2:5" x14ac:dyDescent="0.25">
      <c r="B88" t="s">
        <v>141</v>
      </c>
    </row>
    <row r="90" spans="2:5" x14ac:dyDescent="0.25">
      <c r="B90" t="s">
        <v>135</v>
      </c>
      <c r="C90" s="1">
        <f>$C$29+$C$46</f>
        <v>9.793332510084781</v>
      </c>
    </row>
    <row r="92" spans="2:5" x14ac:dyDescent="0.25">
      <c r="B92" t="s">
        <v>111</v>
      </c>
      <c r="C92">
        <f>(($C$29*$C$25)+($C$46*$C$48))/C90</f>
        <v>0.39643043322864291</v>
      </c>
      <c r="D92" t="s">
        <v>12</v>
      </c>
      <c r="E92" t="s">
        <v>137</v>
      </c>
    </row>
    <row r="94" spans="2:5" x14ac:dyDescent="0.25">
      <c r="C94">
        <f>0.6805-C92</f>
        <v>0.28406956677135708</v>
      </c>
      <c r="E94" t="s">
        <v>138</v>
      </c>
    </row>
  </sheetData>
  <hyperlinks>
    <hyperlink ref="B2" r:id="rId1" display="https://www.youtube.com/redirect?event=video_description&amp;redir_token=QUFFLUhqbG1EeEV4NzE4RGVNRHA1MFBCNlREOFlLT09CZ3xBQ3Jtc0tsNXZWeXVwWk9qLWZfa2w1RkRXWVVKTUlBRlp0dU0tS2xFYWZkcE1Pa1I1elZoVUU0MFJTZmpYTUNtOGt3dWlsdEdCMVV1ZUJIYW1WN1BqQ0NRbWFnWGdPT0lncUZ3cFZrRTJCZ3lud3BmTVAzbWtTVQ&amp;q=https%3A%2F%2Fwww.apogeerockets.com%2Fdownloads%2Fbarrowman_report.pdf&amp;v=jikEHfFwBd8" xr:uid="{04081F24-8CE3-489C-BF88-1A80B24D992D}"/>
    <hyperlink ref="B3" r:id="rId2" xr:uid="{A8D7C99F-8B0A-4F0B-974C-5EC4C23FFF99}"/>
  </hyperlinks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D483-9734-45E2-AF07-9717A0AF8763}">
  <dimension ref="B2:D47"/>
  <sheetViews>
    <sheetView tabSelected="1" topLeftCell="A25" zoomScale="130" zoomScaleNormal="130" workbookViewId="0">
      <selection activeCell="C42" sqref="C42"/>
    </sheetView>
  </sheetViews>
  <sheetFormatPr defaultRowHeight="15" x14ac:dyDescent="0.25"/>
  <cols>
    <col min="2" max="2" width="14.28515625" customWidth="1"/>
  </cols>
  <sheetData>
    <row r="2" spans="2:4" x14ac:dyDescent="0.25">
      <c r="B2" t="s">
        <v>142</v>
      </c>
    </row>
    <row r="3" spans="2:4" x14ac:dyDescent="0.25">
      <c r="B3" t="s">
        <v>148</v>
      </c>
    </row>
    <row r="5" spans="2:4" x14ac:dyDescent="0.25">
      <c r="B5" t="s">
        <v>157</v>
      </c>
    </row>
    <row r="6" spans="2:4" x14ac:dyDescent="0.25">
      <c r="B6" t="s">
        <v>158</v>
      </c>
    </row>
    <row r="8" spans="2:4" x14ac:dyDescent="0.25">
      <c r="B8" t="s">
        <v>145</v>
      </c>
    </row>
    <row r="10" spans="2:4" x14ac:dyDescent="0.25">
      <c r="B10" s="8" t="s">
        <v>143</v>
      </c>
    </row>
    <row r="11" spans="2:4" x14ac:dyDescent="0.25">
      <c r="B11" t="s">
        <v>153</v>
      </c>
    </row>
    <row r="12" spans="2:4" x14ac:dyDescent="0.25">
      <c r="B12" t="s">
        <v>144</v>
      </c>
      <c r="C12">
        <v>85.25</v>
      </c>
      <c r="D12" t="s">
        <v>104</v>
      </c>
    </row>
    <row r="13" spans="2:4" x14ac:dyDescent="0.25">
      <c r="B13" t="s">
        <v>146</v>
      </c>
      <c r="C13" s="2">
        <f>C12/60</f>
        <v>1.4208333333333334</v>
      </c>
    </row>
    <row r="15" spans="2:4" x14ac:dyDescent="0.25">
      <c r="B15" t="s">
        <v>154</v>
      </c>
    </row>
    <row r="16" spans="2:4" x14ac:dyDescent="0.25">
      <c r="B16" t="s">
        <v>144</v>
      </c>
      <c r="C16">
        <v>110.99</v>
      </c>
      <c r="D16" t="s">
        <v>104</v>
      </c>
    </row>
    <row r="17" spans="2:3" x14ac:dyDescent="0.25">
      <c r="B17" t="s">
        <v>146</v>
      </c>
      <c r="C17" s="2">
        <f>C16/60</f>
        <v>1.8498333333333332</v>
      </c>
    </row>
    <row r="32" spans="2:3" x14ac:dyDescent="0.25">
      <c r="B32" s="8" t="s">
        <v>147</v>
      </c>
    </row>
    <row r="33" spans="2:4" x14ac:dyDescent="0.25">
      <c r="B33" t="s">
        <v>153</v>
      </c>
    </row>
    <row r="34" spans="2:4" x14ac:dyDescent="0.25">
      <c r="B34" t="s">
        <v>144</v>
      </c>
      <c r="C34">
        <v>59.56</v>
      </c>
      <c r="D34" t="s">
        <v>104</v>
      </c>
    </row>
    <row r="35" spans="2:4" x14ac:dyDescent="0.25">
      <c r="B35" t="s">
        <v>146</v>
      </c>
      <c r="C35" s="2">
        <f>C34/60</f>
        <v>0.9926666666666667</v>
      </c>
    </row>
    <row r="37" spans="2:4" x14ac:dyDescent="0.25">
      <c r="B37" t="s">
        <v>154</v>
      </c>
    </row>
    <row r="38" spans="2:4" x14ac:dyDescent="0.25">
      <c r="B38" t="s">
        <v>144</v>
      </c>
      <c r="C38">
        <v>94.33</v>
      </c>
      <c r="D38" t="s">
        <v>104</v>
      </c>
    </row>
    <row r="39" spans="2:4" x14ac:dyDescent="0.25">
      <c r="B39" t="s">
        <v>146</v>
      </c>
      <c r="C39" s="2">
        <f>C38/60</f>
        <v>1.5721666666666667</v>
      </c>
    </row>
    <row r="43" spans="2:4" x14ac:dyDescent="0.25">
      <c r="B43" t="s">
        <v>159</v>
      </c>
    </row>
    <row r="44" spans="2:4" x14ac:dyDescent="0.25">
      <c r="B44" t="s">
        <v>160</v>
      </c>
    </row>
    <row r="45" spans="2:4" x14ac:dyDescent="0.25">
      <c r="B45" t="s">
        <v>155</v>
      </c>
    </row>
    <row r="46" spans="2:4" x14ac:dyDescent="0.25">
      <c r="B46" t="s">
        <v>156</v>
      </c>
    </row>
    <row r="47" spans="2:4" x14ac:dyDescent="0.25">
      <c r="B47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Altitude 2 stage - E12</vt:lpstr>
      <vt:lpstr>Altitude 1 stage - E12</vt:lpstr>
      <vt:lpstr>Altitude 1 stage - D12</vt:lpstr>
      <vt:lpstr>Measured Weights</vt:lpstr>
      <vt:lpstr>Drift Dist</vt:lpstr>
      <vt:lpstr>Launch Rod Length</vt:lpstr>
      <vt:lpstr>Center of Pressure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McKerlie, Max</dc:creator>
  <cp:lastModifiedBy>McKerlie, Max</cp:lastModifiedBy>
  <dcterms:created xsi:type="dcterms:W3CDTF">2023-07-21T15:12:16Z</dcterms:created>
  <dcterms:modified xsi:type="dcterms:W3CDTF">2023-07-27T13:37:11Z</dcterms:modified>
</cp:coreProperties>
</file>