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2417179ba1166b/Documents/Forbes Consulting LLC/"/>
    </mc:Choice>
  </mc:AlternateContent>
  <xr:revisionPtr revIDLastSave="3" documentId="8_{C2C29610-B03D-4DF4-A9F1-B2F90A09CC7F}" xr6:coauthVersionLast="47" xr6:coauthVersionMax="47" xr10:uidLastSave="{DEFFB144-CE8A-4E8D-92CC-72C3235791C7}"/>
  <bookViews>
    <workbookView xWindow="28710" yWindow="1050" windowWidth="26130" windowHeight="19830" xr2:uid="{00000000-000D-0000-FFFF-FFFF00000000}"/>
  </bookViews>
  <sheets>
    <sheet name="Profit &amp;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M46" i="1"/>
  <c r="O46" i="1" s="1"/>
  <c r="P46" i="1" s="1"/>
  <c r="Q46" i="1" s="1"/>
  <c r="R46" i="1" s="1"/>
  <c r="S46" i="1" s="1"/>
  <c r="T46" i="1" s="1"/>
  <c r="U46" i="1" s="1"/>
  <c r="V46" i="1" s="1"/>
  <c r="I71" i="1"/>
  <c r="J71" i="1"/>
  <c r="T45" i="1"/>
  <c r="T47" i="1" s="1"/>
  <c r="U45" i="1"/>
  <c r="V45" i="1"/>
  <c r="W45" i="1"/>
  <c r="X45" i="1"/>
  <c r="Y45" i="1"/>
  <c r="Z45" i="1"/>
  <c r="S45" i="1"/>
  <c r="O45" i="1"/>
  <c r="B53" i="1"/>
  <c r="L46" i="1"/>
  <c r="B40" i="1"/>
  <c r="J40" i="1"/>
  <c r="D42" i="1"/>
  <c r="C42" i="1"/>
  <c r="C43" i="1" s="1"/>
  <c r="K37" i="1"/>
  <c r="L37" i="1"/>
  <c r="M37" i="1"/>
  <c r="J31" i="1"/>
  <c r="J32" i="1"/>
  <c r="J34" i="1"/>
  <c r="Q31" i="1"/>
  <c r="Q32" i="1"/>
  <c r="C9" i="1"/>
  <c r="B9" i="1"/>
  <c r="M45" i="1"/>
  <c r="V25" i="1"/>
  <c r="U25" i="1"/>
  <c r="P25" i="1"/>
  <c r="M13" i="1"/>
  <c r="L13" i="1"/>
  <c r="K13" i="1"/>
  <c r="P7" i="1"/>
  <c r="Q7" i="1"/>
  <c r="R7" i="1"/>
  <c r="S7" i="1"/>
  <c r="T7" i="1"/>
  <c r="U7" i="1"/>
  <c r="V7" i="1"/>
  <c r="W7" i="1"/>
  <c r="X7" i="1"/>
  <c r="Y7" i="1"/>
  <c r="Z7" i="1"/>
  <c r="O7" i="1"/>
  <c r="L7" i="1"/>
  <c r="M7" i="1"/>
  <c r="K7" i="1"/>
  <c r="H72" i="1"/>
  <c r="J42" i="1"/>
  <c r="Y80" i="1"/>
  <c r="Y82" i="1" s="1"/>
  <c r="Z80" i="1"/>
  <c r="Z82" i="1" s="1"/>
  <c r="X80" i="1"/>
  <c r="X82" i="1" s="1"/>
  <c r="V80" i="1"/>
  <c r="W80" i="1"/>
  <c r="W82" i="1" s="1"/>
  <c r="U80" i="1"/>
  <c r="U82" i="1" s="1"/>
  <c r="S37" i="1"/>
  <c r="V37" i="1"/>
  <c r="Y37" i="1"/>
  <c r="P31" i="1"/>
  <c r="R31" i="1"/>
  <c r="S31" i="1"/>
  <c r="T31" i="1"/>
  <c r="U31" i="1"/>
  <c r="V31" i="1"/>
  <c r="W31" i="1"/>
  <c r="X31" i="1"/>
  <c r="Y31" i="1"/>
  <c r="Z31" i="1"/>
  <c r="O31" i="1"/>
  <c r="M31" i="1"/>
  <c r="L31" i="1"/>
  <c r="K31" i="1"/>
  <c r="F23" i="1"/>
  <c r="N23" i="1" s="1"/>
  <c r="AA17" i="1"/>
  <c r="P32" i="1"/>
  <c r="R32" i="1"/>
  <c r="S32" i="1"/>
  <c r="T32" i="1"/>
  <c r="U32" i="1"/>
  <c r="V32" i="1"/>
  <c r="W32" i="1"/>
  <c r="X32" i="1"/>
  <c r="Y32" i="1"/>
  <c r="Z32" i="1"/>
  <c r="O32" i="1"/>
  <c r="K32" i="1"/>
  <c r="L32" i="1"/>
  <c r="M32" i="1"/>
  <c r="Z68" i="1"/>
  <c r="Y68" i="1"/>
  <c r="X68" i="1"/>
  <c r="W68" i="1"/>
  <c r="V68" i="1"/>
  <c r="U68" i="1"/>
  <c r="T68" i="1"/>
  <c r="S68" i="1"/>
  <c r="R68" i="1"/>
  <c r="Q68" i="1"/>
  <c r="P68" i="1"/>
  <c r="O68" i="1"/>
  <c r="M68" i="1"/>
  <c r="L68" i="1"/>
  <c r="K68" i="1"/>
  <c r="S65" i="1"/>
  <c r="R65" i="1"/>
  <c r="Q65" i="1"/>
  <c r="P65" i="1"/>
  <c r="O65" i="1"/>
  <c r="K65" i="1"/>
  <c r="L65" i="1"/>
  <c r="M65" i="1"/>
  <c r="Q52" i="1"/>
  <c r="R52" i="1"/>
  <c r="S52" i="1"/>
  <c r="T52" i="1"/>
  <c r="U52" i="1"/>
  <c r="V52" i="1"/>
  <c r="W52" i="1"/>
  <c r="X52" i="1"/>
  <c r="Y52" i="1"/>
  <c r="Z52" i="1"/>
  <c r="P52" i="1"/>
  <c r="Q57" i="1"/>
  <c r="R57" i="1"/>
  <c r="S57" i="1"/>
  <c r="T57" i="1"/>
  <c r="U57" i="1"/>
  <c r="V57" i="1"/>
  <c r="W57" i="1"/>
  <c r="X57" i="1"/>
  <c r="Y57" i="1"/>
  <c r="Z57" i="1"/>
  <c r="P57" i="1"/>
  <c r="O57" i="1"/>
  <c r="AA14" i="1"/>
  <c r="M52" i="1"/>
  <c r="L52" i="1"/>
  <c r="K52" i="1"/>
  <c r="L57" i="1"/>
  <c r="M57" i="1"/>
  <c r="K57" i="1"/>
  <c r="Q63" i="1"/>
  <c r="S63" i="1"/>
  <c r="T63" i="1"/>
  <c r="U63" i="1"/>
  <c r="V63" i="1"/>
  <c r="W63" i="1"/>
  <c r="X63" i="1"/>
  <c r="Y63" i="1"/>
  <c r="Z63" i="1"/>
  <c r="P63" i="1"/>
  <c r="X37" i="1"/>
  <c r="Z37" i="1"/>
  <c r="K82" i="1"/>
  <c r="L82" i="1"/>
  <c r="M82" i="1"/>
  <c r="AA81" i="1"/>
  <c r="AA79" i="1"/>
  <c r="AA76" i="1"/>
  <c r="AA75" i="1"/>
  <c r="AA50" i="1"/>
  <c r="AA41" i="1"/>
  <c r="AA36" i="1"/>
  <c r="AA35" i="1"/>
  <c r="AA23" i="1"/>
  <c r="AA12" i="1"/>
  <c r="AA10" i="1"/>
  <c r="V82" i="1"/>
  <c r="T37" i="1"/>
  <c r="R37" i="1"/>
  <c r="W37" i="1"/>
  <c r="U37" i="1"/>
  <c r="Q37" i="1"/>
  <c r="P37" i="1"/>
  <c r="O37" i="1"/>
  <c r="N12" i="1"/>
  <c r="N17" i="1"/>
  <c r="N35" i="1"/>
  <c r="N50" i="1"/>
  <c r="N75" i="1"/>
  <c r="N79" i="1"/>
  <c r="J82" i="1"/>
  <c r="I82" i="1"/>
  <c r="H82" i="1"/>
  <c r="E82" i="1"/>
  <c r="C82" i="1"/>
  <c r="B82" i="1"/>
  <c r="F81" i="1"/>
  <c r="F82" i="1" s="1"/>
  <c r="G80" i="1"/>
  <c r="G82" i="1" s="1"/>
  <c r="D80" i="1"/>
  <c r="N80" i="1" s="1"/>
  <c r="D78" i="1"/>
  <c r="C78" i="1"/>
  <c r="J77" i="1"/>
  <c r="J78" i="1" s="1"/>
  <c r="I77" i="1"/>
  <c r="I78" i="1" s="1"/>
  <c r="H77" i="1"/>
  <c r="H78" i="1" s="1"/>
  <c r="G77" i="1"/>
  <c r="G78" i="1" s="1"/>
  <c r="F77" i="1"/>
  <c r="F78" i="1" s="1"/>
  <c r="E77" i="1"/>
  <c r="E78" i="1" s="1"/>
  <c r="B76" i="1"/>
  <c r="B78" i="1" s="1"/>
  <c r="G72" i="1"/>
  <c r="E72" i="1"/>
  <c r="H71" i="1"/>
  <c r="F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F69" i="1"/>
  <c r="E69" i="1"/>
  <c r="D69" i="1"/>
  <c r="C69" i="1"/>
  <c r="B69" i="1"/>
  <c r="J68" i="1"/>
  <c r="I68" i="1"/>
  <c r="H68" i="1"/>
  <c r="G68" i="1"/>
  <c r="F68" i="1"/>
  <c r="E68" i="1"/>
  <c r="D68" i="1"/>
  <c r="C68" i="1"/>
  <c r="B68" i="1"/>
  <c r="I67" i="1"/>
  <c r="F67" i="1"/>
  <c r="D67" i="1"/>
  <c r="C67" i="1"/>
  <c r="I66" i="1"/>
  <c r="E66" i="1"/>
  <c r="J65" i="1"/>
  <c r="I65" i="1"/>
  <c r="H65" i="1"/>
  <c r="G65" i="1"/>
  <c r="F65" i="1"/>
  <c r="E65" i="1"/>
  <c r="D65" i="1"/>
  <c r="C65" i="1"/>
  <c r="J63" i="1"/>
  <c r="I63" i="1"/>
  <c r="H63" i="1"/>
  <c r="G63" i="1"/>
  <c r="F63" i="1"/>
  <c r="J62" i="1"/>
  <c r="I62" i="1"/>
  <c r="H62" i="1"/>
  <c r="F62" i="1"/>
  <c r="E62" i="1"/>
  <c r="D62" i="1"/>
  <c r="C62" i="1"/>
  <c r="G61" i="1"/>
  <c r="D61" i="1"/>
  <c r="C61" i="1"/>
  <c r="B61" i="1"/>
  <c r="J60" i="1"/>
  <c r="I60" i="1"/>
  <c r="H60" i="1"/>
  <c r="G60" i="1"/>
  <c r="F60" i="1"/>
  <c r="E60" i="1"/>
  <c r="D60" i="1"/>
  <c r="C60" i="1"/>
  <c r="J57" i="1"/>
  <c r="I57" i="1"/>
  <c r="H57" i="1"/>
  <c r="G57" i="1"/>
  <c r="F57" i="1"/>
  <c r="E57" i="1"/>
  <c r="D57" i="1"/>
  <c r="C57" i="1"/>
  <c r="B57" i="1"/>
  <c r="J56" i="1"/>
  <c r="I56" i="1"/>
  <c r="H56" i="1"/>
  <c r="G56" i="1"/>
  <c r="F56" i="1"/>
  <c r="E56" i="1"/>
  <c r="D56" i="1"/>
  <c r="C56" i="1"/>
  <c r="B56" i="1"/>
  <c r="J54" i="1"/>
  <c r="I54" i="1"/>
  <c r="H54" i="1"/>
  <c r="G54" i="1"/>
  <c r="F54" i="1"/>
  <c r="E54" i="1"/>
  <c r="D54" i="1"/>
  <c r="C54" i="1"/>
  <c r="B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B52" i="1"/>
  <c r="I51" i="1"/>
  <c r="H51" i="1"/>
  <c r="G51" i="1"/>
  <c r="F51" i="1"/>
  <c r="E51" i="1"/>
  <c r="D51" i="1"/>
  <c r="C51" i="1"/>
  <c r="B51" i="1"/>
  <c r="J49" i="1"/>
  <c r="I49" i="1"/>
  <c r="H49" i="1"/>
  <c r="G49" i="1"/>
  <c r="F49" i="1"/>
  <c r="D49" i="1"/>
  <c r="C49" i="1"/>
  <c r="B49" i="1"/>
  <c r="H48" i="1"/>
  <c r="F48" i="1"/>
  <c r="H46" i="1"/>
  <c r="G46" i="1"/>
  <c r="F46" i="1"/>
  <c r="E46" i="1"/>
  <c r="D46" i="1"/>
  <c r="C46" i="1"/>
  <c r="B46" i="1"/>
  <c r="J45" i="1"/>
  <c r="J47" i="1" s="1"/>
  <c r="I45" i="1"/>
  <c r="I47" i="1" s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/>
  <c r="C44" i="1"/>
  <c r="B44" i="1"/>
  <c r="I42" i="1"/>
  <c r="H42" i="1"/>
  <c r="G42" i="1"/>
  <c r="F42" i="1"/>
  <c r="F43" i="1" s="1"/>
  <c r="E42" i="1"/>
  <c r="E41" i="1"/>
  <c r="N41" i="1" s="1"/>
  <c r="D43" i="1"/>
  <c r="B43" i="1"/>
  <c r="J39" i="1"/>
  <c r="I39" i="1"/>
  <c r="H39" i="1"/>
  <c r="G39" i="1"/>
  <c r="F39" i="1"/>
  <c r="E39" i="1"/>
  <c r="D39" i="1"/>
  <c r="C39" i="1"/>
  <c r="B39" i="1"/>
  <c r="J37" i="1"/>
  <c r="I37" i="1"/>
  <c r="H37" i="1"/>
  <c r="G37" i="1"/>
  <c r="F37" i="1"/>
  <c r="E37" i="1"/>
  <c r="D37" i="1"/>
  <c r="C37" i="1"/>
  <c r="B37" i="1"/>
  <c r="I34" i="1"/>
  <c r="H34" i="1"/>
  <c r="G34" i="1"/>
  <c r="F34" i="1"/>
  <c r="E34" i="1"/>
  <c r="D34" i="1"/>
  <c r="C34" i="1"/>
  <c r="B34" i="1"/>
  <c r="I32" i="1"/>
  <c r="H32" i="1"/>
  <c r="G32" i="1"/>
  <c r="F32" i="1"/>
  <c r="E32" i="1"/>
  <c r="D32" i="1"/>
  <c r="C32" i="1"/>
  <c r="B32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H29" i="1"/>
  <c r="G29" i="1"/>
  <c r="C29" i="1"/>
  <c r="B29" i="1"/>
  <c r="J28" i="1"/>
  <c r="I28" i="1"/>
  <c r="H28" i="1"/>
  <c r="E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I25" i="1"/>
  <c r="H25" i="1"/>
  <c r="D25" i="1"/>
  <c r="C25" i="1"/>
  <c r="B25" i="1"/>
  <c r="J24" i="1"/>
  <c r="I24" i="1"/>
  <c r="H24" i="1"/>
  <c r="G24" i="1"/>
  <c r="F24" i="1"/>
  <c r="E24" i="1"/>
  <c r="D24" i="1"/>
  <c r="C24" i="1"/>
  <c r="B24" i="1"/>
  <c r="J22" i="1"/>
  <c r="I22" i="1"/>
  <c r="H22" i="1"/>
  <c r="G22" i="1"/>
  <c r="F22" i="1"/>
  <c r="E22" i="1"/>
  <c r="D22" i="1"/>
  <c r="J20" i="1"/>
  <c r="I20" i="1"/>
  <c r="I21" i="1" s="1"/>
  <c r="H20" i="1"/>
  <c r="G20" i="1"/>
  <c r="G21" i="1" s="1"/>
  <c r="F20" i="1"/>
  <c r="F21" i="1" s="1"/>
  <c r="E20" i="1"/>
  <c r="E21" i="1" s="1"/>
  <c r="D20" i="1"/>
  <c r="D21" i="1" s="1"/>
  <c r="C20" i="1"/>
  <c r="C21" i="1" s="1"/>
  <c r="B20" i="1"/>
  <c r="B21" i="1" s="1"/>
  <c r="J19" i="1"/>
  <c r="H19" i="1"/>
  <c r="J18" i="1"/>
  <c r="I18" i="1"/>
  <c r="H18" i="1"/>
  <c r="C18" i="1"/>
  <c r="J15" i="1"/>
  <c r="I14" i="1"/>
  <c r="N14" i="1" s="1"/>
  <c r="I13" i="1"/>
  <c r="H13" i="1"/>
  <c r="H15" i="1" s="1"/>
  <c r="G13" i="1"/>
  <c r="G15" i="1" s="1"/>
  <c r="F13" i="1"/>
  <c r="F15" i="1" s="1"/>
  <c r="E13" i="1"/>
  <c r="E15" i="1" s="1"/>
  <c r="D13" i="1"/>
  <c r="D15" i="1" s="1"/>
  <c r="C13" i="1"/>
  <c r="C15" i="1" s="1"/>
  <c r="B13" i="1"/>
  <c r="D10" i="1"/>
  <c r="J9" i="1"/>
  <c r="I9" i="1"/>
  <c r="H9" i="1"/>
  <c r="G9" i="1"/>
  <c r="F9" i="1"/>
  <c r="E9" i="1"/>
  <c r="J8" i="1"/>
  <c r="I8" i="1"/>
  <c r="H8" i="1"/>
  <c r="G8" i="1"/>
  <c r="E8" i="1"/>
  <c r="D8" i="1"/>
  <c r="C8" i="1"/>
  <c r="B8" i="1"/>
  <c r="J7" i="1"/>
  <c r="I7" i="1"/>
  <c r="H7" i="1"/>
  <c r="G7" i="1"/>
  <c r="F7" i="1"/>
  <c r="E7" i="1"/>
  <c r="W46" i="1" l="1"/>
  <c r="X46" i="1" s="1"/>
  <c r="Y46" i="1" s="1"/>
  <c r="Z46" i="1" s="1"/>
  <c r="K61" i="1"/>
  <c r="L61" i="1" s="1"/>
  <c r="K66" i="1"/>
  <c r="L66" i="1" s="1"/>
  <c r="R80" i="1"/>
  <c r="R82" i="1" s="1"/>
  <c r="T80" i="1"/>
  <c r="T82" i="1" s="1"/>
  <c r="S80" i="1"/>
  <c r="S82" i="1" s="1"/>
  <c r="E33" i="1"/>
  <c r="K24" i="1"/>
  <c r="L24" i="1" s="1"/>
  <c r="M24" i="1" s="1"/>
  <c r="K19" i="1"/>
  <c r="L30" i="1"/>
  <c r="L33" i="1" s="1"/>
  <c r="N13" i="1"/>
  <c r="M30" i="1"/>
  <c r="N52" i="1"/>
  <c r="AA31" i="1"/>
  <c r="AA65" i="1"/>
  <c r="N63" i="1"/>
  <c r="K34" i="1"/>
  <c r="L34" i="1" s="1"/>
  <c r="K26" i="1"/>
  <c r="K28" i="1"/>
  <c r="K49" i="1"/>
  <c r="K29" i="1"/>
  <c r="L29" i="1" s="1"/>
  <c r="M29" i="1" s="1"/>
  <c r="AA32" i="1"/>
  <c r="K22" i="1"/>
  <c r="K30" i="1"/>
  <c r="K51" i="1"/>
  <c r="L51" i="1" s="1"/>
  <c r="K42" i="1"/>
  <c r="K43" i="1" s="1"/>
  <c r="J33" i="1"/>
  <c r="O80" i="1"/>
  <c r="O82" i="1" s="1"/>
  <c r="Q80" i="1"/>
  <c r="Q82" i="1" s="1"/>
  <c r="P80" i="1"/>
  <c r="P82" i="1" s="1"/>
  <c r="N32" i="1"/>
  <c r="N31" i="1"/>
  <c r="K44" i="1"/>
  <c r="L44" i="1" s="1"/>
  <c r="M44" i="1" s="1"/>
  <c r="N44" i="1" s="1"/>
  <c r="N65" i="1"/>
  <c r="N25" i="1"/>
  <c r="AA68" i="1"/>
  <c r="K69" i="1"/>
  <c r="L69" i="1" s="1"/>
  <c r="M69" i="1" s="1"/>
  <c r="N69" i="1" s="1"/>
  <c r="N27" i="1"/>
  <c r="K67" i="1"/>
  <c r="L67" i="1" s="1"/>
  <c r="M67" i="1" s="1"/>
  <c r="N67" i="1" s="1"/>
  <c r="N68" i="1"/>
  <c r="N57" i="1"/>
  <c r="N37" i="1"/>
  <c r="K71" i="1"/>
  <c r="L71" i="1" s="1"/>
  <c r="M71" i="1" s="1"/>
  <c r="N71" i="1" s="1"/>
  <c r="L19" i="1"/>
  <c r="K64" i="1"/>
  <c r="K53" i="1"/>
  <c r="L53" i="1" s="1"/>
  <c r="B33" i="1"/>
  <c r="N76" i="1"/>
  <c r="K60" i="1"/>
  <c r="K20" i="1"/>
  <c r="L20" i="1" s="1"/>
  <c r="K56" i="1"/>
  <c r="AA57" i="1"/>
  <c r="K72" i="1"/>
  <c r="N81" i="1"/>
  <c r="N36" i="1"/>
  <c r="K8" i="1"/>
  <c r="L8" i="1" s="1"/>
  <c r="AA63" i="1"/>
  <c r="K54" i="1"/>
  <c r="L54" i="1" s="1"/>
  <c r="M54" i="1" s="1"/>
  <c r="J64" i="1"/>
  <c r="AA37" i="1"/>
  <c r="K70" i="1"/>
  <c r="N70" i="1" s="1"/>
  <c r="K48" i="1"/>
  <c r="K77" i="1"/>
  <c r="L77" i="1" s="1"/>
  <c r="L78" i="1" s="1"/>
  <c r="L83" i="1" s="1"/>
  <c r="G58" i="1"/>
  <c r="G59" i="1" s="1"/>
  <c r="G64" i="1"/>
  <c r="I83" i="1"/>
  <c r="N10" i="1"/>
  <c r="D58" i="1"/>
  <c r="D59" i="1" s="1"/>
  <c r="G47" i="1"/>
  <c r="I11" i="1"/>
  <c r="I15" i="1"/>
  <c r="J21" i="1"/>
  <c r="J43" i="1"/>
  <c r="H64" i="1"/>
  <c r="C11" i="1"/>
  <c r="C64" i="1"/>
  <c r="I64" i="1"/>
  <c r="D33" i="1"/>
  <c r="F58" i="1"/>
  <c r="F59" i="1" s="1"/>
  <c r="G83" i="1"/>
  <c r="B58" i="1"/>
  <c r="J58" i="1"/>
  <c r="J59" i="1" s="1"/>
  <c r="B83" i="1"/>
  <c r="I33" i="1"/>
  <c r="H11" i="1"/>
  <c r="H16" i="1" s="1"/>
  <c r="C47" i="1"/>
  <c r="E58" i="1"/>
  <c r="E59" i="1" s="1"/>
  <c r="J11" i="1"/>
  <c r="J83" i="1"/>
  <c r="B11" i="1"/>
  <c r="I38" i="1"/>
  <c r="F64" i="1"/>
  <c r="D11" i="1"/>
  <c r="G33" i="1"/>
  <c r="G43" i="1"/>
  <c r="H43" i="1"/>
  <c r="D47" i="1"/>
  <c r="F83" i="1"/>
  <c r="C38" i="1"/>
  <c r="D38" i="1"/>
  <c r="E47" i="1"/>
  <c r="H58" i="1"/>
  <c r="H59" i="1" s="1"/>
  <c r="H83" i="1"/>
  <c r="C33" i="1"/>
  <c r="F38" i="1"/>
  <c r="E38" i="1"/>
  <c r="E83" i="1"/>
  <c r="G38" i="1"/>
  <c r="I58" i="1"/>
  <c r="I59" i="1" s="1"/>
  <c r="F47" i="1"/>
  <c r="E11" i="1"/>
  <c r="E16" i="1" s="1"/>
  <c r="J38" i="1"/>
  <c r="H38" i="1"/>
  <c r="D64" i="1"/>
  <c r="F11" i="1"/>
  <c r="H33" i="1"/>
  <c r="F33" i="1"/>
  <c r="G11" i="1"/>
  <c r="G16" i="1" s="1"/>
  <c r="B47" i="1"/>
  <c r="C58" i="1"/>
  <c r="C59" i="1" s="1"/>
  <c r="C83" i="1"/>
  <c r="H47" i="1"/>
  <c r="B15" i="1"/>
  <c r="B38" i="1"/>
  <c r="E43" i="1"/>
  <c r="E64" i="1"/>
  <c r="H21" i="1"/>
  <c r="I43" i="1"/>
  <c r="D82" i="1"/>
  <c r="B64" i="1"/>
  <c r="K38" i="1" l="1"/>
  <c r="L49" i="1"/>
  <c r="M66" i="1"/>
  <c r="O66" i="1" s="1"/>
  <c r="K58" i="1"/>
  <c r="K59" i="1" s="1"/>
  <c r="N40" i="1"/>
  <c r="O40" i="1"/>
  <c r="N24" i="1"/>
  <c r="M19" i="1"/>
  <c r="N19" i="1" s="1"/>
  <c r="L28" i="1"/>
  <c r="M28" i="1" s="1"/>
  <c r="AA82" i="1"/>
  <c r="M49" i="1"/>
  <c r="N49" i="1" s="1"/>
  <c r="N29" i="1"/>
  <c r="O29" i="1"/>
  <c r="O24" i="1"/>
  <c r="L26" i="1"/>
  <c r="M26" i="1" s="1"/>
  <c r="L22" i="1"/>
  <c r="O44" i="1"/>
  <c r="P44" i="1" s="1"/>
  <c r="Q44" i="1" s="1"/>
  <c r="H73" i="1"/>
  <c r="H74" i="1" s="1"/>
  <c r="H84" i="1" s="1"/>
  <c r="AA80" i="1"/>
  <c r="O19" i="1"/>
  <c r="O21" i="1" s="1"/>
  <c r="O9" i="1"/>
  <c r="O69" i="1"/>
  <c r="P69" i="1" s="1"/>
  <c r="M34" i="1"/>
  <c r="M38" i="1" s="1"/>
  <c r="L38" i="1"/>
  <c r="M33" i="1"/>
  <c r="N39" i="1"/>
  <c r="K78" i="1"/>
  <c r="K83" i="1" s="1"/>
  <c r="J73" i="1"/>
  <c r="L56" i="1"/>
  <c r="O67" i="1"/>
  <c r="P67" i="1" s="1"/>
  <c r="O71" i="1"/>
  <c r="P71" i="1" s="1"/>
  <c r="M51" i="1"/>
  <c r="O51" i="1" s="1"/>
  <c r="K15" i="1"/>
  <c r="M53" i="1"/>
  <c r="O53" i="1" s="1"/>
  <c r="P53" i="1" s="1"/>
  <c r="Q53" i="1" s="1"/>
  <c r="L64" i="1"/>
  <c r="M61" i="1"/>
  <c r="L60" i="1"/>
  <c r="M60" i="1" s="1"/>
  <c r="N18" i="1"/>
  <c r="I16" i="1"/>
  <c r="K11" i="1"/>
  <c r="N54" i="1"/>
  <c r="K21" i="1"/>
  <c r="D16" i="1"/>
  <c r="J16" i="1"/>
  <c r="O54" i="1"/>
  <c r="P54" i="1" s="1"/>
  <c r="K47" i="1"/>
  <c r="L48" i="1"/>
  <c r="C16" i="1"/>
  <c r="N46" i="1"/>
  <c r="M20" i="1"/>
  <c r="N20" i="1" s="1"/>
  <c r="L72" i="1"/>
  <c r="P66" i="1"/>
  <c r="Q66" i="1" s="1"/>
  <c r="D83" i="1"/>
  <c r="N82" i="1"/>
  <c r="M77" i="1"/>
  <c r="O77" i="1" s="1"/>
  <c r="O78" i="1" s="1"/>
  <c r="O83" i="1" s="1"/>
  <c r="AA52" i="1"/>
  <c r="L21" i="1"/>
  <c r="F16" i="1"/>
  <c r="D73" i="1"/>
  <c r="E73" i="1"/>
  <c r="E74" i="1" s="1"/>
  <c r="E84" i="1" s="1"/>
  <c r="B59" i="1"/>
  <c r="B73" i="1" s="1"/>
  <c r="I73" i="1"/>
  <c r="G73" i="1"/>
  <c r="G74" i="1" s="1"/>
  <c r="G84" i="1" s="1"/>
  <c r="F73" i="1"/>
  <c r="C73" i="1"/>
  <c r="B16" i="1"/>
  <c r="N66" i="1" l="1"/>
  <c r="L58" i="1"/>
  <c r="L59" i="1" s="1"/>
  <c r="N28" i="1"/>
  <c r="O49" i="1"/>
  <c r="P49" i="1" s="1"/>
  <c r="P40" i="1"/>
  <c r="M56" i="1"/>
  <c r="Q69" i="1"/>
  <c r="R69" i="1" s="1"/>
  <c r="N53" i="1"/>
  <c r="I74" i="1"/>
  <c r="I84" i="1" s="1"/>
  <c r="P9" i="1"/>
  <c r="Q9" i="1" s="1"/>
  <c r="R9" i="1" s="1"/>
  <c r="S9" i="1" s="1"/>
  <c r="T9" i="1" s="1"/>
  <c r="U9" i="1" s="1"/>
  <c r="V9" i="1" s="1"/>
  <c r="W9" i="1" s="1"/>
  <c r="X9" i="1" s="1"/>
  <c r="Y9" i="1" s="1"/>
  <c r="Z9" i="1" s="1"/>
  <c r="O42" i="1"/>
  <c r="P19" i="1"/>
  <c r="P21" i="1" s="1"/>
  <c r="O26" i="1"/>
  <c r="P26" i="1" s="1"/>
  <c r="P24" i="1"/>
  <c r="P29" i="1"/>
  <c r="M22" i="1"/>
  <c r="N22" i="1" s="1"/>
  <c r="L42" i="1"/>
  <c r="L43" i="1" s="1"/>
  <c r="L11" i="1"/>
  <c r="N26" i="1"/>
  <c r="N38" i="1"/>
  <c r="O34" i="1"/>
  <c r="O38" i="1" s="1"/>
  <c r="N34" i="1"/>
  <c r="M42" i="1"/>
  <c r="B74" i="1"/>
  <c r="J74" i="1"/>
  <c r="J84" i="1" s="1"/>
  <c r="N60" i="1"/>
  <c r="O60" i="1"/>
  <c r="P60" i="1" s="1"/>
  <c r="Q67" i="1"/>
  <c r="R67" i="1" s="1"/>
  <c r="Q71" i="1"/>
  <c r="R71" i="1" s="1"/>
  <c r="R66" i="1"/>
  <c r="S66" i="1" s="1"/>
  <c r="T66" i="1" s="1"/>
  <c r="R53" i="1"/>
  <c r="S53" i="1"/>
  <c r="M21" i="1"/>
  <c r="N51" i="1"/>
  <c r="P51" i="1"/>
  <c r="Q51" i="1" s="1"/>
  <c r="P77" i="1"/>
  <c r="R44" i="1"/>
  <c r="S44" i="1" s="1"/>
  <c r="L47" i="1"/>
  <c r="N9" i="1"/>
  <c r="M72" i="1"/>
  <c r="N72" i="1" s="1"/>
  <c r="M8" i="1"/>
  <c r="O8" i="1" s="1"/>
  <c r="O61" i="1"/>
  <c r="P61" i="1" s="1"/>
  <c r="C74" i="1"/>
  <c r="C84" i="1" s="1"/>
  <c r="D74" i="1"/>
  <c r="D84" i="1" s="1"/>
  <c r="K16" i="1"/>
  <c r="Q54" i="1"/>
  <c r="R54" i="1" s="1"/>
  <c r="N62" i="1"/>
  <c r="L15" i="1"/>
  <c r="N61" i="1"/>
  <c r="M64" i="1"/>
  <c r="N64" i="1" s="1"/>
  <c r="F74" i="1"/>
  <c r="F84" i="1" s="1"/>
  <c r="M48" i="1"/>
  <c r="N48" i="1" s="1"/>
  <c r="M78" i="1"/>
  <c r="N77" i="1"/>
  <c r="Q49" i="1" l="1"/>
  <c r="R49" i="1" s="1"/>
  <c r="O56" i="1"/>
  <c r="P56" i="1"/>
  <c r="Q40" i="1"/>
  <c r="M58" i="1"/>
  <c r="N58" i="1" s="1"/>
  <c r="N56" i="1"/>
  <c r="Q19" i="1"/>
  <c r="Q21" i="1" s="1"/>
  <c r="AA9" i="1"/>
  <c r="S69" i="1"/>
  <c r="T69" i="1" s="1"/>
  <c r="S67" i="1"/>
  <c r="T67" i="1" s="1"/>
  <c r="N42" i="1"/>
  <c r="P34" i="1"/>
  <c r="P38" i="1" s="1"/>
  <c r="T53" i="1"/>
  <c r="U53" i="1" s="1"/>
  <c r="V53" i="1" s="1"/>
  <c r="R19" i="1"/>
  <c r="R21" i="1" s="1"/>
  <c r="O22" i="1"/>
  <c r="Q26" i="1"/>
  <c r="Q60" i="1"/>
  <c r="R60" i="1" s="1"/>
  <c r="S60" i="1" s="1"/>
  <c r="T60" i="1" s="1"/>
  <c r="Q29" i="1"/>
  <c r="Q24" i="1"/>
  <c r="L73" i="1"/>
  <c r="N8" i="1"/>
  <c r="N7" i="1"/>
  <c r="P64" i="1"/>
  <c r="M43" i="1"/>
  <c r="N43" i="1" s="1"/>
  <c r="O43" i="1"/>
  <c r="O72" i="1"/>
  <c r="P72" i="1" s="1"/>
  <c r="M47" i="1"/>
  <c r="N47" i="1" s="1"/>
  <c r="P58" i="1"/>
  <c r="P59" i="1" s="1"/>
  <c r="O11" i="1"/>
  <c r="T44" i="1"/>
  <c r="O58" i="1"/>
  <c r="O59" i="1" s="1"/>
  <c r="N45" i="1"/>
  <c r="M15" i="1"/>
  <c r="N15" i="1" s="1"/>
  <c r="L16" i="1"/>
  <c r="Q78" i="1"/>
  <c r="Q83" i="1" s="1"/>
  <c r="S71" i="1"/>
  <c r="O48" i="1"/>
  <c r="M11" i="1"/>
  <c r="N21" i="1"/>
  <c r="U66" i="1"/>
  <c r="V66" i="1" s="1"/>
  <c r="S54" i="1"/>
  <c r="T54" i="1" s="1"/>
  <c r="O64" i="1"/>
  <c r="Q61" i="1"/>
  <c r="P78" i="1"/>
  <c r="P83" i="1" s="1"/>
  <c r="R51" i="1"/>
  <c r="O47" i="1"/>
  <c r="N78" i="1"/>
  <c r="M83" i="1"/>
  <c r="N83" i="1" s="1"/>
  <c r="B84" i="1"/>
  <c r="P48" i="1" l="1"/>
  <c r="M59" i="1"/>
  <c r="N59" i="1" s="1"/>
  <c r="S49" i="1"/>
  <c r="T49" i="1" s="1"/>
  <c r="U49" i="1" s="1"/>
  <c r="S19" i="1"/>
  <c r="S21" i="1" s="1"/>
  <c r="Q56" i="1"/>
  <c r="U67" i="1"/>
  <c r="V67" i="1" s="1"/>
  <c r="W67" i="1" s="1"/>
  <c r="Q34" i="1"/>
  <c r="Q38" i="1" s="1"/>
  <c r="R40" i="1"/>
  <c r="S40" i="1" s="1"/>
  <c r="T40" i="1" s="1"/>
  <c r="U40" i="1" s="1"/>
  <c r="V40" i="1" s="1"/>
  <c r="W40" i="1" s="1"/>
  <c r="X40" i="1" s="1"/>
  <c r="Y40" i="1" s="1"/>
  <c r="W66" i="1"/>
  <c r="X66" i="1" s="1"/>
  <c r="Y66" i="1" s="1"/>
  <c r="R24" i="1"/>
  <c r="S33" i="1"/>
  <c r="R26" i="1"/>
  <c r="S26" i="1" s="1"/>
  <c r="T26" i="1" s="1"/>
  <c r="L74" i="1"/>
  <c r="L84" i="1" s="1"/>
  <c r="P22" i="1"/>
  <c r="R29" i="1"/>
  <c r="S29" i="1" s="1"/>
  <c r="T19" i="1"/>
  <c r="U19" i="1" s="1"/>
  <c r="R34" i="1"/>
  <c r="R38" i="1" s="1"/>
  <c r="P8" i="1"/>
  <c r="Q8" i="1" s="1"/>
  <c r="AA18" i="1"/>
  <c r="M16" i="1"/>
  <c r="N16" i="1" s="1"/>
  <c r="N11" i="1"/>
  <c r="U60" i="1"/>
  <c r="V60" i="1" s="1"/>
  <c r="U54" i="1"/>
  <c r="V54" i="1" s="1"/>
  <c r="W53" i="1"/>
  <c r="X53" i="1" s="1"/>
  <c r="Y53" i="1" s="1"/>
  <c r="Z53" i="1" s="1"/>
  <c r="U69" i="1"/>
  <c r="V69" i="1" s="1"/>
  <c r="Q72" i="1"/>
  <c r="Q64" i="1"/>
  <c r="R61" i="1"/>
  <c r="R78" i="1"/>
  <c r="S78" i="1"/>
  <c r="S83" i="1" s="1"/>
  <c r="U44" i="1"/>
  <c r="S51" i="1"/>
  <c r="Q48" i="1"/>
  <c r="R48" i="1" s="1"/>
  <c r="M73" i="1"/>
  <c r="R56" i="1" l="1"/>
  <c r="S56" i="1"/>
  <c r="T56" i="1" s="1"/>
  <c r="U56" i="1" s="1"/>
  <c r="Z40" i="1"/>
  <c r="AA40" i="1" s="1"/>
  <c r="S24" i="1"/>
  <c r="T24" i="1" s="1"/>
  <c r="W60" i="1"/>
  <c r="X60" i="1" s="1"/>
  <c r="Y60" i="1" s="1"/>
  <c r="Z66" i="1"/>
  <c r="AA66" i="1" s="1"/>
  <c r="U21" i="1"/>
  <c r="V19" i="1"/>
  <c r="V21" i="1" s="1"/>
  <c r="U26" i="1"/>
  <c r="V26" i="1" s="1"/>
  <c r="W26" i="1" s="1"/>
  <c r="T29" i="1"/>
  <c r="U29" i="1" s="1"/>
  <c r="V29" i="1" s="1"/>
  <c r="Q22" i="1"/>
  <c r="T21" i="1"/>
  <c r="S34" i="1"/>
  <c r="AA27" i="1"/>
  <c r="AA25" i="1"/>
  <c r="AA20" i="1"/>
  <c r="R8" i="1"/>
  <c r="S8" i="1" s="1"/>
  <c r="P47" i="1"/>
  <c r="M74" i="1"/>
  <c r="S48" i="1"/>
  <c r="T48" i="1" s="1"/>
  <c r="O15" i="1"/>
  <c r="O16" i="1" s="1"/>
  <c r="W54" i="1"/>
  <c r="V44" i="1"/>
  <c r="R72" i="1"/>
  <c r="S72" i="1" s="1"/>
  <c r="R64" i="1"/>
  <c r="P11" i="1"/>
  <c r="W69" i="1"/>
  <c r="Q58" i="1"/>
  <c r="Q59" i="1" s="1"/>
  <c r="U78" i="1"/>
  <c r="U83" i="1" s="1"/>
  <c r="R83" i="1"/>
  <c r="T51" i="1"/>
  <c r="S61" i="1"/>
  <c r="Q11" i="1"/>
  <c r="X67" i="1"/>
  <c r="Y67" i="1" s="1"/>
  <c r="AA53" i="1"/>
  <c r="V49" i="1"/>
  <c r="W49" i="1" s="1"/>
  <c r="V56" i="1" l="1"/>
  <c r="W56" i="1" s="1"/>
  <c r="X56" i="1" s="1"/>
  <c r="U24" i="1"/>
  <c r="V24" i="1" s="1"/>
  <c r="Z67" i="1"/>
  <c r="AA67" i="1" s="1"/>
  <c r="X26" i="1"/>
  <c r="R22" i="1"/>
  <c r="S22" i="1" s="1"/>
  <c r="W19" i="1"/>
  <c r="W29" i="1"/>
  <c r="X29" i="1" s="1"/>
  <c r="Y29" i="1" s="1"/>
  <c r="Z29" i="1" s="1"/>
  <c r="T34" i="1"/>
  <c r="U34" i="1" s="1"/>
  <c r="S38" i="1"/>
  <c r="AA39" i="1"/>
  <c r="S11" i="1"/>
  <c r="T8" i="1"/>
  <c r="U8" i="1" s="1"/>
  <c r="W44" i="1"/>
  <c r="X44" i="1" s="1"/>
  <c r="Y44" i="1" s="1"/>
  <c r="S15" i="1"/>
  <c r="R58" i="1"/>
  <c r="R59" i="1" s="1"/>
  <c r="X54" i="1"/>
  <c r="Y54" i="1" s="1"/>
  <c r="Z71" i="1"/>
  <c r="AA71" i="1" s="1"/>
  <c r="Q15" i="1"/>
  <c r="R11" i="1"/>
  <c r="U51" i="1"/>
  <c r="M84" i="1"/>
  <c r="T78" i="1"/>
  <c r="X69" i="1"/>
  <c r="S64" i="1"/>
  <c r="Q47" i="1"/>
  <c r="S47" i="1"/>
  <c r="T61" i="1"/>
  <c r="U61" i="1" s="1"/>
  <c r="S58" i="1"/>
  <c r="S59" i="1" s="1"/>
  <c r="V78" i="1"/>
  <c r="V83" i="1" s="1"/>
  <c r="T72" i="1"/>
  <c r="U72" i="1" s="1"/>
  <c r="V72" i="1" s="1"/>
  <c r="X49" i="1"/>
  <c r="Y49" i="1" s="1"/>
  <c r="Z49" i="1" s="1"/>
  <c r="AA49" i="1" s="1"/>
  <c r="Z60" i="1"/>
  <c r="Y56" i="1" l="1"/>
  <c r="Z56" i="1" s="1"/>
  <c r="W24" i="1"/>
  <c r="X24" i="1" s="1"/>
  <c r="T22" i="1"/>
  <c r="U22" i="1" s="1"/>
  <c r="X78" i="1"/>
  <c r="X83" i="1" s="1"/>
  <c r="X19" i="1"/>
  <c r="W21" i="1"/>
  <c r="Z54" i="1"/>
  <c r="AA54" i="1" s="1"/>
  <c r="AA29" i="1"/>
  <c r="Y26" i="1"/>
  <c r="Z26" i="1" s="1"/>
  <c r="U38" i="1"/>
  <c r="V34" i="1"/>
  <c r="V38" i="1" s="1"/>
  <c r="T38" i="1"/>
  <c r="AA28" i="1"/>
  <c r="S16" i="1"/>
  <c r="S42" i="1" s="1"/>
  <c r="S43" i="1" s="1"/>
  <c r="S73" i="1" s="1"/>
  <c r="S74" i="1" s="1"/>
  <c r="S84" i="1" s="1"/>
  <c r="Z44" i="1"/>
  <c r="AA44" i="1" s="1"/>
  <c r="AA70" i="1"/>
  <c r="V8" i="1"/>
  <c r="W8" i="1" s="1"/>
  <c r="W72" i="1"/>
  <c r="Y69" i="1"/>
  <c r="Z69" i="1" s="1"/>
  <c r="AA69" i="1" s="1"/>
  <c r="V61" i="1"/>
  <c r="W61" i="1" s="1"/>
  <c r="X61" i="1" s="1"/>
  <c r="P15" i="1"/>
  <c r="P16" i="1" s="1"/>
  <c r="R15" i="1"/>
  <c r="R16" i="1" s="1"/>
  <c r="U64" i="1"/>
  <c r="U48" i="1"/>
  <c r="V48" i="1" s="1"/>
  <c r="W48" i="1" s="1"/>
  <c r="T11" i="1"/>
  <c r="T64" i="1"/>
  <c r="R47" i="1"/>
  <c r="Q16" i="1"/>
  <c r="T83" i="1"/>
  <c r="V51" i="1"/>
  <c r="AA60" i="1"/>
  <c r="W78" i="1" l="1"/>
  <c r="W83" i="1" s="1"/>
  <c r="Y24" i="1"/>
  <c r="Z24" i="1" s="1"/>
  <c r="AA24" i="1" s="1"/>
  <c r="X48" i="1"/>
  <c r="Y48" i="1" s="1"/>
  <c r="Z48" i="1" s="1"/>
  <c r="AA48" i="1" s="1"/>
  <c r="R42" i="1"/>
  <c r="R43" i="1" s="1"/>
  <c r="V22" i="1"/>
  <c r="Y78" i="1"/>
  <c r="Y83" i="1" s="1"/>
  <c r="Y19" i="1"/>
  <c r="X21" i="1"/>
  <c r="Q42" i="1"/>
  <c r="Q43" i="1" s="1"/>
  <c r="AA26" i="1"/>
  <c r="W34" i="1"/>
  <c r="X34" i="1" s="1"/>
  <c r="P42" i="1"/>
  <c r="P43" i="1" s="1"/>
  <c r="AA46" i="1"/>
  <c r="X8" i="1"/>
  <c r="Y8" i="1" s="1"/>
  <c r="V64" i="1"/>
  <c r="Y61" i="1"/>
  <c r="U11" i="1"/>
  <c r="W51" i="1"/>
  <c r="X51" i="1" s="1"/>
  <c r="T58" i="1"/>
  <c r="T59" i="1" s="1"/>
  <c r="X72" i="1"/>
  <c r="Y72" i="1" s="1"/>
  <c r="Z72" i="1" s="1"/>
  <c r="Z78" i="1" l="1"/>
  <c r="Z83" i="1" s="1"/>
  <c r="AA83" i="1" s="1"/>
  <c r="Y21" i="1"/>
  <c r="W22" i="1"/>
  <c r="X22" i="1" s="1"/>
  <c r="Y22" i="1" s="1"/>
  <c r="Z22" i="1" s="1"/>
  <c r="Z19" i="1"/>
  <c r="Z21" i="1" s="1"/>
  <c r="Y34" i="1"/>
  <c r="Y38" i="1" s="1"/>
  <c r="X38" i="1"/>
  <c r="W38" i="1"/>
  <c r="Z8" i="1"/>
  <c r="AA8" i="1" s="1"/>
  <c r="Z61" i="1"/>
  <c r="AA61" i="1" s="1"/>
  <c r="T15" i="1"/>
  <c r="W64" i="1"/>
  <c r="AA72" i="1"/>
  <c r="U58" i="1"/>
  <c r="U59" i="1" s="1"/>
  <c r="U47" i="1"/>
  <c r="U15" i="1"/>
  <c r="U16" i="1" s="1"/>
  <c r="U42" i="1" s="1"/>
  <c r="U43" i="1" s="1"/>
  <c r="Y51" i="1"/>
  <c r="Z51" i="1" s="1"/>
  <c r="V11" i="1"/>
  <c r="AA77" i="1" l="1"/>
  <c r="AA78" i="1"/>
  <c r="AA19" i="1"/>
  <c r="Z34" i="1"/>
  <c r="Z38" i="1" s="1"/>
  <c r="AA38" i="1" s="1"/>
  <c r="AA21" i="1"/>
  <c r="AA22" i="1"/>
  <c r="AA51" i="1"/>
  <c r="X64" i="1"/>
  <c r="Y64" i="1"/>
  <c r="V47" i="1"/>
  <c r="W47" i="1"/>
  <c r="V15" i="1"/>
  <c r="V16" i="1" s="1"/>
  <c r="V42" i="1" s="1"/>
  <c r="V43" i="1" s="1"/>
  <c r="W11" i="1"/>
  <c r="X11" i="1"/>
  <c r="V58" i="1"/>
  <c r="V59" i="1" s="1"/>
  <c r="T16" i="1"/>
  <c r="T42" i="1" s="1"/>
  <c r="T43" i="1" s="1"/>
  <c r="AA34" i="1" l="1"/>
  <c r="Y11" i="1"/>
  <c r="Z64" i="1"/>
  <c r="AA64" i="1"/>
  <c r="X47" i="1"/>
  <c r="Y15" i="1"/>
  <c r="X15" i="1"/>
  <c r="X16" i="1" s="1"/>
  <c r="X42" i="1" s="1"/>
  <c r="X43" i="1" s="1"/>
  <c r="AA62" i="1"/>
  <c r="W58" i="1"/>
  <c r="W59" i="1" s="1"/>
  <c r="Y16" i="1" l="1"/>
  <c r="Y42" i="1" s="1"/>
  <c r="Y43" i="1" s="1"/>
  <c r="Z11" i="1"/>
  <c r="Y47" i="1"/>
  <c r="W15" i="1"/>
  <c r="X58" i="1"/>
  <c r="X59" i="1" s="1"/>
  <c r="AA7" i="1" l="1"/>
  <c r="Z47" i="1"/>
  <c r="W16" i="1"/>
  <c r="W42" i="1" s="1"/>
  <c r="Y58" i="1"/>
  <c r="Y59" i="1" s="1"/>
  <c r="Z58" i="1"/>
  <c r="AA11" i="1"/>
  <c r="AA56" i="1" l="1"/>
  <c r="W43" i="1"/>
  <c r="AA45" i="1"/>
  <c r="AA58" i="1"/>
  <c r="Z59" i="1"/>
  <c r="AA59" i="1" s="1"/>
  <c r="AA47" i="1"/>
  <c r="Z15" i="1"/>
  <c r="AA13" i="1"/>
  <c r="AA15" i="1" l="1"/>
  <c r="Z16" i="1"/>
  <c r="Z42" i="1" s="1"/>
  <c r="Z43" i="1" l="1"/>
  <c r="AA42" i="1"/>
  <c r="AA16" i="1"/>
  <c r="AA43" i="1" l="1"/>
  <c r="O33" i="1"/>
  <c r="O73" i="1" s="1"/>
  <c r="O74" i="1" s="1"/>
  <c r="K33" i="1"/>
  <c r="N33" i="1" s="1"/>
  <c r="N30" i="1"/>
  <c r="K73" i="1" l="1"/>
  <c r="N73" i="1" s="1"/>
  <c r="O84" i="1"/>
  <c r="Q33" i="1"/>
  <c r="Q73" i="1" s="1"/>
  <c r="Q74" i="1" s="1"/>
  <c r="Q84" i="1" s="1"/>
  <c r="K74" i="1" l="1"/>
  <c r="K84" i="1" s="1"/>
  <c r="N84" i="1" s="1"/>
  <c r="P33" i="1"/>
  <c r="N74" i="1" l="1"/>
  <c r="P73" i="1"/>
  <c r="R33" i="1"/>
  <c r="R73" i="1" s="1"/>
  <c r="R74" i="1" s="1"/>
  <c r="R84" i="1" s="1"/>
  <c r="U33" i="1" l="1"/>
  <c r="U73" i="1" s="1"/>
  <c r="U74" i="1" s="1"/>
  <c r="U84" i="1" s="1"/>
  <c r="P74" i="1"/>
  <c r="P84" i="1" l="1"/>
  <c r="T33" i="1"/>
  <c r="W33" i="1"/>
  <c r="W73" i="1" s="1"/>
  <c r="W74" i="1" s="1"/>
  <c r="W84" i="1" s="1"/>
  <c r="V33" i="1" l="1"/>
  <c r="V73" i="1" s="1"/>
  <c r="V74" i="1" s="1"/>
  <c r="V84" i="1" s="1"/>
  <c r="X33" i="1"/>
  <c r="X73" i="1" s="1"/>
  <c r="X74" i="1" s="1"/>
  <c r="X84" i="1" s="1"/>
  <c r="T73" i="1"/>
  <c r="Y33" i="1" l="1"/>
  <c r="Y73" i="1" s="1"/>
  <c r="Y74" i="1" s="1"/>
  <c r="Y84" i="1" s="1"/>
  <c r="T74" i="1"/>
  <c r="Z33" i="1" l="1"/>
  <c r="Z73" i="1" s="1"/>
  <c r="Z74" i="1" s="1"/>
  <c r="Z84" i="1" s="1"/>
  <c r="T84" i="1"/>
  <c r="AA30" i="1" l="1"/>
  <c r="AA74" i="1"/>
  <c r="AA73" i="1"/>
  <c r="AA84" i="1"/>
  <c r="AA33" i="1"/>
</calcChain>
</file>

<file path=xl/sharedStrings.xml><?xml version="1.0" encoding="utf-8"?>
<sst xmlns="http://schemas.openxmlformats.org/spreadsheetml/2006/main" count="85" uniqueCount="84">
  <si>
    <t>Total</t>
  </si>
  <si>
    <t>Income</t>
  </si>
  <si>
    <t xml:space="preserve">   48600 Referral Commissions Income</t>
  </si>
  <si>
    <t xml:space="preserve">   49100 Stripe Sales</t>
  </si>
  <si>
    <t xml:space="preserve">   Uncategorized Income</t>
  </si>
  <si>
    <t>Total Income</t>
  </si>
  <si>
    <t>Cost of Goods Sold</t>
  </si>
  <si>
    <t xml:space="preserve">   50100 Client Advertising Spend</t>
  </si>
  <si>
    <t xml:space="preserve">   51000 Referral Commissions Paid</t>
  </si>
  <si>
    <t>Total Cost of Goods Sold</t>
  </si>
  <si>
    <t>Gross Profit</t>
  </si>
  <si>
    <t>Expenses</t>
  </si>
  <si>
    <t xml:space="preserve">   60100 Advertising &amp; Marketing</t>
  </si>
  <si>
    <t xml:space="preserve">   60200 Auto Expense</t>
  </si>
  <si>
    <t xml:space="preserve">      60220 Fuel Expense</t>
  </si>
  <si>
    <t xml:space="preserve">   Total 60200 Auto Expense</t>
  </si>
  <si>
    <t xml:space="preserve">   60300 Bank Service Charges</t>
  </si>
  <si>
    <t xml:space="preserve">   60380 Client Gifts</t>
  </si>
  <si>
    <t xml:space="preserve">   60400 Computer &amp; Internet Expense</t>
  </si>
  <si>
    <t xml:space="preserve">   60450 Conference/Trade Show Expense</t>
  </si>
  <si>
    <t xml:space="preserve">   62000 Data Monitoring &amp; Analytics</t>
  </si>
  <si>
    <t xml:space="preserve">   62500 Dues &amp; Subscriptions</t>
  </si>
  <si>
    <t xml:space="preserve">   62600 Education &amp; Training</t>
  </si>
  <si>
    <t xml:space="preserve">   63000 HR &amp; Hiring Expenses</t>
  </si>
  <si>
    <t xml:space="preserve">   63400 Insurance Expense</t>
  </si>
  <si>
    <t xml:space="preserve">      63440 Medical Insurance</t>
  </si>
  <si>
    <t xml:space="preserve">      63464 Medical Insurance - Shareholders - Neeley</t>
  </si>
  <si>
    <t xml:space="preserve">   Total 63400 Insurance Expense</t>
  </si>
  <si>
    <t xml:space="preserve">   63500 Interest Expense</t>
  </si>
  <si>
    <t xml:space="preserve">      60210 Auto Interest Expense</t>
  </si>
  <si>
    <t xml:space="preserve">         60212 Auto Interest Expense - Neeley</t>
  </si>
  <si>
    <t xml:space="preserve">      Total 60210 Auto Interest Expense</t>
  </si>
  <si>
    <t xml:space="preserve">   Total 63500 Interest Expense</t>
  </si>
  <si>
    <t xml:space="preserve">   63700 Meals Expense</t>
  </si>
  <si>
    <t xml:space="preserve">   63750 Merchant Service Fees</t>
  </si>
  <si>
    <t xml:space="preserve">      PayPal Fees</t>
  </si>
  <si>
    <t xml:space="preserve">      Stripe Fees</t>
  </si>
  <si>
    <t xml:space="preserve">   Total 63750 Merchant Service Fees</t>
  </si>
  <si>
    <t xml:space="preserve">   64000 Office Expense</t>
  </si>
  <si>
    <t xml:space="preserve">   64100 Outside Professional Services Fulfillment</t>
  </si>
  <si>
    <t xml:space="preserve">   Total 64100 Outside Professional Services Fulfillment</t>
  </si>
  <si>
    <t xml:space="preserve">   64200 Outside Services - Subcontracted Svcs</t>
  </si>
  <si>
    <t xml:space="preserve">   65100 Parking &amp; Tolls</t>
  </si>
  <si>
    <t xml:space="preserve">   65200 Payroll Expenses</t>
  </si>
  <si>
    <t xml:space="preserve">      65204 Expense Reimbursement</t>
  </si>
  <si>
    <t xml:space="preserve">      65206 Officer Salaries</t>
  </si>
  <si>
    <t xml:space="preserve">      65208 Payroll Service Fees</t>
  </si>
  <si>
    <t xml:space="preserve">      65210 Payroll Taxes</t>
  </si>
  <si>
    <t xml:space="preserve">      65212 Wages &amp; Salaries</t>
  </si>
  <si>
    <t xml:space="preserve">         65214 Medical Insurance - Employee-Paid</t>
  </si>
  <si>
    <t xml:space="preserve">      Total 65212 Wages &amp; Salaries</t>
  </si>
  <si>
    <t xml:space="preserve">   Total 65200 Payroll Expenses</t>
  </si>
  <si>
    <t xml:space="preserve">   65400 Postage &amp; Delivery</t>
  </si>
  <si>
    <t xml:space="preserve">   65900 Professional Fees</t>
  </si>
  <si>
    <t xml:space="preserve">      65940 Legal</t>
  </si>
  <si>
    <t xml:space="preserve">      Accounting</t>
  </si>
  <si>
    <t xml:space="preserve">   Total 65900 Professional Fees</t>
  </si>
  <si>
    <t xml:space="preserve">   67100 Rent Expense</t>
  </si>
  <si>
    <t xml:space="preserve">   67400 Repairs &amp; Maintenance</t>
  </si>
  <si>
    <t xml:space="preserve">   68020 Taxes &amp; Licenses</t>
  </si>
  <si>
    <t xml:space="preserve">   68100 Telephone Expense</t>
  </si>
  <si>
    <t xml:space="preserve">   68300 Transportation</t>
  </si>
  <si>
    <t xml:space="preserve">   68400 Travel Expense</t>
  </si>
  <si>
    <t xml:space="preserve">   68900 Utilities Expense</t>
  </si>
  <si>
    <t xml:space="preserve">   Outside Professional Services Creative</t>
  </si>
  <si>
    <t>Total Expenses</t>
  </si>
  <si>
    <t>Net Operating Income</t>
  </si>
  <si>
    <t>Other Income</t>
  </si>
  <si>
    <t xml:space="preserve">   80000 Other Income</t>
  </si>
  <si>
    <t xml:space="preserve">   Interests Income</t>
  </si>
  <si>
    <t>Total Other Income</t>
  </si>
  <si>
    <t>Other Expenses</t>
  </si>
  <si>
    <t xml:space="preserve">   80500 State Tax</t>
  </si>
  <si>
    <t xml:space="preserve">   Donation</t>
  </si>
  <si>
    <t>Total Other Expenses</t>
  </si>
  <si>
    <t>Net Other Income</t>
  </si>
  <si>
    <t>Net Income</t>
  </si>
  <si>
    <t xml:space="preserve">Actual </t>
  </si>
  <si>
    <t>Projected</t>
  </si>
  <si>
    <t>Growth Rate =</t>
  </si>
  <si>
    <t>Client Cancelations</t>
  </si>
  <si>
    <t>Cancel Rate</t>
  </si>
  <si>
    <t xml:space="preserve">      64120 Sales Commissions</t>
  </si>
  <si>
    <t xml:space="preserve">401k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</si>
</sst>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</numFmts>
  <fonts count="9" x14ac:knownFonts="1"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left" wrapText="1"/>
    </xf>
    <xf numFmtId="165" fontId="2" fillId="0" borderId="1" xfId="0" applyNumberFormat="1" applyFont="1" applyBorder="1" applyAlignment="1">
      <alignment horizontal="right" wrapText="1"/>
    </xf>
    <xf numFmtId="164" fontId="3" fillId="0" borderId="3" xfId="0" applyNumberFormat="1" applyFont="1" applyBorder="1" applyAlignment="1">
      <alignment wrapText="1"/>
    </xf>
    <xf numFmtId="164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165" fontId="2" fillId="0" borderId="8" xfId="0" applyNumberFormat="1" applyFont="1" applyBorder="1" applyAlignment="1">
      <alignment horizontal="right" wrapText="1"/>
    </xf>
    <xf numFmtId="165" fontId="2" fillId="0" borderId="9" xfId="0" applyNumberFormat="1" applyFont="1" applyBorder="1" applyAlignment="1">
      <alignment horizontal="right" wrapText="1"/>
    </xf>
    <xf numFmtId="164" fontId="3" fillId="0" borderId="6" xfId="0" applyNumberFormat="1" applyFont="1" applyBorder="1" applyAlignment="1">
      <alignment wrapText="1"/>
    </xf>
    <xf numFmtId="164" fontId="3" fillId="0" borderId="6" xfId="0" applyNumberFormat="1" applyFont="1" applyBorder="1" applyAlignment="1">
      <alignment horizontal="right" wrapText="1"/>
    </xf>
    <xf numFmtId="44" fontId="2" fillId="0" borderId="10" xfId="1" applyFont="1" applyBorder="1" applyAlignment="1">
      <alignment horizontal="right" wrapText="1"/>
    </xf>
    <xf numFmtId="44" fontId="2" fillId="0" borderId="11" xfId="1" applyFont="1" applyBorder="1" applyAlignment="1">
      <alignment horizontal="right" wrapText="1"/>
    </xf>
    <xf numFmtId="44" fontId="2" fillId="0" borderId="12" xfId="1" applyFont="1" applyBorder="1" applyAlignment="1">
      <alignment horizontal="right" wrapText="1"/>
    </xf>
    <xf numFmtId="17" fontId="1" fillId="0" borderId="13" xfId="0" applyNumberFormat="1" applyFont="1" applyBorder="1" applyAlignment="1">
      <alignment horizontal="center" wrapText="1"/>
    </xf>
    <xf numFmtId="17" fontId="1" fillId="0" borderId="14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wrapText="1"/>
    </xf>
    <xf numFmtId="0" fontId="3" fillId="0" borderId="0" xfId="0" applyFont="1"/>
    <xf numFmtId="164" fontId="3" fillId="4" borderId="0" xfId="0" applyNumberFormat="1" applyFont="1" applyFill="1" applyAlignment="1">
      <alignment wrapText="1"/>
    </xf>
    <xf numFmtId="164" fontId="3" fillId="4" borderId="3" xfId="0" applyNumberFormat="1" applyFont="1" applyFill="1" applyBorder="1" applyAlignment="1">
      <alignment wrapText="1"/>
    </xf>
    <xf numFmtId="0" fontId="0" fillId="0" borderId="13" xfId="0" applyBorder="1" applyAlignment="1">
      <alignment horizontal="left"/>
    </xf>
    <xf numFmtId="165" fontId="0" fillId="0" borderId="0" xfId="0" applyNumberFormat="1"/>
    <xf numFmtId="0" fontId="7" fillId="0" borderId="0" xfId="0" applyFont="1"/>
    <xf numFmtId="0" fontId="7" fillId="2" borderId="0" xfId="0" applyFont="1" applyFill="1"/>
    <xf numFmtId="164" fontId="3" fillId="4" borderId="0" xfId="0" applyNumberFormat="1" applyFont="1" applyFill="1" applyAlignment="1">
      <alignment horizontal="right" wrapText="1"/>
    </xf>
    <xf numFmtId="0" fontId="8" fillId="0" borderId="6" xfId="0" applyFont="1" applyBorder="1" applyAlignment="1">
      <alignment horizontal="left" wrapText="1"/>
    </xf>
    <xf numFmtId="2" fontId="0" fillId="0" borderId="16" xfId="2" applyNumberFormat="1" applyFont="1" applyBorder="1" applyAlignment="1">
      <alignment horizontal="center"/>
    </xf>
    <xf numFmtId="0" fontId="2" fillId="4" borderId="6" xfId="0" applyFont="1" applyFill="1" applyBorder="1" applyAlignment="1">
      <alignment horizontal="left" wrapText="1"/>
    </xf>
    <xf numFmtId="164" fontId="3" fillId="4" borderId="3" xfId="0" applyNumberFormat="1" applyFont="1" applyFill="1" applyBorder="1" applyAlignment="1">
      <alignment horizontal="right" wrapText="1"/>
    </xf>
    <xf numFmtId="164" fontId="3" fillId="4" borderId="6" xfId="0" applyNumberFormat="1" applyFont="1" applyFill="1" applyBorder="1" applyAlignment="1">
      <alignment horizontal="right" wrapText="1"/>
    </xf>
    <xf numFmtId="0" fontId="7" fillId="4" borderId="0" xfId="0" applyFont="1" applyFill="1"/>
    <xf numFmtId="0" fontId="0" fillId="4" borderId="0" xfId="0" applyFill="1"/>
    <xf numFmtId="0" fontId="0" fillId="0" borderId="16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8"/>
  <sheetViews>
    <sheetView tabSelected="1" zoomScale="77" zoomScaleNormal="110" workbookViewId="0">
      <pane xSplit="1" topLeftCell="B1" activePane="topRight" state="frozen"/>
      <selection pane="topRight" activeCell="R23" sqref="R23"/>
    </sheetView>
  </sheetViews>
  <sheetFormatPr defaultColWidth="8.85546875" defaultRowHeight="15" x14ac:dyDescent="0.25"/>
  <cols>
    <col min="1" max="1" width="42.85546875" bestFit="1" customWidth="1"/>
    <col min="2" max="2" width="12.7109375" bestFit="1" customWidth="1"/>
    <col min="3" max="3" width="13.140625" bestFit="1" customWidth="1"/>
    <col min="4" max="4" width="12.5703125" bestFit="1" customWidth="1"/>
    <col min="5" max="5" width="13.140625" bestFit="1" customWidth="1"/>
    <col min="6" max="6" width="12.7109375" bestFit="1" customWidth="1"/>
    <col min="7" max="7" width="13.28515625" bestFit="1" customWidth="1"/>
    <col min="8" max="8" width="13.7109375" bestFit="1" customWidth="1"/>
    <col min="9" max="10" width="13.5703125" bestFit="1" customWidth="1"/>
    <col min="11" max="11" width="13.7109375" bestFit="1" customWidth="1"/>
    <col min="12" max="12" width="13.5703125" bestFit="1" customWidth="1"/>
    <col min="13" max="13" width="13.28515625" bestFit="1" customWidth="1"/>
    <col min="14" max="14" width="15.140625" bestFit="1" customWidth="1"/>
    <col min="15" max="16" width="13.28515625" bestFit="1" customWidth="1"/>
    <col min="17" max="17" width="13.5703125" bestFit="1" customWidth="1"/>
    <col min="18" max="18" width="13.28515625" bestFit="1" customWidth="1"/>
    <col min="19" max="19" width="13.5703125" bestFit="1" customWidth="1"/>
    <col min="20" max="20" width="13" bestFit="1" customWidth="1"/>
    <col min="21" max="21" width="13.140625" bestFit="1" customWidth="1"/>
    <col min="22" max="24" width="13.28515625" bestFit="1" customWidth="1"/>
    <col min="25" max="26" width="13.5703125" bestFit="1" customWidth="1"/>
    <col min="27" max="27" width="15.140625" bestFit="1" customWidth="1"/>
    <col min="28" max="28" width="116" style="30" bestFit="1" customWidth="1"/>
  </cols>
  <sheetData>
    <row r="1" spans="1:28" ht="18.75" thickBot="1" x14ac:dyDescent="0.3">
      <c r="A1" s="21"/>
    </row>
    <row r="2" spans="1:28" ht="18.75" thickBot="1" x14ac:dyDescent="0.3">
      <c r="A2" s="22"/>
      <c r="K2" s="28" t="s">
        <v>79</v>
      </c>
      <c r="L2" s="40">
        <v>20000</v>
      </c>
      <c r="O2" s="28" t="s">
        <v>81</v>
      </c>
      <c r="P2" s="34">
        <v>-10000</v>
      </c>
      <c r="R2" s="29"/>
    </row>
    <row r="3" spans="1:28" ht="18" x14ac:dyDescent="0.25">
      <c r="A3" s="22"/>
    </row>
    <row r="4" spans="1:28" ht="15.75" thickBot="1" x14ac:dyDescent="0.3">
      <c r="A4" s="23"/>
      <c r="B4" s="41" t="s">
        <v>77</v>
      </c>
      <c r="C4" s="42"/>
      <c r="D4" s="42"/>
      <c r="E4" s="42"/>
      <c r="F4" s="42"/>
      <c r="G4" s="42"/>
      <c r="H4" s="42"/>
      <c r="I4" s="42"/>
      <c r="J4" s="42"/>
      <c r="K4" s="43" t="s">
        <v>78</v>
      </c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4"/>
    </row>
    <row r="5" spans="1:28" ht="15.75" thickBot="1" x14ac:dyDescent="0.3">
      <c r="A5" s="24"/>
      <c r="B5" s="19">
        <v>44927</v>
      </c>
      <c r="C5" s="19">
        <v>44958</v>
      </c>
      <c r="D5" s="19">
        <v>44986</v>
      </c>
      <c r="E5" s="19">
        <v>45017</v>
      </c>
      <c r="F5" s="19">
        <v>45047</v>
      </c>
      <c r="G5" s="19">
        <v>45078</v>
      </c>
      <c r="H5" s="19">
        <v>45108</v>
      </c>
      <c r="I5" s="19">
        <v>45139</v>
      </c>
      <c r="J5" s="19">
        <v>45170</v>
      </c>
      <c r="K5" s="19">
        <v>45200</v>
      </c>
      <c r="L5" s="19">
        <v>45231</v>
      </c>
      <c r="M5" s="19">
        <v>45261</v>
      </c>
      <c r="N5" s="20" t="s">
        <v>0</v>
      </c>
      <c r="O5" s="18">
        <v>45292</v>
      </c>
      <c r="P5" s="19">
        <v>45323</v>
      </c>
      <c r="Q5" s="19">
        <v>45352</v>
      </c>
      <c r="R5" s="19">
        <v>45383</v>
      </c>
      <c r="S5" s="19">
        <v>45413</v>
      </c>
      <c r="T5" s="19">
        <v>45444</v>
      </c>
      <c r="U5" s="19">
        <v>45474</v>
      </c>
      <c r="V5" s="19">
        <v>45505</v>
      </c>
      <c r="W5" s="19">
        <v>45536</v>
      </c>
      <c r="X5" s="19">
        <v>45566</v>
      </c>
      <c r="Y5" s="19">
        <v>45597</v>
      </c>
      <c r="Z5" s="19">
        <v>45627</v>
      </c>
      <c r="AA5" s="20" t="s">
        <v>0</v>
      </c>
    </row>
    <row r="6" spans="1:28" x14ac:dyDescent="0.25">
      <c r="A6" s="8" t="s">
        <v>1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13"/>
      <c r="O6" s="3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13"/>
      <c r="AB6" s="31"/>
    </row>
    <row r="7" spans="1:28" x14ac:dyDescent="0.25">
      <c r="A7" s="33" t="s">
        <v>80</v>
      </c>
      <c r="B7" s="5"/>
      <c r="C7" s="6"/>
      <c r="D7" s="6"/>
      <c r="E7" s="6">
        <f>-3225.93</f>
        <v>-3225.93</v>
      </c>
      <c r="F7" s="6">
        <f>8000</f>
        <v>8000</v>
      </c>
      <c r="G7" s="6">
        <f>3250</f>
        <v>3250</v>
      </c>
      <c r="H7" s="6">
        <f>12750</f>
        <v>12750</v>
      </c>
      <c r="I7" s="6">
        <f>6750</f>
        <v>6750</v>
      </c>
      <c r="J7" s="6">
        <f>-6750</f>
        <v>-6750</v>
      </c>
      <c r="K7" s="6">
        <f>$P$2</f>
        <v>-10000</v>
      </c>
      <c r="L7" s="6">
        <f t="shared" ref="L7:Z7" si="0">$P$2</f>
        <v>-10000</v>
      </c>
      <c r="M7" s="6">
        <f t="shared" si="0"/>
        <v>-10000</v>
      </c>
      <c r="N7" s="14">
        <f>((((((((B7)+(C7))+(D7))+(E7))+(F7))+(G7))+(H7))+(I7))+(J7)+K7+L7+M7</f>
        <v>-9225.93</v>
      </c>
      <c r="O7" s="6">
        <f t="shared" si="0"/>
        <v>-10000</v>
      </c>
      <c r="P7" s="6">
        <f t="shared" si="0"/>
        <v>-10000</v>
      </c>
      <c r="Q7" s="6">
        <f t="shared" si="0"/>
        <v>-10000</v>
      </c>
      <c r="R7" s="6">
        <f t="shared" si="0"/>
        <v>-10000</v>
      </c>
      <c r="S7" s="6">
        <f t="shared" si="0"/>
        <v>-10000</v>
      </c>
      <c r="T7" s="6">
        <f t="shared" si="0"/>
        <v>-10000</v>
      </c>
      <c r="U7" s="6">
        <f t="shared" si="0"/>
        <v>-10000</v>
      </c>
      <c r="V7" s="6">
        <f t="shared" si="0"/>
        <v>-10000</v>
      </c>
      <c r="W7" s="6">
        <f t="shared" si="0"/>
        <v>-10000</v>
      </c>
      <c r="X7" s="6">
        <f t="shared" si="0"/>
        <v>-10000</v>
      </c>
      <c r="Y7" s="6">
        <f t="shared" si="0"/>
        <v>-10000</v>
      </c>
      <c r="Z7" s="6">
        <f t="shared" si="0"/>
        <v>-10000</v>
      </c>
      <c r="AA7" s="14">
        <f>((((((((O7)+(P7))+(Q7))+(R7))+(S7))+(T7))+(U7))+(V7))+(W7)+X7+Y7+Z7</f>
        <v>-120000</v>
      </c>
      <c r="AB7" s="31"/>
    </row>
    <row r="8" spans="1:28" x14ac:dyDescent="0.25">
      <c r="A8" s="9" t="s">
        <v>2</v>
      </c>
      <c r="B8" s="5">
        <f>16.97</f>
        <v>16.97</v>
      </c>
      <c r="C8" s="6">
        <f>426.04</f>
        <v>426.04</v>
      </c>
      <c r="D8" s="6">
        <f>20</f>
        <v>20</v>
      </c>
      <c r="E8" s="6">
        <f>478.54</f>
        <v>478.54</v>
      </c>
      <c r="F8" s="4">
        <v>0</v>
      </c>
      <c r="G8" s="6">
        <f>123</f>
        <v>123</v>
      </c>
      <c r="H8" s="6">
        <f>2168.96</f>
        <v>2168.96</v>
      </c>
      <c r="I8" s="6">
        <f>564.39</f>
        <v>564.39</v>
      </c>
      <c r="J8" s="6">
        <f>12</f>
        <v>12</v>
      </c>
      <c r="K8" s="6">
        <f>AVERAGE(B8:J8)</f>
        <v>423.32222222222225</v>
      </c>
      <c r="L8" s="6">
        <f t="shared" ref="L8:M8" si="1">AVERAGE(C8:K8)</f>
        <v>468.4724691358025</v>
      </c>
      <c r="M8" s="6">
        <f t="shared" si="1"/>
        <v>473.1871879286694</v>
      </c>
      <c r="N8" s="14">
        <f t="shared" ref="N8:N72" si="2">((((((((B8)+(C8))+(D8))+(E8))+(F8))+(G8))+(H8))+(I8))+(J8)+K8+L8+M8</f>
        <v>5174.8818792866941</v>
      </c>
      <c r="O8" s="6">
        <f>AVERAGE(B8:$M$8)</f>
        <v>431.24015660722449</v>
      </c>
      <c r="P8" s="6">
        <f>AVERAGE(C8:$M$8,$O$8:O8)</f>
        <v>465.76266965782656</v>
      </c>
      <c r="Q8" s="6">
        <f>AVERAGE(D8:$M$8,$O$8:P8)</f>
        <v>469.07289212931209</v>
      </c>
      <c r="R8" s="6">
        <f>AVERAGE(E8:$M$8,$O$8:Q8)</f>
        <v>506.4956331400881</v>
      </c>
      <c r="S8" s="6">
        <f>AVERAGE(F8:$M$8,$O$8:R8)</f>
        <v>508.82526923509545</v>
      </c>
      <c r="T8" s="6">
        <f>AVERAGE(G8:$M$8,$O$8:S8)</f>
        <v>551.22737500468668</v>
      </c>
      <c r="U8" s="6">
        <f>AVERAGE(H8:$M$8,$O$8:T8)</f>
        <v>586.9129895884106</v>
      </c>
      <c r="V8" s="6">
        <f>AVERAGE(I8:$M$8,$O$8:U8)</f>
        <v>455.07573872077819</v>
      </c>
      <c r="W8" s="6">
        <f>AVERAGE(J8:$M$8,$O$8:V8)</f>
        <v>445.96621694750974</v>
      </c>
      <c r="X8" s="6">
        <f>AVERAGE(O8:W8,K8:M8)</f>
        <v>482.13006835980212</v>
      </c>
      <c r="Y8" s="6">
        <f>AVERAGE(O8:X8,L8:M8)</f>
        <v>487.03072220460041</v>
      </c>
      <c r="Z8" s="6">
        <f>AVERAGE(O8:Y8,M8)</f>
        <v>488.57724329366692</v>
      </c>
      <c r="AA8" s="14">
        <f t="shared" ref="AA8:AA72" si="3">((((((((O8)+(P8))+(Q8))+(R8))+(S8))+(T8))+(U8))+(V8))+(W8)+X8+Y8+Z8</f>
        <v>5878.3169748890014</v>
      </c>
      <c r="AB8" s="31"/>
    </row>
    <row r="9" spans="1:28" x14ac:dyDescent="0.25">
      <c r="A9" s="9" t="s">
        <v>3</v>
      </c>
      <c r="B9" s="5">
        <f>211879.9</f>
        <v>211879.9</v>
      </c>
      <c r="C9" s="6">
        <f>187718.02</f>
        <v>187718.02</v>
      </c>
      <c r="D9" s="6">
        <f>172463.51</f>
        <v>172463.51</v>
      </c>
      <c r="E9" s="6">
        <f>147347.02</f>
        <v>147347.01999999999</v>
      </c>
      <c r="F9" s="6">
        <f>173502.25</f>
        <v>173502.25</v>
      </c>
      <c r="G9" s="6">
        <f>149054.29</f>
        <v>149054.29</v>
      </c>
      <c r="H9" s="6">
        <f>291812.38</f>
        <v>291812.38</v>
      </c>
      <c r="I9" s="6">
        <f>252959.89</f>
        <v>252959.89</v>
      </c>
      <c r="J9" s="6">
        <f>235317.68</f>
        <v>235317.68</v>
      </c>
      <c r="K9" s="6">
        <v>250000</v>
      </c>
      <c r="L9" s="6">
        <v>250000</v>
      </c>
      <c r="M9" s="6">
        <v>250000</v>
      </c>
      <c r="N9" s="14">
        <f t="shared" si="2"/>
        <v>2572054.9400000004</v>
      </c>
      <c r="O9" s="6">
        <f>M9</f>
        <v>250000</v>
      </c>
      <c r="P9" s="6">
        <f>O9</f>
        <v>250000</v>
      </c>
      <c r="Q9" s="6">
        <f t="shared" ref="Q9:Z9" si="4">P9</f>
        <v>250000</v>
      </c>
      <c r="R9" s="6">
        <f t="shared" si="4"/>
        <v>250000</v>
      </c>
      <c r="S9" s="6">
        <f t="shared" si="4"/>
        <v>250000</v>
      </c>
      <c r="T9" s="6">
        <f t="shared" si="4"/>
        <v>250000</v>
      </c>
      <c r="U9" s="6">
        <f t="shared" si="4"/>
        <v>250000</v>
      </c>
      <c r="V9" s="6">
        <f t="shared" si="4"/>
        <v>250000</v>
      </c>
      <c r="W9" s="6">
        <f t="shared" si="4"/>
        <v>250000</v>
      </c>
      <c r="X9" s="6">
        <f t="shared" si="4"/>
        <v>250000</v>
      </c>
      <c r="Y9" s="6">
        <f t="shared" si="4"/>
        <v>250000</v>
      </c>
      <c r="Z9" s="6">
        <f t="shared" si="4"/>
        <v>250000</v>
      </c>
      <c r="AA9" s="14">
        <f t="shared" si="3"/>
        <v>3000000</v>
      </c>
      <c r="AB9" s="31"/>
    </row>
    <row r="10" spans="1:28" x14ac:dyDescent="0.25">
      <c r="A10" s="9" t="s">
        <v>4</v>
      </c>
      <c r="B10" s="3">
        <v>0</v>
      </c>
      <c r="C10" s="4">
        <v>0</v>
      </c>
      <c r="D10" s="6">
        <f>2200</f>
        <v>2200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14">
        <f t="shared" si="2"/>
        <v>2200</v>
      </c>
      <c r="O10" s="3"/>
      <c r="P10" s="4"/>
      <c r="Q10" s="6"/>
      <c r="R10" s="4"/>
      <c r="S10" s="4"/>
      <c r="T10" s="4"/>
      <c r="U10" s="4"/>
      <c r="V10" s="4"/>
      <c r="W10" s="4"/>
      <c r="X10" s="4"/>
      <c r="Y10" s="4"/>
      <c r="Z10" s="4"/>
      <c r="AA10" s="14">
        <f t="shared" si="3"/>
        <v>0</v>
      </c>
      <c r="AB10" s="31"/>
    </row>
    <row r="11" spans="1:28" x14ac:dyDescent="0.25">
      <c r="A11" s="9" t="s">
        <v>5</v>
      </c>
      <c r="B11" s="7">
        <f t="shared" ref="B11:J11" si="5">(((B7)+(B8))+(B9))+(B10)</f>
        <v>211896.87</v>
      </c>
      <c r="C11" s="2">
        <f t="shared" si="5"/>
        <v>188144.06</v>
      </c>
      <c r="D11" s="2">
        <f t="shared" si="5"/>
        <v>174683.51</v>
      </c>
      <c r="E11" s="2">
        <f t="shared" si="5"/>
        <v>144599.62999999998</v>
      </c>
      <c r="F11" s="2">
        <f t="shared" si="5"/>
        <v>181502.25</v>
      </c>
      <c r="G11" s="2">
        <f t="shared" si="5"/>
        <v>152427.29</v>
      </c>
      <c r="H11" s="2">
        <f t="shared" si="5"/>
        <v>306731.34000000003</v>
      </c>
      <c r="I11" s="2">
        <f t="shared" si="5"/>
        <v>260274.28000000003</v>
      </c>
      <c r="J11" s="2">
        <f t="shared" si="5"/>
        <v>228579.68</v>
      </c>
      <c r="K11" s="2">
        <f t="shared" ref="K11" si="6">(((K7)+(K8))+(K9))+(K10)</f>
        <v>240423.32222222222</v>
      </c>
      <c r="L11" s="2">
        <f t="shared" ref="L11" si="7">(((L7)+(L8))+(L9))+(L10)</f>
        <v>240468.4724691358</v>
      </c>
      <c r="M11" s="2">
        <f t="shared" ref="M11" si="8">(((M7)+(M8))+(M9))+(M10)</f>
        <v>240473.18718792868</v>
      </c>
      <c r="N11" s="15">
        <f t="shared" si="2"/>
        <v>2570203.8918792866</v>
      </c>
      <c r="O11" s="7">
        <f>(((O7)+(O8))+(O9))+(O10)</f>
        <v>240431.24015660724</v>
      </c>
      <c r="P11" s="2">
        <f t="shared" ref="P11" si="9">(((P7)+(P8))+(P9))+(P10)</f>
        <v>240465.76266965782</v>
      </c>
      <c r="Q11" s="2">
        <f t="shared" ref="Q11" si="10">(((Q7)+(Q8))+(Q9))+(Q10)</f>
        <v>240469.0728921293</v>
      </c>
      <c r="R11" s="2">
        <f t="shared" ref="R11" si="11">(((R7)+(R8))+(R9))+(R10)</f>
        <v>240506.49563314009</v>
      </c>
      <c r="S11" s="2">
        <f t="shared" ref="S11" si="12">(((S7)+(S8))+(S9))+(S10)</f>
        <v>240508.82526923509</v>
      </c>
      <c r="T11" s="2">
        <f t="shared" ref="T11" si="13">(((T7)+(T8))+(T9))+(T10)</f>
        <v>240551.22737500467</v>
      </c>
      <c r="U11" s="2">
        <f t="shared" ref="U11" si="14">(((U7)+(U8))+(U9))+(U10)</f>
        <v>240586.9129895884</v>
      </c>
      <c r="V11" s="2">
        <f t="shared" ref="V11" si="15">(((V7)+(V8))+(V9))+(V10)</f>
        <v>240455.07573872077</v>
      </c>
      <c r="W11" s="2">
        <f t="shared" ref="W11" si="16">(((W7)+(W8))+(W9))+(W10)</f>
        <v>240445.96621694751</v>
      </c>
      <c r="X11" s="2">
        <f t="shared" ref="X11" si="17">(((X7)+(X8))+(X9))+(X10)</f>
        <v>240482.13006835981</v>
      </c>
      <c r="Y11" s="2">
        <f t="shared" ref="Y11" si="18">(((Y7)+(Y8))+(Y9))+(Y10)</f>
        <v>240487.0307222046</v>
      </c>
      <c r="Z11" s="2">
        <f>(((Z7)+(Z8))+(Z9))+(Z10)</f>
        <v>240488.57724329366</v>
      </c>
      <c r="AA11" s="15">
        <f t="shared" si="3"/>
        <v>2885878.316974889</v>
      </c>
      <c r="AB11" s="31"/>
    </row>
    <row r="12" spans="1:28" x14ac:dyDescent="0.25">
      <c r="A12" s="9" t="s">
        <v>6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14">
        <f t="shared" si="2"/>
        <v>0</v>
      </c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14">
        <f t="shared" si="3"/>
        <v>0</v>
      </c>
      <c r="AB12" s="31"/>
    </row>
    <row r="13" spans="1:28" s="39" customFormat="1" x14ac:dyDescent="0.25">
      <c r="A13" s="35" t="s">
        <v>7</v>
      </c>
      <c r="B13" s="36">
        <f>39415.03</f>
        <v>39415.03</v>
      </c>
      <c r="C13" s="32">
        <f>57435.22</f>
        <v>57435.22</v>
      </c>
      <c r="D13" s="32">
        <f>63742.22</f>
        <v>63742.22</v>
      </c>
      <c r="E13" s="32">
        <f>26977.37</f>
        <v>26977.37</v>
      </c>
      <c r="F13" s="32">
        <f>9341.44</f>
        <v>9341.44</v>
      </c>
      <c r="G13" s="32">
        <f>9083.35</f>
        <v>9083.35</v>
      </c>
      <c r="H13" s="32">
        <f>10111.25</f>
        <v>10111.25</v>
      </c>
      <c r="I13" s="32">
        <f>50501</f>
        <v>50501</v>
      </c>
      <c r="J13" s="26">
        <v>4980.0600000000004</v>
      </c>
      <c r="K13" s="32">
        <f>-5000*0.1</f>
        <v>-500</v>
      </c>
      <c r="L13" s="32">
        <f>-5000*0.1</f>
        <v>-500</v>
      </c>
      <c r="M13" s="32">
        <f>-5000*0.1</f>
        <v>-500</v>
      </c>
      <c r="N13" s="37">
        <f t="shared" si="2"/>
        <v>270086.94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7">
        <f t="shared" si="3"/>
        <v>0</v>
      </c>
      <c r="AB13" s="38"/>
    </row>
    <row r="14" spans="1:28" x14ac:dyDescent="0.25">
      <c r="A14" s="9" t="s">
        <v>8</v>
      </c>
      <c r="B14" s="3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6">
        <f>1121.22</f>
        <v>1121.22</v>
      </c>
      <c r="J14" s="4">
        <v>0</v>
      </c>
      <c r="K14" s="4">
        <v>0</v>
      </c>
      <c r="L14" s="4">
        <v>0</v>
      </c>
      <c r="M14" s="4">
        <v>0</v>
      </c>
      <c r="N14" s="14">
        <f t="shared" si="2"/>
        <v>1121.22</v>
      </c>
      <c r="O14" s="3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6">
        <v>0</v>
      </c>
      <c r="W14" s="4">
        <v>0</v>
      </c>
      <c r="X14" s="4">
        <v>0</v>
      </c>
      <c r="Y14" s="4">
        <v>0</v>
      </c>
      <c r="Z14" s="4">
        <v>0</v>
      </c>
      <c r="AA14" s="14">
        <f t="shared" si="3"/>
        <v>0</v>
      </c>
      <c r="AB14" s="31"/>
    </row>
    <row r="15" spans="1:28" x14ac:dyDescent="0.25">
      <c r="A15" s="9" t="s">
        <v>9</v>
      </c>
      <c r="B15" s="7">
        <f t="shared" ref="B15:J15" si="19">(B13)+(B14)</f>
        <v>39415.03</v>
      </c>
      <c r="C15" s="2">
        <f t="shared" si="19"/>
        <v>57435.22</v>
      </c>
      <c r="D15" s="2">
        <f t="shared" si="19"/>
        <v>63742.22</v>
      </c>
      <c r="E15" s="2">
        <f t="shared" si="19"/>
        <v>26977.37</v>
      </c>
      <c r="F15" s="2">
        <f t="shared" si="19"/>
        <v>9341.44</v>
      </c>
      <c r="G15" s="2">
        <f t="shared" si="19"/>
        <v>9083.35</v>
      </c>
      <c r="H15" s="2">
        <f t="shared" si="19"/>
        <v>10111.25</v>
      </c>
      <c r="I15" s="2">
        <f t="shared" si="19"/>
        <v>51622.22</v>
      </c>
      <c r="J15" s="2">
        <f t="shared" si="19"/>
        <v>4980.0600000000004</v>
      </c>
      <c r="K15" s="2">
        <f t="shared" ref="K15" si="20">(K13)+(K14)</f>
        <v>-500</v>
      </c>
      <c r="L15" s="2">
        <f t="shared" ref="L15" si="21">(L13)+(L14)</f>
        <v>-500</v>
      </c>
      <c r="M15" s="2">
        <f t="shared" ref="M15" si="22">(M13)+(M14)</f>
        <v>-500</v>
      </c>
      <c r="N15" s="15">
        <f t="shared" si="2"/>
        <v>271208.15999999997</v>
      </c>
      <c r="O15" s="7">
        <f t="shared" ref="O15" si="23">(O13)+(O14)</f>
        <v>0</v>
      </c>
      <c r="P15" s="2">
        <f t="shared" ref="P15" si="24">(P13)+(P14)</f>
        <v>0</v>
      </c>
      <c r="Q15" s="2">
        <f t="shared" ref="Q15" si="25">(Q13)+(Q14)</f>
        <v>0</v>
      </c>
      <c r="R15" s="2">
        <f t="shared" ref="R15" si="26">(R13)+(R14)</f>
        <v>0</v>
      </c>
      <c r="S15" s="2">
        <f t="shared" ref="S15" si="27">(S13)+(S14)</f>
        <v>0</v>
      </c>
      <c r="T15" s="2">
        <f t="shared" ref="T15" si="28">(T13)+(T14)</f>
        <v>0</v>
      </c>
      <c r="U15" s="2">
        <f t="shared" ref="U15" si="29">(U13)+(U14)</f>
        <v>0</v>
      </c>
      <c r="V15" s="2">
        <f t="shared" ref="V15" si="30">(V13)+(V14)</f>
        <v>0</v>
      </c>
      <c r="W15" s="2">
        <f t="shared" ref="W15" si="31">(W13)+(W14)</f>
        <v>0</v>
      </c>
      <c r="X15" s="2">
        <f t="shared" ref="X15" si="32">(X13)+(X14)</f>
        <v>0</v>
      </c>
      <c r="Y15" s="2">
        <f t="shared" ref="Y15" si="33">(Y13)+(Y14)</f>
        <v>0</v>
      </c>
      <c r="Z15" s="2">
        <f t="shared" ref="Z15" si="34">(Z13)+(Z14)</f>
        <v>0</v>
      </c>
      <c r="AA15" s="15">
        <f t="shared" si="3"/>
        <v>0</v>
      </c>
      <c r="AB15" s="31"/>
    </row>
    <row r="16" spans="1:28" x14ac:dyDescent="0.25">
      <c r="A16" s="9" t="s">
        <v>10</v>
      </c>
      <c r="B16" s="7">
        <f t="shared" ref="B16:J16" si="35">(B11)-(B15)</f>
        <v>172481.84</v>
      </c>
      <c r="C16" s="2">
        <f t="shared" si="35"/>
        <v>130708.84</v>
      </c>
      <c r="D16" s="2">
        <f t="shared" si="35"/>
        <v>110941.29000000001</v>
      </c>
      <c r="E16" s="2">
        <f t="shared" si="35"/>
        <v>117622.25999999998</v>
      </c>
      <c r="F16" s="2">
        <f t="shared" si="35"/>
        <v>172160.81</v>
      </c>
      <c r="G16" s="2">
        <f t="shared" si="35"/>
        <v>143343.94</v>
      </c>
      <c r="H16" s="2">
        <f t="shared" si="35"/>
        <v>296620.09000000003</v>
      </c>
      <c r="I16" s="2">
        <f t="shared" si="35"/>
        <v>208652.06000000003</v>
      </c>
      <c r="J16" s="2">
        <f t="shared" si="35"/>
        <v>223599.62</v>
      </c>
      <c r="K16" s="2">
        <f t="shared" ref="K16" si="36">(K11)-(K15)</f>
        <v>240923.32222222222</v>
      </c>
      <c r="L16" s="2">
        <f t="shared" ref="L16" si="37">(L11)-(L15)</f>
        <v>240968.4724691358</v>
      </c>
      <c r="M16" s="2">
        <f t="shared" ref="M16" si="38">(M11)-(M15)</f>
        <v>240973.18718792868</v>
      </c>
      <c r="N16" s="15">
        <f t="shared" si="2"/>
        <v>2298995.7318792865</v>
      </c>
      <c r="O16" s="7">
        <f t="shared" ref="O16" si="39">(O11)-(O15)</f>
        <v>240431.24015660724</v>
      </c>
      <c r="P16" s="2">
        <f t="shared" ref="P16" si="40">(P11)-(P15)</f>
        <v>240465.76266965782</v>
      </c>
      <c r="Q16" s="2">
        <f t="shared" ref="Q16" si="41">(Q11)-(Q15)</f>
        <v>240469.0728921293</v>
      </c>
      <c r="R16" s="2">
        <f t="shared" ref="R16" si="42">(R11)-(R15)</f>
        <v>240506.49563314009</v>
      </c>
      <c r="S16" s="2">
        <f t="shared" ref="S16" si="43">(S11)-(S15)</f>
        <v>240508.82526923509</v>
      </c>
      <c r="T16" s="2">
        <f t="shared" ref="T16" si="44">(T11)-(T15)</f>
        <v>240551.22737500467</v>
      </c>
      <c r="U16" s="2">
        <f t="shared" ref="U16" si="45">(U11)-(U15)</f>
        <v>240586.9129895884</v>
      </c>
      <c r="V16" s="2">
        <f t="shared" ref="V16" si="46">(V11)-(V15)</f>
        <v>240455.07573872077</v>
      </c>
      <c r="W16" s="2">
        <f t="shared" ref="W16" si="47">(W11)-(W15)</f>
        <v>240445.96621694751</v>
      </c>
      <c r="X16" s="2">
        <f t="shared" ref="X16" si="48">(X11)-(X15)</f>
        <v>240482.13006835981</v>
      </c>
      <c r="Y16" s="2">
        <f t="shared" ref="Y16" si="49">(Y11)-(Y15)</f>
        <v>240487.0307222046</v>
      </c>
      <c r="Z16" s="2">
        <f t="shared" ref="Z16" si="50">(Z11)-(Z15)</f>
        <v>240488.57724329366</v>
      </c>
      <c r="AA16" s="15">
        <f t="shared" si="3"/>
        <v>2885878.316974889</v>
      </c>
      <c r="AB16" s="31"/>
    </row>
    <row r="17" spans="1:28" x14ac:dyDescent="0.25">
      <c r="A17" s="9" t="s">
        <v>11</v>
      </c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4">
        <f t="shared" si="2"/>
        <v>0</v>
      </c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14">
        <f t="shared" si="3"/>
        <v>0</v>
      </c>
      <c r="AB17" s="31"/>
    </row>
    <row r="18" spans="1:28" x14ac:dyDescent="0.25">
      <c r="A18" s="9" t="s">
        <v>12</v>
      </c>
      <c r="B18" s="3">
        <v>0</v>
      </c>
      <c r="C18" s="6">
        <f>3060</f>
        <v>3060</v>
      </c>
      <c r="D18" s="4">
        <v>0</v>
      </c>
      <c r="E18" s="4">
        <v>0</v>
      </c>
      <c r="F18" s="4">
        <v>0</v>
      </c>
      <c r="G18" s="4">
        <v>0</v>
      </c>
      <c r="H18" s="6">
        <f>53.1</f>
        <v>53.1</v>
      </c>
      <c r="I18" s="6">
        <f>4631.31</f>
        <v>4631.3100000000004</v>
      </c>
      <c r="J18" s="6">
        <f>6758.64</f>
        <v>6758.64</v>
      </c>
      <c r="K18" s="6">
        <v>0</v>
      </c>
      <c r="L18" s="6">
        <v>0</v>
      </c>
      <c r="M18" s="6">
        <v>0</v>
      </c>
      <c r="N18" s="14">
        <f t="shared" si="2"/>
        <v>14503.05</v>
      </c>
      <c r="O18" s="5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14">
        <f>((((((((O17)+(P18))+(Q18))+(R18))+(S18))+(T18))+(U18))+(V18))+(W18)+X18+Y18+Z18</f>
        <v>0</v>
      </c>
      <c r="AB18" s="31"/>
    </row>
    <row r="19" spans="1:28" x14ac:dyDescent="0.25">
      <c r="A19" s="9" t="s">
        <v>13</v>
      </c>
      <c r="B19" s="3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6">
        <f>33.47</f>
        <v>33.47</v>
      </c>
      <c r="I19" s="4">
        <v>0</v>
      </c>
      <c r="J19" s="6">
        <f>60.92</f>
        <v>60.92</v>
      </c>
      <c r="K19" s="6">
        <f>AVERAGE(B19:J19)</f>
        <v>10.487777777777778</v>
      </c>
      <c r="L19" s="6">
        <f>AVERAGE(B19:K19)</f>
        <v>10.487777777777778</v>
      </c>
      <c r="M19" s="6">
        <f>AVERAGE(B19:L19)</f>
        <v>10.487777777777778</v>
      </c>
      <c r="N19" s="14">
        <f t="shared" si="2"/>
        <v>125.85333333333334</v>
      </c>
      <c r="O19" s="5">
        <f>AVERAGE(B19:M19)</f>
        <v>10.487777777777778</v>
      </c>
      <c r="P19" s="6">
        <f>AVERAGE(C19:$M19,$O19:O19)</f>
        <v>11.361759259259259</v>
      </c>
      <c r="Q19" s="6">
        <f>AVERAGE(D19:$M19,$O19:P19)</f>
        <v>12.308572530864197</v>
      </c>
      <c r="R19" s="6">
        <f>AVERAGE(E19:$M19,$O19:Q19)</f>
        <v>13.334286908436212</v>
      </c>
      <c r="S19" s="6">
        <f>AVERAGE(F19:$M19,$O19:R19)</f>
        <v>14.44547748413923</v>
      </c>
      <c r="T19" s="6">
        <f>AVERAGE(G19:$M19,$O19:S19)</f>
        <v>15.649267274484165</v>
      </c>
      <c r="U19" s="6">
        <f>AVERAGE(H19:$M19,$O19:T19)</f>
        <v>16.95337288069118</v>
      </c>
      <c r="V19" s="6">
        <f>AVERAGE(I19:$M19,$O19:U19)</f>
        <v>15.576987287415447</v>
      </c>
      <c r="W19" s="6">
        <f>AVERAGE(J19:$M19,$O19:V19)</f>
        <v>16.875069561366733</v>
      </c>
      <c r="X19" s="6">
        <f>AVERAGE(K19:$M19,$O19:W19)</f>
        <v>13.204658691480626</v>
      </c>
      <c r="Y19" s="6">
        <f>AVERAGE(L19:$M19,$O19:X19)</f>
        <v>13.431065434289197</v>
      </c>
      <c r="Z19" s="6">
        <f>AVERAGE(M19:$M19,$O19:Y19)</f>
        <v>13.676339405665152</v>
      </c>
      <c r="AA19" s="14">
        <f t="shared" si="3"/>
        <v>167.30463449586915</v>
      </c>
      <c r="AB19" s="31"/>
    </row>
    <row r="20" spans="1:28" x14ac:dyDescent="0.25">
      <c r="A20" s="9" t="s">
        <v>14</v>
      </c>
      <c r="B20" s="5">
        <f>173.59</f>
        <v>173.59</v>
      </c>
      <c r="C20" s="6">
        <f>60.1</f>
        <v>60.1</v>
      </c>
      <c r="D20" s="6">
        <f>155.3</f>
        <v>155.30000000000001</v>
      </c>
      <c r="E20" s="6">
        <f>244.2</f>
        <v>244.2</v>
      </c>
      <c r="F20" s="6">
        <f>179.85</f>
        <v>179.85</v>
      </c>
      <c r="G20" s="6">
        <f>27.09</f>
        <v>27.09</v>
      </c>
      <c r="H20" s="6">
        <f>392.97</f>
        <v>392.97</v>
      </c>
      <c r="I20" s="6">
        <f>259.09</f>
        <v>259.08999999999997</v>
      </c>
      <c r="J20" s="6">
        <f>490.98</f>
        <v>490.98</v>
      </c>
      <c r="K20" s="6">
        <f>(AVERAGE(B20:J20))</f>
        <v>220.35222222222222</v>
      </c>
      <c r="L20" s="6">
        <f>(AVERAGE(B20:K20))</f>
        <v>220.35222222222222</v>
      </c>
      <c r="M20" s="6">
        <f>(AVERAGE(B20:L20))</f>
        <v>220.35222222222225</v>
      </c>
      <c r="N20" s="14">
        <f t="shared" si="2"/>
        <v>2644.2266666666669</v>
      </c>
      <c r="O20" s="5">
        <v>250</v>
      </c>
      <c r="P20" s="6">
        <v>250</v>
      </c>
      <c r="Q20" s="6">
        <v>250</v>
      </c>
      <c r="R20" s="6">
        <v>250</v>
      </c>
      <c r="S20" s="6">
        <v>250</v>
      </c>
      <c r="T20" s="6">
        <v>250</v>
      </c>
      <c r="U20" s="6">
        <v>250</v>
      </c>
      <c r="V20" s="6">
        <v>250</v>
      </c>
      <c r="W20" s="6">
        <v>250</v>
      </c>
      <c r="X20" s="6">
        <v>250</v>
      </c>
      <c r="Y20" s="6">
        <v>250</v>
      </c>
      <c r="Z20" s="6">
        <v>250</v>
      </c>
      <c r="AA20" s="14">
        <f t="shared" si="3"/>
        <v>3000</v>
      </c>
      <c r="AB20" s="31"/>
    </row>
    <row r="21" spans="1:28" x14ac:dyDescent="0.25">
      <c r="A21" s="9" t="s">
        <v>15</v>
      </c>
      <c r="B21" s="7">
        <f>(B19)+(B20)</f>
        <v>173.59</v>
      </c>
      <c r="C21" s="2">
        <f t="shared" ref="C21:J21" si="51">(C19)+(C20)</f>
        <v>60.1</v>
      </c>
      <c r="D21" s="2">
        <f t="shared" si="51"/>
        <v>155.30000000000001</v>
      </c>
      <c r="E21" s="2">
        <f t="shared" si="51"/>
        <v>244.2</v>
      </c>
      <c r="F21" s="2">
        <f t="shared" si="51"/>
        <v>179.85</v>
      </c>
      <c r="G21" s="2">
        <f t="shared" si="51"/>
        <v>27.09</v>
      </c>
      <c r="H21" s="2">
        <f t="shared" si="51"/>
        <v>426.44000000000005</v>
      </c>
      <c r="I21" s="2">
        <f t="shared" si="51"/>
        <v>259.08999999999997</v>
      </c>
      <c r="J21" s="2">
        <f t="shared" si="51"/>
        <v>551.9</v>
      </c>
      <c r="K21" s="2">
        <f t="shared" ref="K21" si="52">(K19)+(K20)</f>
        <v>230.84</v>
      </c>
      <c r="L21" s="2">
        <f t="shared" ref="L21" si="53">(L19)+(L20)</f>
        <v>230.84</v>
      </c>
      <c r="M21" s="2">
        <f t="shared" ref="M21" si="54">(M19)+(M20)</f>
        <v>230.84000000000003</v>
      </c>
      <c r="N21" s="15">
        <f t="shared" si="2"/>
        <v>2770.0800000000004</v>
      </c>
      <c r="O21" s="7">
        <f t="shared" ref="O21" si="55">(O19)+(O20)</f>
        <v>260.48777777777775</v>
      </c>
      <c r="P21" s="2">
        <f t="shared" ref="P21" si="56">(P19)+(P20)</f>
        <v>261.36175925925926</v>
      </c>
      <c r="Q21" s="2">
        <f t="shared" ref="Q21" si="57">(Q19)+(Q20)</f>
        <v>262.30857253086418</v>
      </c>
      <c r="R21" s="2">
        <f t="shared" ref="R21" si="58">(R19)+(R20)</f>
        <v>263.33428690843618</v>
      </c>
      <c r="S21" s="2">
        <f t="shared" ref="S21" si="59">(S19)+(S20)</f>
        <v>264.44547748413925</v>
      </c>
      <c r="T21" s="2">
        <f t="shared" ref="T21" si="60">(T19)+(T20)</f>
        <v>265.64926727448415</v>
      </c>
      <c r="U21" s="2">
        <f t="shared" ref="U21" si="61">(U19)+(U20)</f>
        <v>266.95337288069118</v>
      </c>
      <c r="V21" s="2">
        <f t="shared" ref="V21" si="62">(V19)+(V20)</f>
        <v>265.57698728741542</v>
      </c>
      <c r="W21" s="2">
        <f t="shared" ref="W21" si="63">(W19)+(W20)</f>
        <v>266.87506956136673</v>
      </c>
      <c r="X21" s="2">
        <f t="shared" ref="X21" si="64">(X19)+(X20)</f>
        <v>263.20465869148063</v>
      </c>
      <c r="Y21" s="2">
        <f t="shared" ref="Y21" si="65">(Y19)+(Y20)</f>
        <v>263.43106543428922</v>
      </c>
      <c r="Z21" s="2">
        <f t="shared" ref="Z21" si="66">(Z19)+(Z20)</f>
        <v>263.67633940566515</v>
      </c>
      <c r="AA21" s="15">
        <f t="shared" si="3"/>
        <v>3167.3046344958693</v>
      </c>
      <c r="AB21" s="31"/>
    </row>
    <row r="22" spans="1:28" x14ac:dyDescent="0.25">
      <c r="A22" s="9" t="s">
        <v>16</v>
      </c>
      <c r="B22" s="3">
        <v>0</v>
      </c>
      <c r="C22" s="4">
        <v>0</v>
      </c>
      <c r="D22" s="6">
        <f>395</f>
        <v>395</v>
      </c>
      <c r="E22" s="6">
        <f>15</f>
        <v>15</v>
      </c>
      <c r="F22" s="6">
        <f>172.81</f>
        <v>172.81</v>
      </c>
      <c r="G22" s="6">
        <f>180.93</f>
        <v>180.93</v>
      </c>
      <c r="H22" s="6">
        <f>320.88</f>
        <v>320.88</v>
      </c>
      <c r="I22" s="6">
        <f>310</f>
        <v>310</v>
      </c>
      <c r="J22" s="6">
        <f>497</f>
        <v>497</v>
      </c>
      <c r="K22" s="6">
        <f>(AVERAGE(B22:J22))</f>
        <v>210.17999999999998</v>
      </c>
      <c r="L22" s="6">
        <f>(AVERAGE(B22:K22))</f>
        <v>210.17999999999998</v>
      </c>
      <c r="M22" s="6">
        <f>(AVERAGE($B$22:L22))</f>
        <v>210.17999999999995</v>
      </c>
      <c r="N22" s="14">
        <f t="shared" si="2"/>
        <v>2522.1599999999994</v>
      </c>
      <c r="O22" s="5">
        <f>AVERAGE(B22:M22)</f>
        <v>210.17999999999995</v>
      </c>
      <c r="P22" s="6">
        <f>AVERAGE(C22:$M22,$O22:O22)</f>
        <v>227.69499999999994</v>
      </c>
      <c r="Q22" s="6">
        <f>AVERAGE(D22:$M22,$O22:P22)</f>
        <v>246.66958333333324</v>
      </c>
      <c r="R22" s="6">
        <f>AVERAGE(E22:$M22,$O22:Q22)</f>
        <v>234.30871527777776</v>
      </c>
      <c r="S22" s="6">
        <f>AVERAGE(F22:$M22,$O22:R22)</f>
        <v>252.58444155092593</v>
      </c>
      <c r="T22" s="6">
        <f>AVERAGE(G22:$M22,$O22:S22)</f>
        <v>259.23231168016974</v>
      </c>
      <c r="U22" s="6">
        <f>AVERAGE(H22:$M22,$O22:T22)</f>
        <v>265.75750432018395</v>
      </c>
      <c r="V22" s="6">
        <f>AVERAGE(I22:$M22,$O22:U22)</f>
        <v>261.16396301353251</v>
      </c>
      <c r="W22" s="6">
        <f>AVERAGE(J22:$M22,$O22:V22)</f>
        <v>257.09429326466028</v>
      </c>
      <c r="X22" s="6">
        <f>AVERAGE(K22:$M22,$O22:W22)</f>
        <v>237.1021510367153</v>
      </c>
      <c r="Y22" s="6">
        <f>AVERAGE(L22:$M22,$O22:X22)</f>
        <v>239.34566362310821</v>
      </c>
      <c r="Z22" s="6">
        <f>AVERAGE(M22:$M22,$O22:Y22)</f>
        <v>241.77613559170052</v>
      </c>
      <c r="AA22" s="14">
        <f t="shared" si="3"/>
        <v>2932.9097626921071</v>
      </c>
      <c r="AB22" s="31"/>
    </row>
    <row r="23" spans="1:28" x14ac:dyDescent="0.25">
      <c r="A23" s="9" t="s">
        <v>17</v>
      </c>
      <c r="B23" s="3">
        <v>0</v>
      </c>
      <c r="C23" s="4">
        <v>0</v>
      </c>
      <c r="D23" s="4">
        <v>0</v>
      </c>
      <c r="E23" s="4">
        <v>0</v>
      </c>
      <c r="F23" s="6">
        <f>297.85</f>
        <v>297.85000000000002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2000</v>
      </c>
      <c r="N23" s="14">
        <f t="shared" si="2"/>
        <v>2297.85</v>
      </c>
      <c r="O23" s="3">
        <v>0</v>
      </c>
      <c r="P23" s="4">
        <v>0</v>
      </c>
      <c r="Q23" s="4">
        <v>0</v>
      </c>
      <c r="R23" s="4">
        <v>0</v>
      </c>
      <c r="S23" s="6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14">
        <f t="shared" si="3"/>
        <v>0</v>
      </c>
      <c r="AB23" s="31"/>
    </row>
    <row r="24" spans="1:28" x14ac:dyDescent="0.25">
      <c r="A24" s="9" t="s">
        <v>18</v>
      </c>
      <c r="B24" s="5">
        <f>288.04</f>
        <v>288.04000000000002</v>
      </c>
      <c r="C24" s="6">
        <f>157.05</f>
        <v>157.05000000000001</v>
      </c>
      <c r="D24" s="6">
        <f>14.63</f>
        <v>14.63</v>
      </c>
      <c r="E24" s="6">
        <f>68.8</f>
        <v>68.8</v>
      </c>
      <c r="F24" s="6">
        <f>40.15</f>
        <v>40.15</v>
      </c>
      <c r="G24" s="6">
        <f>14.28</f>
        <v>14.28</v>
      </c>
      <c r="H24" s="6">
        <f>19.25</f>
        <v>19.25</v>
      </c>
      <c r="I24" s="6">
        <f>47.27</f>
        <v>47.27</v>
      </c>
      <c r="J24" s="6">
        <f>15.9</f>
        <v>15.9</v>
      </c>
      <c r="K24" s="6">
        <f>AVERAGE($B24:J24)</f>
        <v>73.929999999999993</v>
      </c>
      <c r="L24" s="6">
        <f>AVERAGE($B24:K24)</f>
        <v>73.929999999999978</v>
      </c>
      <c r="M24" s="6">
        <f>AVERAGE($B24:L24)</f>
        <v>73.929999999999978</v>
      </c>
      <c r="N24" s="14">
        <f t="shared" si="2"/>
        <v>887.15999999999974</v>
      </c>
      <c r="O24" s="5">
        <f t="shared" ref="O24:O29" si="67">AVERAGE(B24:M24)</f>
        <v>73.929999999999978</v>
      </c>
      <c r="P24" s="6">
        <f>AVERAGE(C24:$M24,$O24:O24)</f>
        <v>56.087499999999984</v>
      </c>
      <c r="Q24" s="6">
        <f>AVERAGE(D24:$M24,$O24:P24)</f>
        <v>47.673958333333324</v>
      </c>
      <c r="R24" s="6">
        <f>AVERAGE(E24:$M24,$O24:Q24)</f>
        <v>50.427621527777767</v>
      </c>
      <c r="S24" s="6">
        <f>AVERAGE(F24:$M24,$O24:R24)</f>
        <v>48.896589988425916</v>
      </c>
      <c r="T24" s="6">
        <f>AVERAGE(G24:$M24,$O24:S24)</f>
        <v>49.625472487461415</v>
      </c>
      <c r="U24" s="6">
        <f>AVERAGE(H24:$M24,$O24:T24)</f>
        <v>52.570928528083193</v>
      </c>
      <c r="V24" s="6">
        <f>AVERAGE(I24:$M24,$O24:U24)</f>
        <v>55.347672572090119</v>
      </c>
      <c r="W24" s="6">
        <f>AVERAGE(J24:$M24,$O24:V24)</f>
        <v>56.020811953097628</v>
      </c>
      <c r="X24" s="6">
        <f>AVERAGE(K24:$M24,$O24:W24)</f>
        <v>59.364212949189103</v>
      </c>
      <c r="Y24" s="6">
        <f>AVERAGE(L24:$M24,$O24:X24)</f>
        <v>58.150397361621543</v>
      </c>
      <c r="Z24" s="6">
        <f>AVERAGE(M24:$M24,$O24:Y24)</f>
        <v>56.835430475089993</v>
      </c>
      <c r="AA24" s="14">
        <f t="shared" si="3"/>
        <v>664.93059617616996</v>
      </c>
      <c r="AB24" s="31"/>
    </row>
    <row r="25" spans="1:28" s="39" customFormat="1" x14ac:dyDescent="0.25">
      <c r="A25" s="35" t="s">
        <v>19</v>
      </c>
      <c r="B25" s="36">
        <f>140</f>
        <v>140</v>
      </c>
      <c r="C25" s="32">
        <f>4956.44</f>
        <v>4956.4399999999996</v>
      </c>
      <c r="D25" s="32">
        <f>140</f>
        <v>140</v>
      </c>
      <c r="E25" s="26">
        <v>0</v>
      </c>
      <c r="F25" s="26">
        <v>0</v>
      </c>
      <c r="G25" s="26">
        <v>0</v>
      </c>
      <c r="H25" s="32">
        <f>1497</f>
        <v>1497</v>
      </c>
      <c r="I25" s="32">
        <f>558</f>
        <v>558</v>
      </c>
      <c r="J25" s="26">
        <v>0</v>
      </c>
      <c r="K25" s="32"/>
      <c r="L25" s="32"/>
      <c r="M25" s="32"/>
      <c r="N25" s="37">
        <f t="shared" si="2"/>
        <v>7291.44</v>
      </c>
      <c r="O25" s="36"/>
      <c r="P25" s="32">
        <f>4956.44</f>
        <v>4956.4399999999996</v>
      </c>
      <c r="Q25" s="32"/>
      <c r="R25" s="32"/>
      <c r="S25" s="32"/>
      <c r="T25" s="32"/>
      <c r="U25" s="32">
        <f>1497</f>
        <v>1497</v>
      </c>
      <c r="V25" s="32">
        <f>558</f>
        <v>558</v>
      </c>
      <c r="W25" s="32"/>
      <c r="X25" s="32"/>
      <c r="Y25" s="32"/>
      <c r="Z25" s="32"/>
      <c r="AA25" s="37">
        <f t="shared" si="3"/>
        <v>7011.44</v>
      </c>
      <c r="AB25" s="38"/>
    </row>
    <row r="26" spans="1:28" x14ac:dyDescent="0.25">
      <c r="A26" s="9" t="s">
        <v>20</v>
      </c>
      <c r="B26" s="5">
        <f>750</f>
        <v>750</v>
      </c>
      <c r="C26" s="6">
        <f>1966.98</f>
        <v>1966.98</v>
      </c>
      <c r="D26" s="6">
        <f>910</f>
        <v>910</v>
      </c>
      <c r="E26" s="6">
        <f>910</f>
        <v>910</v>
      </c>
      <c r="F26" s="6">
        <f>930</f>
        <v>930</v>
      </c>
      <c r="G26" s="6">
        <f>959</f>
        <v>959</v>
      </c>
      <c r="H26" s="6">
        <f>910</f>
        <v>910</v>
      </c>
      <c r="I26" s="6">
        <f>915</f>
        <v>915</v>
      </c>
      <c r="J26" s="6">
        <f>922</f>
        <v>922</v>
      </c>
      <c r="K26" s="6">
        <f>AVERAGE($B26:J26)</f>
        <v>1019.2199999999999</v>
      </c>
      <c r="L26" s="6">
        <f>AVERAGE($B26:K26)</f>
        <v>1019.2199999999999</v>
      </c>
      <c r="M26" s="6">
        <f>AVERAGE($B26:L26)</f>
        <v>1019.2199999999998</v>
      </c>
      <c r="N26" s="14">
        <f t="shared" si="2"/>
        <v>12230.639999999998</v>
      </c>
      <c r="O26" s="5">
        <f t="shared" si="67"/>
        <v>1019.2199999999998</v>
      </c>
      <c r="P26" s="6">
        <f>AVERAGE(C26:$M26,$O26:O26)</f>
        <v>1041.6549999999997</v>
      </c>
      <c r="Q26" s="6">
        <f>AVERAGE(D26:$M26,$O26:P26)</f>
        <v>964.54458333333332</v>
      </c>
      <c r="R26" s="6">
        <f>AVERAGE(E26:$M26,$O26:Q26)</f>
        <v>969.08996527777765</v>
      </c>
      <c r="S26" s="6">
        <f>AVERAGE(F26:$M26,$O26:R26)</f>
        <v>974.01412905092582</v>
      </c>
      <c r="T26" s="6">
        <f>AVERAGE(G26:$M26,$O26:S26)</f>
        <v>977.68197313850294</v>
      </c>
      <c r="U26" s="6">
        <f>AVERAGE(H26:$M26,$O26:T26)</f>
        <v>979.23880423337812</v>
      </c>
      <c r="V26" s="6">
        <f>AVERAGE(I26:$M26,$O26:U26)</f>
        <v>985.00870458615964</v>
      </c>
      <c r="W26" s="6">
        <f>AVERAGE(J26:$M26,$O26:V26)</f>
        <v>990.84276330167313</v>
      </c>
      <c r="X26" s="6">
        <f>AVERAGE(K26:$M26,$O26:W26)</f>
        <v>996.57966024347922</v>
      </c>
      <c r="Y26" s="6">
        <f>AVERAGE(L26:$M26,$O26:X26)</f>
        <v>994.692965263769</v>
      </c>
      <c r="Z26" s="6">
        <f>AVERAGE(M26:$M26,$O26:Y26)</f>
        <v>992.6490457024164</v>
      </c>
      <c r="AA26" s="14">
        <f t="shared" si="3"/>
        <v>11885.217594131411</v>
      </c>
      <c r="AB26" s="31"/>
    </row>
    <row r="27" spans="1:28" s="39" customFormat="1" x14ac:dyDescent="0.25">
      <c r="A27" s="35" t="s">
        <v>21</v>
      </c>
      <c r="B27" s="36">
        <f>2308.29</f>
        <v>2308.29</v>
      </c>
      <c r="C27" s="32">
        <f>3899.1</f>
        <v>3899.1</v>
      </c>
      <c r="D27" s="32">
        <f>3455.44</f>
        <v>3455.44</v>
      </c>
      <c r="E27" s="32">
        <f>4303.63</f>
        <v>4303.63</v>
      </c>
      <c r="F27" s="32">
        <f>3500.75</f>
        <v>3500.75</v>
      </c>
      <c r="G27" s="32">
        <f>4771.55</f>
        <v>4771.55</v>
      </c>
      <c r="H27" s="32">
        <f>8138.65</f>
        <v>8138.65</v>
      </c>
      <c r="I27" s="32">
        <f>12619.91</f>
        <v>12619.91</v>
      </c>
      <c r="J27" s="32">
        <f>37027.97</f>
        <v>37027.97</v>
      </c>
      <c r="K27" s="32">
        <v>27000</v>
      </c>
      <c r="L27" s="32">
        <v>27000</v>
      </c>
      <c r="M27" s="32"/>
      <c r="N27" s="37">
        <f t="shared" si="2"/>
        <v>134025.28999999998</v>
      </c>
      <c r="O27" s="36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7">
        <f t="shared" si="3"/>
        <v>0</v>
      </c>
      <c r="AB27" s="38"/>
    </row>
    <row r="28" spans="1:28" x14ac:dyDescent="0.25">
      <c r="A28" s="9" t="s">
        <v>22</v>
      </c>
      <c r="B28" s="3">
        <v>0</v>
      </c>
      <c r="C28" s="4">
        <v>0</v>
      </c>
      <c r="D28" s="4">
        <v>0</v>
      </c>
      <c r="E28" s="6">
        <f>37</f>
        <v>37</v>
      </c>
      <c r="F28" s="4">
        <v>0</v>
      </c>
      <c r="G28" s="4">
        <v>0</v>
      </c>
      <c r="H28" s="6">
        <f>254.11</f>
        <v>254.11</v>
      </c>
      <c r="I28" s="6">
        <f>63.95</f>
        <v>63.95</v>
      </c>
      <c r="J28" s="6">
        <f>76.94</f>
        <v>76.94</v>
      </c>
      <c r="K28" s="6">
        <f>AVERAGE($B28:J28)</f>
        <v>48</v>
      </c>
      <c r="L28" s="6">
        <f>AVERAGE($B28:K28)</f>
        <v>48</v>
      </c>
      <c r="M28" s="6">
        <f>AVERAGE($B28:L28)</f>
        <v>48</v>
      </c>
      <c r="N28" s="14">
        <f t="shared" si="2"/>
        <v>576</v>
      </c>
      <c r="O28" s="6">
        <v>12000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14">
        <f t="shared" si="3"/>
        <v>12000</v>
      </c>
      <c r="AB28" s="31"/>
    </row>
    <row r="29" spans="1:28" x14ac:dyDescent="0.25">
      <c r="A29" s="9" t="s">
        <v>23</v>
      </c>
      <c r="B29" s="5">
        <f>299</f>
        <v>299</v>
      </c>
      <c r="C29" s="6">
        <f>20</f>
        <v>20</v>
      </c>
      <c r="D29" s="4">
        <v>0</v>
      </c>
      <c r="E29" s="4">
        <v>0</v>
      </c>
      <c r="F29" s="4">
        <v>0</v>
      </c>
      <c r="G29" s="6">
        <f>80</f>
        <v>80</v>
      </c>
      <c r="H29" s="6">
        <f>40</f>
        <v>40</v>
      </c>
      <c r="I29" s="4">
        <v>0</v>
      </c>
      <c r="J29" s="6">
        <f>40</f>
        <v>40</v>
      </c>
      <c r="K29" s="6">
        <f>AVERAGE($B29:J29)</f>
        <v>53.222222222222221</v>
      </c>
      <c r="L29" s="6">
        <f>AVERAGE($B29:K29)</f>
        <v>53.222222222222214</v>
      </c>
      <c r="M29" s="6">
        <f>AVERAGE($B29:L29)</f>
        <v>53.222222222222214</v>
      </c>
      <c r="N29" s="14">
        <f t="shared" si="2"/>
        <v>638.66666666666652</v>
      </c>
      <c r="O29" s="5">
        <f t="shared" si="67"/>
        <v>53.222222222222207</v>
      </c>
      <c r="P29" s="6">
        <f>AVERAGE(C29:$M29,$O29:O29)</f>
        <v>32.74074074074074</v>
      </c>
      <c r="Q29" s="6">
        <f>AVERAGE(D29:$M29,$O29:P29)</f>
        <v>33.802469135802475</v>
      </c>
      <c r="R29" s="6">
        <f>AVERAGE(E29:$M29,$O29:Q29)</f>
        <v>36.619341563786016</v>
      </c>
      <c r="S29" s="6">
        <f>AVERAGE(F29:$M29,$O29:R29)</f>
        <v>39.670953360768181</v>
      </c>
      <c r="T29" s="6">
        <f>AVERAGE(G29:$M29,$O29:S29)</f>
        <v>42.976866140832193</v>
      </c>
      <c r="U29" s="6">
        <f>AVERAGE(H29:$M29,$O29:T29)</f>
        <v>39.891604985901544</v>
      </c>
      <c r="V29" s="6">
        <f>AVERAGE(I29:$M29,$O29:U29)</f>
        <v>39.882572068060007</v>
      </c>
      <c r="W29" s="6">
        <f>AVERAGE(J29:$M29,$O29:V29)</f>
        <v>43.206119740398343</v>
      </c>
      <c r="X29" s="6">
        <f>AVERAGE(K29:$M29,$O29:W29)</f>
        <v>43.473296385431532</v>
      </c>
      <c r="Y29" s="6">
        <f>AVERAGE(L29:$M29,$O29:X29)</f>
        <v>42.660885899032309</v>
      </c>
      <c r="Z29" s="6">
        <f>AVERAGE(M29:$M29,$O29:Y29)</f>
        <v>41.78077453876648</v>
      </c>
      <c r="AA29" s="14">
        <f t="shared" si="3"/>
        <v>489.92784678174195</v>
      </c>
      <c r="AB29" s="31"/>
    </row>
    <row r="30" spans="1:28" x14ac:dyDescent="0.25">
      <c r="A30" s="9" t="s">
        <v>24</v>
      </c>
      <c r="B30" s="5">
        <f>508.53</f>
        <v>508.53</v>
      </c>
      <c r="C30" s="6">
        <f>504.52</f>
        <v>504.52</v>
      </c>
      <c r="D30" s="6">
        <f>465.73</f>
        <v>465.73</v>
      </c>
      <c r="E30" s="6">
        <f>468.7</f>
        <v>468.7</v>
      </c>
      <c r="F30" s="6">
        <f>6262.11</f>
        <v>6262.11</v>
      </c>
      <c r="G30" s="6">
        <f>469.29</f>
        <v>469.29</v>
      </c>
      <c r="H30" s="6">
        <f>611.97</f>
        <v>611.97</v>
      </c>
      <c r="I30" s="6">
        <f>754.4</f>
        <v>754.4</v>
      </c>
      <c r="J30" s="6">
        <f>634.07</f>
        <v>634.07000000000005</v>
      </c>
      <c r="K30" s="6">
        <f>AVERAGE($H$30:$J$30)</f>
        <v>666.81333333333339</v>
      </c>
      <c r="L30" s="6">
        <f t="shared" ref="L30:M30" si="68">AVERAGE($H$30:$J$30)</f>
        <v>666.81333333333339</v>
      </c>
      <c r="M30" s="6">
        <f t="shared" si="68"/>
        <v>666.81333333333339</v>
      </c>
      <c r="N30" s="14">
        <f t="shared" si="2"/>
        <v>12679.76</v>
      </c>
      <c r="O30" s="5">
        <v>666</v>
      </c>
      <c r="P30" s="6">
        <v>666</v>
      </c>
      <c r="Q30" s="6">
        <v>666</v>
      </c>
      <c r="R30" s="6">
        <v>666</v>
      </c>
      <c r="S30" s="6">
        <v>10000</v>
      </c>
      <c r="T30" s="6">
        <v>666</v>
      </c>
      <c r="U30" s="6">
        <v>666</v>
      </c>
      <c r="V30" s="6">
        <v>666</v>
      </c>
      <c r="W30" s="6">
        <v>666</v>
      </c>
      <c r="X30" s="6">
        <v>666</v>
      </c>
      <c r="Y30" s="6">
        <v>666</v>
      </c>
      <c r="Z30" s="6">
        <v>666</v>
      </c>
      <c r="AA30" s="14">
        <f>((((((((O30)+(P30))+(Q30))+(R30))+(Q24))+(T30))+(U30))+(V30))+(W30)+X30+Y30+Z30</f>
        <v>7373.6739583333328</v>
      </c>
      <c r="AB30" s="31"/>
    </row>
    <row r="31" spans="1:28" x14ac:dyDescent="0.25">
      <c r="A31" s="9" t="s">
        <v>25</v>
      </c>
      <c r="B31" s="5">
        <f>92.27</f>
        <v>92.27</v>
      </c>
      <c r="C31" s="6">
        <f>780.43</f>
        <v>780.43</v>
      </c>
      <c r="D31" s="6">
        <f>436.35</f>
        <v>436.35</v>
      </c>
      <c r="E31" s="6">
        <f>436.35</f>
        <v>436.35</v>
      </c>
      <c r="F31" s="6">
        <f>436.35</f>
        <v>436.35</v>
      </c>
      <c r="G31" s="6">
        <f>2119.9</f>
        <v>2119.9</v>
      </c>
      <c r="H31" s="6">
        <f t="shared" ref="H31:M31" si="69">919.59</f>
        <v>919.59</v>
      </c>
      <c r="I31" s="6">
        <f t="shared" si="69"/>
        <v>919.59</v>
      </c>
      <c r="J31" s="6">
        <f t="shared" si="69"/>
        <v>919.59</v>
      </c>
      <c r="K31" s="6">
        <f t="shared" si="69"/>
        <v>919.59</v>
      </c>
      <c r="L31" s="6">
        <f t="shared" si="69"/>
        <v>919.59</v>
      </c>
      <c r="M31" s="6">
        <f t="shared" si="69"/>
        <v>919.59</v>
      </c>
      <c r="N31" s="14">
        <f t="shared" si="2"/>
        <v>9819.19</v>
      </c>
      <c r="O31" s="6">
        <f>919.59</f>
        <v>919.59</v>
      </c>
      <c r="P31" s="6">
        <f t="shared" ref="P31:Z31" si="70">919.59</f>
        <v>919.59</v>
      </c>
      <c r="Q31" s="6">
        <f t="shared" si="70"/>
        <v>919.59</v>
      </c>
      <c r="R31" s="6">
        <f t="shared" si="70"/>
        <v>919.59</v>
      </c>
      <c r="S31" s="6">
        <f t="shared" si="70"/>
        <v>919.59</v>
      </c>
      <c r="T31" s="6">
        <f t="shared" si="70"/>
        <v>919.59</v>
      </c>
      <c r="U31" s="6">
        <f t="shared" si="70"/>
        <v>919.59</v>
      </c>
      <c r="V31" s="6">
        <f t="shared" si="70"/>
        <v>919.59</v>
      </c>
      <c r="W31" s="6">
        <f t="shared" si="70"/>
        <v>919.59</v>
      </c>
      <c r="X31" s="6">
        <f t="shared" si="70"/>
        <v>919.59</v>
      </c>
      <c r="Y31" s="6">
        <f t="shared" si="70"/>
        <v>919.59</v>
      </c>
      <c r="Z31" s="6">
        <f t="shared" si="70"/>
        <v>919.59</v>
      </c>
      <c r="AA31" s="14">
        <f t="shared" si="3"/>
        <v>11035.08</v>
      </c>
      <c r="AB31" s="31"/>
    </row>
    <row r="32" spans="1:28" ht="23.25" x14ac:dyDescent="0.25">
      <c r="A32" s="9" t="s">
        <v>26</v>
      </c>
      <c r="B32" s="5">
        <f t="shared" ref="B32:Z32" si="71">1017.5</f>
        <v>1017.5</v>
      </c>
      <c r="C32" s="6">
        <f t="shared" si="71"/>
        <v>1017.5</v>
      </c>
      <c r="D32" s="6">
        <f t="shared" si="71"/>
        <v>1017.5</v>
      </c>
      <c r="E32" s="6">
        <f t="shared" si="71"/>
        <v>1017.5</v>
      </c>
      <c r="F32" s="6">
        <f t="shared" si="71"/>
        <v>1017.5</v>
      </c>
      <c r="G32" s="6">
        <f t="shared" si="71"/>
        <v>1017.5</v>
      </c>
      <c r="H32" s="6">
        <f t="shared" si="71"/>
        <v>1017.5</v>
      </c>
      <c r="I32" s="6">
        <f t="shared" si="71"/>
        <v>1017.5</v>
      </c>
      <c r="J32" s="6">
        <f t="shared" si="71"/>
        <v>1017.5</v>
      </c>
      <c r="K32" s="6">
        <f t="shared" si="71"/>
        <v>1017.5</v>
      </c>
      <c r="L32" s="6">
        <f t="shared" si="71"/>
        <v>1017.5</v>
      </c>
      <c r="M32" s="6">
        <f t="shared" si="71"/>
        <v>1017.5</v>
      </c>
      <c r="N32" s="14">
        <f t="shared" si="2"/>
        <v>12210</v>
      </c>
      <c r="O32" s="6">
        <f t="shared" si="71"/>
        <v>1017.5</v>
      </c>
      <c r="P32" s="6">
        <f t="shared" si="71"/>
        <v>1017.5</v>
      </c>
      <c r="Q32" s="6">
        <f t="shared" si="71"/>
        <v>1017.5</v>
      </c>
      <c r="R32" s="6">
        <f t="shared" si="71"/>
        <v>1017.5</v>
      </c>
      <c r="S32" s="6">
        <f t="shared" si="71"/>
        <v>1017.5</v>
      </c>
      <c r="T32" s="6">
        <f t="shared" si="71"/>
        <v>1017.5</v>
      </c>
      <c r="U32" s="6">
        <f t="shared" si="71"/>
        <v>1017.5</v>
      </c>
      <c r="V32" s="6">
        <f t="shared" si="71"/>
        <v>1017.5</v>
      </c>
      <c r="W32" s="6">
        <f t="shared" si="71"/>
        <v>1017.5</v>
      </c>
      <c r="X32" s="6">
        <f t="shared" si="71"/>
        <v>1017.5</v>
      </c>
      <c r="Y32" s="6">
        <f t="shared" si="71"/>
        <v>1017.5</v>
      </c>
      <c r="Z32" s="6">
        <f t="shared" si="71"/>
        <v>1017.5</v>
      </c>
      <c r="AA32" s="14">
        <f t="shared" si="3"/>
        <v>12210</v>
      </c>
      <c r="AB32" s="31"/>
    </row>
    <row r="33" spans="1:28" x14ac:dyDescent="0.25">
      <c r="A33" s="9" t="s">
        <v>27</v>
      </c>
      <c r="B33" s="7">
        <f t="shared" ref="B33:J33" si="72">((B30)+(B31))+(B32)</f>
        <v>1618.3</v>
      </c>
      <c r="C33" s="2">
        <f t="shared" si="72"/>
        <v>2302.4499999999998</v>
      </c>
      <c r="D33" s="2">
        <f t="shared" si="72"/>
        <v>1919.58</v>
      </c>
      <c r="E33" s="2">
        <f t="shared" si="72"/>
        <v>1922.55</v>
      </c>
      <c r="F33" s="2">
        <f t="shared" si="72"/>
        <v>7715.96</v>
      </c>
      <c r="G33" s="2">
        <f t="shared" si="72"/>
        <v>3606.69</v>
      </c>
      <c r="H33" s="2">
        <f t="shared" si="72"/>
        <v>2549.06</v>
      </c>
      <c r="I33" s="2">
        <f t="shared" si="72"/>
        <v>2691.49</v>
      </c>
      <c r="J33" s="2">
        <f t="shared" si="72"/>
        <v>2571.16</v>
      </c>
      <c r="K33" s="2">
        <f t="shared" ref="K33" si="73">((K30)+(K31))+(K32)</f>
        <v>2603.9033333333336</v>
      </c>
      <c r="L33" s="2">
        <f t="shared" ref="L33" si="74">((L30)+(L31))+(L32)</f>
        <v>2603.9033333333336</v>
      </c>
      <c r="M33" s="2">
        <f t="shared" ref="M33" si="75">((M30)+(M31))+(M32)</f>
        <v>2603.9033333333336</v>
      </c>
      <c r="N33" s="15">
        <f t="shared" si="2"/>
        <v>34708.950000000004</v>
      </c>
      <c r="O33" s="7">
        <f t="shared" ref="O33" si="76">((O30)+(O31))+(O32)</f>
        <v>2603.09</v>
      </c>
      <c r="P33" s="2">
        <f t="shared" ref="P33" si="77">((P30)+(P31))+(P32)</f>
        <v>2603.09</v>
      </c>
      <c r="Q33" s="2">
        <f t="shared" ref="Q33" si="78">((Q30)+(Q31))+(Q32)</f>
        <v>2603.09</v>
      </c>
      <c r="R33" s="2">
        <f t="shared" ref="R33" si="79">((R30)+(R31))+(R32)</f>
        <v>2603.09</v>
      </c>
      <c r="S33" s="2">
        <f>((Q24)+(S31))+(S32)</f>
        <v>1984.7639583333334</v>
      </c>
      <c r="T33" s="2">
        <f t="shared" ref="T33" si="80">((T30)+(T31))+(T32)</f>
        <v>2603.09</v>
      </c>
      <c r="U33" s="2">
        <f t="shared" ref="U33" si="81">((U30)+(U31))+(U32)</f>
        <v>2603.09</v>
      </c>
      <c r="V33" s="2">
        <f t="shared" ref="V33" si="82">((V30)+(V31))+(V32)</f>
        <v>2603.09</v>
      </c>
      <c r="W33" s="2">
        <f t="shared" ref="W33" si="83">((W30)+(W31))+(W32)</f>
        <v>2603.09</v>
      </c>
      <c r="X33" s="2">
        <f t="shared" ref="X33" si="84">((X30)+(X31))+(X32)</f>
        <v>2603.09</v>
      </c>
      <c r="Y33" s="2">
        <f t="shared" ref="Y33" si="85">((Y30)+(Y31))+(Y32)</f>
        <v>2603.09</v>
      </c>
      <c r="Z33" s="2">
        <f t="shared" ref="Z33" si="86">((Z30)+(Z31))+(Z32)</f>
        <v>2603.09</v>
      </c>
      <c r="AA33" s="15">
        <f t="shared" si="3"/>
        <v>30618.753958333335</v>
      </c>
      <c r="AB33" s="31"/>
    </row>
    <row r="34" spans="1:28" x14ac:dyDescent="0.25">
      <c r="A34" s="9" t="s">
        <v>28</v>
      </c>
      <c r="B34" s="5">
        <f>1313.13</f>
        <v>1313.13</v>
      </c>
      <c r="C34" s="6">
        <f>1183.86</f>
        <v>1183.8599999999999</v>
      </c>
      <c r="D34" s="6">
        <f>1050.74</f>
        <v>1050.74</v>
      </c>
      <c r="E34" s="6">
        <f>13123.69</f>
        <v>13123.69</v>
      </c>
      <c r="F34" s="6">
        <f>772.37</f>
        <v>772.37</v>
      </c>
      <c r="G34" s="6">
        <f>626.88</f>
        <v>626.88</v>
      </c>
      <c r="H34" s="6">
        <f>477.05</f>
        <v>477.05</v>
      </c>
      <c r="I34" s="6">
        <f>322.7</f>
        <v>322.7</v>
      </c>
      <c r="J34" s="6">
        <f>163.74</f>
        <v>163.74</v>
      </c>
      <c r="K34" s="6">
        <f>AVERAGE($H34:J34)</f>
        <v>321.16333333333336</v>
      </c>
      <c r="L34" s="6">
        <f>AVERAGE($I34:K34)</f>
        <v>269.20111111111112</v>
      </c>
      <c r="M34" s="6">
        <f>AVERAGE($J34:L34)</f>
        <v>251.36814814814815</v>
      </c>
      <c r="N34" s="14">
        <f t="shared" si="2"/>
        <v>19875.892592592591</v>
      </c>
      <c r="O34" s="5">
        <f>AVERAGE(K34:M34)</f>
        <v>280.57753086419751</v>
      </c>
      <c r="P34" s="6">
        <f>AVERAGE(L34:$M34,$O34:O34)</f>
        <v>267.04893004115229</v>
      </c>
      <c r="Q34" s="6">
        <f>AVERAGE(M34:$M34,$O34:P34)</f>
        <v>266.33153635116599</v>
      </c>
      <c r="R34" s="6">
        <f>AVERAGE(O34:Q34)</f>
        <v>271.31933241883866</v>
      </c>
      <c r="S34" s="6">
        <f t="shared" ref="S34:W34" si="87">AVERAGE(P34:R34)</f>
        <v>268.23326627038568</v>
      </c>
      <c r="T34" s="6">
        <f t="shared" si="87"/>
        <v>268.62804501346346</v>
      </c>
      <c r="U34" s="6">
        <f t="shared" si="87"/>
        <v>269.39354790089595</v>
      </c>
      <c r="V34" s="6">
        <f t="shared" si="87"/>
        <v>268.75161972824839</v>
      </c>
      <c r="W34" s="6">
        <f t="shared" si="87"/>
        <v>268.92440421420264</v>
      </c>
      <c r="X34" s="6">
        <f t="shared" ref="X34" si="88">AVERAGE(U34:W34)</f>
        <v>269.02319061444899</v>
      </c>
      <c r="Y34" s="6">
        <f t="shared" ref="Y34" si="89">AVERAGE(V34:X34)</f>
        <v>268.89973818563334</v>
      </c>
      <c r="Z34" s="6">
        <f t="shared" ref="Z34" si="90">AVERAGE(W34:Y34)</f>
        <v>268.94911100476162</v>
      </c>
      <c r="AA34" s="14">
        <f t="shared" si="3"/>
        <v>3236.0802526073949</v>
      </c>
      <c r="AB34" s="31"/>
    </row>
    <row r="35" spans="1:28" x14ac:dyDescent="0.25">
      <c r="A35" s="9" t="s">
        <v>29</v>
      </c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14">
        <f t="shared" si="2"/>
        <v>0</v>
      </c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14">
        <f t="shared" si="3"/>
        <v>0</v>
      </c>
      <c r="AB35" s="31"/>
    </row>
    <row r="36" spans="1:28" x14ac:dyDescent="0.25">
      <c r="A36" s="9" t="s">
        <v>30</v>
      </c>
      <c r="B36" s="5">
        <v>400</v>
      </c>
      <c r="C36" s="6">
        <v>400</v>
      </c>
      <c r="D36" s="6">
        <v>400</v>
      </c>
      <c r="E36" s="6">
        <v>400</v>
      </c>
      <c r="F36" s="6">
        <v>400</v>
      </c>
      <c r="G36" s="6">
        <v>400</v>
      </c>
      <c r="H36" s="6">
        <v>400</v>
      </c>
      <c r="I36" s="6">
        <v>400</v>
      </c>
      <c r="J36" s="6">
        <v>400</v>
      </c>
      <c r="K36" s="6">
        <v>400</v>
      </c>
      <c r="L36" s="6">
        <v>400</v>
      </c>
      <c r="M36" s="6">
        <v>400</v>
      </c>
      <c r="N36" s="14">
        <f t="shared" si="2"/>
        <v>4800</v>
      </c>
      <c r="O36" s="6">
        <v>400</v>
      </c>
      <c r="P36" s="6">
        <v>400</v>
      </c>
      <c r="Q36" s="6">
        <v>400</v>
      </c>
      <c r="R36" s="6">
        <v>400</v>
      </c>
      <c r="S36" s="6">
        <v>400</v>
      </c>
      <c r="T36" s="6">
        <v>400</v>
      </c>
      <c r="U36" s="6">
        <v>400</v>
      </c>
      <c r="V36" s="6">
        <v>400</v>
      </c>
      <c r="W36" s="6">
        <v>400</v>
      </c>
      <c r="X36" s="6">
        <v>400</v>
      </c>
      <c r="Y36" s="6">
        <v>400</v>
      </c>
      <c r="Z36" s="6">
        <v>400</v>
      </c>
      <c r="AA36" s="14">
        <f t="shared" si="3"/>
        <v>4800</v>
      </c>
      <c r="AB36" s="31"/>
    </row>
    <row r="37" spans="1:28" x14ac:dyDescent="0.25">
      <c r="A37" s="9" t="s">
        <v>31</v>
      </c>
      <c r="B37" s="7">
        <f t="shared" ref="B37:M37" si="91">(B35)+(B36)</f>
        <v>400</v>
      </c>
      <c r="C37" s="2">
        <f t="shared" si="91"/>
        <v>400</v>
      </c>
      <c r="D37" s="2">
        <f t="shared" si="91"/>
        <v>400</v>
      </c>
      <c r="E37" s="2">
        <f t="shared" si="91"/>
        <v>400</v>
      </c>
      <c r="F37" s="2">
        <f t="shared" si="91"/>
        <v>400</v>
      </c>
      <c r="G37" s="2">
        <f t="shared" si="91"/>
        <v>400</v>
      </c>
      <c r="H37" s="2">
        <f t="shared" si="91"/>
        <v>400</v>
      </c>
      <c r="I37" s="2">
        <f t="shared" si="91"/>
        <v>400</v>
      </c>
      <c r="J37" s="2">
        <f t="shared" si="91"/>
        <v>400</v>
      </c>
      <c r="K37" s="2">
        <f t="shared" si="91"/>
        <v>400</v>
      </c>
      <c r="L37" s="2">
        <f t="shared" si="91"/>
        <v>400</v>
      </c>
      <c r="M37" s="2">
        <f t="shared" si="91"/>
        <v>400</v>
      </c>
      <c r="N37" s="15">
        <f t="shared" si="2"/>
        <v>4800</v>
      </c>
      <c r="O37" s="7">
        <f t="shared" ref="O37" si="92">(O35)+(O36)</f>
        <v>400</v>
      </c>
      <c r="P37" s="2">
        <f t="shared" ref="P37" si="93">(P35)+(P36)</f>
        <v>400</v>
      </c>
      <c r="Q37" s="2">
        <f t="shared" ref="Q37" si="94">(Q35)+(Q36)</f>
        <v>400</v>
      </c>
      <c r="R37" s="2">
        <f t="shared" ref="R37" si="95">(R35)+(R36)</f>
        <v>400</v>
      </c>
      <c r="S37" s="2">
        <f t="shared" ref="S37" si="96">(S35)+(S36)</f>
        <v>400</v>
      </c>
      <c r="T37" s="2">
        <f t="shared" ref="T37" si="97">(T35)+(T36)</f>
        <v>400</v>
      </c>
      <c r="U37" s="2">
        <f t="shared" ref="U37" si="98">(U35)+(U36)</f>
        <v>400</v>
      </c>
      <c r="V37" s="2">
        <f t="shared" ref="V37" si="99">(V35)+(V36)</f>
        <v>400</v>
      </c>
      <c r="W37" s="2">
        <f t="shared" ref="W37" si="100">(W35)+(W36)</f>
        <v>400</v>
      </c>
      <c r="X37" s="2">
        <f t="shared" ref="X37" si="101">(X35)+(X36)</f>
        <v>400</v>
      </c>
      <c r="Y37" s="2">
        <f t="shared" ref="Y37" si="102">(Y35)+(Y36)</f>
        <v>400</v>
      </c>
      <c r="Z37" s="2">
        <f t="shared" ref="Z37" si="103">(Z35)+(Z36)</f>
        <v>400</v>
      </c>
      <c r="AA37" s="15">
        <f t="shared" si="3"/>
        <v>4800</v>
      </c>
      <c r="AB37" s="31"/>
    </row>
    <row r="38" spans="1:28" x14ac:dyDescent="0.25">
      <c r="A38" s="9" t="s">
        <v>32</v>
      </c>
      <c r="B38" s="7">
        <f t="shared" ref="B38:J38" si="104">(B34)+(B37)</f>
        <v>1713.13</v>
      </c>
      <c r="C38" s="2">
        <f t="shared" si="104"/>
        <v>1583.86</v>
      </c>
      <c r="D38" s="2">
        <f t="shared" si="104"/>
        <v>1450.74</v>
      </c>
      <c r="E38" s="2">
        <f t="shared" si="104"/>
        <v>13523.69</v>
      </c>
      <c r="F38" s="2">
        <f t="shared" si="104"/>
        <v>1172.3699999999999</v>
      </c>
      <c r="G38" s="2">
        <f t="shared" si="104"/>
        <v>1026.8800000000001</v>
      </c>
      <c r="H38" s="2">
        <f t="shared" si="104"/>
        <v>877.05</v>
      </c>
      <c r="I38" s="2">
        <f t="shared" si="104"/>
        <v>722.7</v>
      </c>
      <c r="J38" s="2">
        <f t="shared" si="104"/>
        <v>563.74</v>
      </c>
      <c r="K38" s="2">
        <f t="shared" ref="K38" si="105">(K34)+(K37)</f>
        <v>721.16333333333341</v>
      </c>
      <c r="L38" s="2">
        <f t="shared" ref="L38" si="106">(L34)+(L37)</f>
        <v>669.20111111111112</v>
      </c>
      <c r="M38" s="2">
        <f t="shared" ref="M38" si="107">(M34)+(M37)</f>
        <v>651.36814814814818</v>
      </c>
      <c r="N38" s="15">
        <f t="shared" si="2"/>
        <v>24675.892592592591</v>
      </c>
      <c r="O38" s="7">
        <f t="shared" ref="O38" si="108">(O34)+(O37)</f>
        <v>680.57753086419757</v>
      </c>
      <c r="P38" s="2">
        <f t="shared" ref="P38" si="109">(P34)+(P37)</f>
        <v>667.04893004115229</v>
      </c>
      <c r="Q38" s="2">
        <f t="shared" ref="Q38" si="110">(Q34)+(Q37)</f>
        <v>666.33153635116605</v>
      </c>
      <c r="R38" s="2">
        <f t="shared" ref="R38" si="111">(R34)+(R37)</f>
        <v>671.31933241883871</v>
      </c>
      <c r="S38" s="2">
        <f t="shared" ref="S38" si="112">(S34)+(S37)</f>
        <v>668.23326627038568</v>
      </c>
      <c r="T38" s="2">
        <f t="shared" ref="T38" si="113">(T34)+(T37)</f>
        <v>668.62804501346341</v>
      </c>
      <c r="U38" s="2">
        <f t="shared" ref="U38" si="114">(U34)+(U37)</f>
        <v>669.39354790089601</v>
      </c>
      <c r="V38" s="2">
        <f t="shared" ref="V38" si="115">(V34)+(V37)</f>
        <v>668.75161972824844</v>
      </c>
      <c r="W38" s="2">
        <f t="shared" ref="W38" si="116">(W34)+(W37)</f>
        <v>668.9244042142027</v>
      </c>
      <c r="X38" s="2">
        <f t="shared" ref="X38" si="117">(X34)+(X37)</f>
        <v>669.02319061444905</v>
      </c>
      <c r="Y38" s="2">
        <f t="shared" ref="Y38" si="118">(Y34)+(Y37)</f>
        <v>668.8997381856334</v>
      </c>
      <c r="Z38" s="2">
        <f t="shared" ref="Z38" si="119">(Z34)+(Z37)</f>
        <v>668.94911100476156</v>
      </c>
      <c r="AA38" s="15">
        <f t="shared" si="3"/>
        <v>8036.0802526073949</v>
      </c>
      <c r="AB38" s="31"/>
    </row>
    <row r="39" spans="1:28" x14ac:dyDescent="0.25">
      <c r="A39" s="9" t="s">
        <v>33</v>
      </c>
      <c r="B39" s="5">
        <f>2291.08</f>
        <v>2291.08</v>
      </c>
      <c r="C39" s="6">
        <f>1521.96</f>
        <v>1521.96</v>
      </c>
      <c r="D39" s="6">
        <f>1540.22</f>
        <v>1540.22</v>
      </c>
      <c r="E39" s="6">
        <f>1833.45</f>
        <v>1833.45</v>
      </c>
      <c r="F39" s="6">
        <f>1867.23</f>
        <v>1867.23</v>
      </c>
      <c r="G39" s="6">
        <f>2467.84</f>
        <v>2467.84</v>
      </c>
      <c r="H39" s="6">
        <f>2104.55</f>
        <v>2104.5500000000002</v>
      </c>
      <c r="I39" s="6">
        <f>1987.27</f>
        <v>1987.27</v>
      </c>
      <c r="J39" s="6">
        <f>1960.49</f>
        <v>1960.49</v>
      </c>
      <c r="K39" s="6">
        <v>1000</v>
      </c>
      <c r="L39" s="6">
        <v>1000</v>
      </c>
      <c r="M39" s="6">
        <v>1000</v>
      </c>
      <c r="N39" s="14">
        <f t="shared" si="2"/>
        <v>20574.090000000004</v>
      </c>
      <c r="O39" s="5">
        <v>1000</v>
      </c>
      <c r="P39" s="6">
        <v>3000</v>
      </c>
      <c r="Q39" s="6">
        <v>1000</v>
      </c>
      <c r="R39" s="6">
        <v>1000</v>
      </c>
      <c r="S39" s="6">
        <v>1000</v>
      </c>
      <c r="T39" s="6">
        <v>1000</v>
      </c>
      <c r="U39" s="6">
        <v>1000</v>
      </c>
      <c r="V39" s="6">
        <v>1000</v>
      </c>
      <c r="W39" s="6">
        <v>1000</v>
      </c>
      <c r="X39" s="6">
        <v>1000</v>
      </c>
      <c r="Y39" s="6">
        <v>1000</v>
      </c>
      <c r="Z39" s="6">
        <v>1000</v>
      </c>
      <c r="AA39" s="14">
        <f t="shared" si="3"/>
        <v>14000</v>
      </c>
      <c r="AB39" s="31"/>
    </row>
    <row r="40" spans="1:28" x14ac:dyDescent="0.25">
      <c r="A40" s="9" t="s">
        <v>34</v>
      </c>
      <c r="B40" s="5">
        <f>4343.66</f>
        <v>4343.66</v>
      </c>
      <c r="C40" s="6"/>
      <c r="D40" s="6"/>
      <c r="E40" s="4"/>
      <c r="F40" s="4"/>
      <c r="G40" s="6"/>
      <c r="H40" s="6"/>
      <c r="I40" s="6"/>
      <c r="J40" s="6">
        <f>0.36</f>
        <v>0.36</v>
      </c>
      <c r="K40" s="6"/>
      <c r="L40" s="6"/>
      <c r="M40" s="6"/>
      <c r="N40" s="14">
        <f t="shared" si="2"/>
        <v>4344.0199999999995</v>
      </c>
      <c r="O40" s="5">
        <f>AVERAGE(B40:M40)</f>
        <v>2172.0099999999998</v>
      </c>
      <c r="P40" s="6">
        <f>AVERAGE(C40:$M40,$O40:O40)</f>
        <v>1086.1849999999999</v>
      </c>
      <c r="Q40" s="6">
        <f>AVERAGE(D40:$M40,$O40:P40)</f>
        <v>1086.1849999999999</v>
      </c>
      <c r="R40" s="6">
        <f>AVERAGE(E40:$M40,$O40:Q40)</f>
        <v>1086.1849999999999</v>
      </c>
      <c r="S40" s="6">
        <f>AVERAGE(F40:$M40,$O40:R40)</f>
        <v>1086.1849999999999</v>
      </c>
      <c r="T40" s="6">
        <f>AVERAGE(G40:$M40,$O40:S40)</f>
        <v>1086.1849999999997</v>
      </c>
      <c r="U40" s="6">
        <f>AVERAGE(H40:$M40,$O40:T40)</f>
        <v>1086.1849999999997</v>
      </c>
      <c r="V40" s="6">
        <f>AVERAGE(I40:$M40,$O40:U40)</f>
        <v>1086.1849999999997</v>
      </c>
      <c r="W40" s="6">
        <f>AVERAGE(J40:$M40,$O40:V40)</f>
        <v>1086.1849999999997</v>
      </c>
      <c r="X40" s="6">
        <f>AVERAGE(K40:$M40,$O40:W40)</f>
        <v>1206.8322222222218</v>
      </c>
      <c r="Y40" s="6">
        <f>AVERAGE(L40:$M40,$O40:X40)</f>
        <v>1206.8322222222218</v>
      </c>
      <c r="Z40" s="6">
        <f>AVERAGE(M40:$M40,$O40:Y40)</f>
        <v>1206.8322222222216</v>
      </c>
      <c r="AA40" s="14">
        <f t="shared" si="3"/>
        <v>14481.98666666666</v>
      </c>
      <c r="AB40" s="31"/>
    </row>
    <row r="41" spans="1:28" x14ac:dyDescent="0.25">
      <c r="A41" s="9" t="s">
        <v>35</v>
      </c>
      <c r="B41" s="3">
        <v>0</v>
      </c>
      <c r="C41" s="4">
        <v>0</v>
      </c>
      <c r="D41" s="4">
        <v>0</v>
      </c>
      <c r="E41" s="6">
        <f>20.89</f>
        <v>20.89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14">
        <f t="shared" si="2"/>
        <v>20.89</v>
      </c>
      <c r="O41" s="3">
        <v>0</v>
      </c>
      <c r="P41" s="4">
        <v>0</v>
      </c>
      <c r="Q41" s="4">
        <v>0</v>
      </c>
      <c r="R41" s="6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14">
        <f t="shared" si="3"/>
        <v>0</v>
      </c>
      <c r="AB41" s="31"/>
    </row>
    <row r="42" spans="1:28" x14ac:dyDescent="0.25">
      <c r="A42" s="9" t="s">
        <v>36</v>
      </c>
      <c r="B42" s="3"/>
      <c r="C42" s="6">
        <f>4909.94</f>
        <v>4909.9399999999996</v>
      </c>
      <c r="D42" s="6">
        <f>3304.94</f>
        <v>3304.94</v>
      </c>
      <c r="E42" s="6">
        <f>3714.56</f>
        <v>3714.56</v>
      </c>
      <c r="F42" s="6">
        <f>3470.71</f>
        <v>3470.71</v>
      </c>
      <c r="G42" s="6">
        <f>3252.96</f>
        <v>3252.96</v>
      </c>
      <c r="H42" s="6">
        <f>6831.54</f>
        <v>6831.54</v>
      </c>
      <c r="I42" s="6">
        <f>7246.28</f>
        <v>7246.28</v>
      </c>
      <c r="J42" s="6">
        <f>6702.6</f>
        <v>6702.6</v>
      </c>
      <c r="K42" s="6">
        <f>K9*0.029</f>
        <v>7250</v>
      </c>
      <c r="L42" s="6">
        <f>L9*0.029</f>
        <v>7250</v>
      </c>
      <c r="M42" s="6">
        <f>M9*0.029</f>
        <v>7250</v>
      </c>
      <c r="N42" s="14">
        <f t="shared" si="2"/>
        <v>61183.53</v>
      </c>
      <c r="O42" s="6">
        <f>O9*0.029</f>
        <v>7250</v>
      </c>
      <c r="P42" s="6">
        <f>P16*0.029</f>
        <v>6973.5071174200775</v>
      </c>
      <c r="Q42" s="6">
        <f>(Q16*0.029)-1455</f>
        <v>5518.6031138717499</v>
      </c>
      <c r="R42" s="6">
        <f t="shared" ref="R42:Z42" si="120">R16*0.029</f>
        <v>6974.688373361063</v>
      </c>
      <c r="S42" s="6">
        <f t="shared" si="120"/>
        <v>6974.7559328078178</v>
      </c>
      <c r="T42" s="6">
        <f t="shared" si="120"/>
        <v>6975.9855938751361</v>
      </c>
      <c r="U42" s="6">
        <f t="shared" si="120"/>
        <v>6977.0204766980642</v>
      </c>
      <c r="V42" s="6">
        <f t="shared" si="120"/>
        <v>6973.1971964229024</v>
      </c>
      <c r="W42" s="6">
        <f t="shared" si="120"/>
        <v>6972.933020291478</v>
      </c>
      <c r="X42" s="6">
        <f t="shared" si="120"/>
        <v>6973.981771982435</v>
      </c>
      <c r="Y42" s="6">
        <f t="shared" si="120"/>
        <v>6974.1238909439335</v>
      </c>
      <c r="Z42" s="6">
        <f t="shared" si="120"/>
        <v>6974.1687400555165</v>
      </c>
      <c r="AA42" s="14">
        <f t="shared" si="3"/>
        <v>82512.965227730165</v>
      </c>
      <c r="AB42" s="31"/>
    </row>
    <row r="43" spans="1:28" x14ac:dyDescent="0.25">
      <c r="A43" s="9" t="s">
        <v>37</v>
      </c>
      <c r="B43" s="7">
        <f t="shared" ref="B43:M43" si="121">((B40)+(B41))+(B42)</f>
        <v>4343.66</v>
      </c>
      <c r="C43" s="2">
        <f t="shared" si="121"/>
        <v>4909.9399999999996</v>
      </c>
      <c r="D43" s="2">
        <f t="shared" si="121"/>
        <v>3304.94</v>
      </c>
      <c r="E43" s="2">
        <f t="shared" si="121"/>
        <v>3735.45</v>
      </c>
      <c r="F43" s="2">
        <f t="shared" si="121"/>
        <v>3470.71</v>
      </c>
      <c r="G43" s="2">
        <f t="shared" si="121"/>
        <v>3252.96</v>
      </c>
      <c r="H43" s="2">
        <f t="shared" si="121"/>
        <v>6831.54</v>
      </c>
      <c r="I43" s="2">
        <f t="shared" si="121"/>
        <v>7246.28</v>
      </c>
      <c r="J43" s="2">
        <f t="shared" si="121"/>
        <v>6702.96</v>
      </c>
      <c r="K43" s="2">
        <f t="shared" si="121"/>
        <v>7250</v>
      </c>
      <c r="L43" s="2">
        <f t="shared" si="121"/>
        <v>7250</v>
      </c>
      <c r="M43" s="2">
        <f t="shared" si="121"/>
        <v>7250</v>
      </c>
      <c r="N43" s="15">
        <f t="shared" si="2"/>
        <v>65548.44</v>
      </c>
      <c r="O43" s="7">
        <f t="shared" ref="O43:Z43" si="122">((O40)+(O41))+(O42)</f>
        <v>9422.01</v>
      </c>
      <c r="P43" s="2">
        <f t="shared" si="122"/>
        <v>8059.6921174200779</v>
      </c>
      <c r="Q43" s="2">
        <f t="shared" si="122"/>
        <v>6604.7881138717494</v>
      </c>
      <c r="R43" s="2">
        <f t="shared" si="122"/>
        <v>8060.8733733610625</v>
      </c>
      <c r="S43" s="2">
        <f t="shared" si="122"/>
        <v>8060.9409328078182</v>
      </c>
      <c r="T43" s="2">
        <f t="shared" si="122"/>
        <v>8062.1705938751356</v>
      </c>
      <c r="U43" s="2">
        <f t="shared" si="122"/>
        <v>8063.2054766980636</v>
      </c>
      <c r="V43" s="2">
        <f t="shared" si="122"/>
        <v>8059.3821964229019</v>
      </c>
      <c r="W43" s="2">
        <f t="shared" si="122"/>
        <v>8059.1180202914775</v>
      </c>
      <c r="X43" s="2">
        <f t="shared" si="122"/>
        <v>8180.8139942046564</v>
      </c>
      <c r="Y43" s="2">
        <f t="shared" si="122"/>
        <v>8180.9561131661558</v>
      </c>
      <c r="Z43" s="2">
        <f t="shared" si="122"/>
        <v>8181.0009622777379</v>
      </c>
      <c r="AA43" s="15">
        <f t="shared" si="3"/>
        <v>96994.951894396843</v>
      </c>
      <c r="AB43" s="31"/>
    </row>
    <row r="44" spans="1:28" x14ac:dyDescent="0.25">
      <c r="A44" s="9" t="s">
        <v>38</v>
      </c>
      <c r="B44" s="5">
        <f>1137.28</f>
        <v>1137.28</v>
      </c>
      <c r="C44" s="6">
        <f>346.71</f>
        <v>346.71</v>
      </c>
      <c r="D44" s="6">
        <f>108.19</f>
        <v>108.19</v>
      </c>
      <c r="E44" s="6">
        <f>250.58</f>
        <v>250.58</v>
      </c>
      <c r="F44" s="6">
        <f>546.96</f>
        <v>546.96</v>
      </c>
      <c r="G44" s="6">
        <f>247.31</f>
        <v>247.31</v>
      </c>
      <c r="H44" s="6">
        <f>909.92</f>
        <v>909.92</v>
      </c>
      <c r="I44" s="6">
        <f>48.49</f>
        <v>48.49</v>
      </c>
      <c r="J44" s="6">
        <f>82.82</f>
        <v>82.82</v>
      </c>
      <c r="K44" s="6">
        <f>AVERAGE($B44:J44)</f>
        <v>408.69555555555559</v>
      </c>
      <c r="L44" s="6">
        <f>AVERAGE($B44:K44)</f>
        <v>408.69555555555559</v>
      </c>
      <c r="M44" s="6">
        <f>AVERAGE($B44:L44)</f>
        <v>408.69555555555559</v>
      </c>
      <c r="N44" s="14">
        <f t="shared" si="2"/>
        <v>4904.3466666666673</v>
      </c>
      <c r="O44" s="5">
        <f>AVERAGE(B44:M44)</f>
        <v>408.69555555555559</v>
      </c>
      <c r="P44" s="6">
        <f>AVERAGE(C44:$M44,$O44:O44)</f>
        <v>347.98018518518523</v>
      </c>
      <c r="Q44" s="6">
        <f>AVERAGE(D44:$M44,$O44:P44)</f>
        <v>348.08603395061726</v>
      </c>
      <c r="R44" s="6">
        <f>AVERAGE(E44:$M44,$O44:Q44)</f>
        <v>368.07737011316868</v>
      </c>
      <c r="S44" s="6">
        <f>AVERAGE(F44:$M44,$O44:R44)</f>
        <v>377.86881762259941</v>
      </c>
      <c r="T44" s="6">
        <f>AVERAGE(G44:$M44,$O44:S44)</f>
        <v>363.77788575781602</v>
      </c>
      <c r="U44" s="6">
        <f>AVERAGE(H44:$M44,$O44:T44)</f>
        <v>373.48354290430075</v>
      </c>
      <c r="V44" s="6">
        <f>AVERAGE(I44:$M44,$O44:U44)</f>
        <v>328.78050481299243</v>
      </c>
      <c r="W44" s="6">
        <f>AVERAGE(J44:$M44,$O44:V44)</f>
        <v>352.1380468807418</v>
      </c>
      <c r="X44" s="6">
        <f>AVERAGE(K44:$M44,$O44:W44)</f>
        <v>374.581217454137</v>
      </c>
      <c r="Y44" s="6">
        <f>AVERAGE(L44:$M44,$O44:X44)</f>
        <v>371.73835594568544</v>
      </c>
      <c r="Z44" s="6">
        <f>AVERAGE(M44:$M44,$O44:Y44)</f>
        <v>368.65858931152957</v>
      </c>
      <c r="AA44" s="14">
        <f t="shared" si="3"/>
        <v>4383.8661054943295</v>
      </c>
      <c r="AB44" s="31"/>
    </row>
    <row r="45" spans="1:28" s="39" customFormat="1" ht="23.25" x14ac:dyDescent="0.25">
      <c r="A45" s="35" t="s">
        <v>39</v>
      </c>
      <c r="B45" s="36">
        <f>24547.64</f>
        <v>24547.64</v>
      </c>
      <c r="C45" s="32">
        <f>11377.69</f>
        <v>11377.69</v>
      </c>
      <c r="D45" s="32">
        <f>32491.63</f>
        <v>32491.63</v>
      </c>
      <c r="E45" s="32">
        <f>16200.33</f>
        <v>16200.33</v>
      </c>
      <c r="F45" s="32">
        <f>37500</f>
        <v>37500</v>
      </c>
      <c r="G45" s="32">
        <f>29607.77</f>
        <v>29607.77</v>
      </c>
      <c r="H45" s="32">
        <f>28974.65</f>
        <v>28974.65</v>
      </c>
      <c r="I45" s="32">
        <f>79074.5</f>
        <v>79074.5</v>
      </c>
      <c r="J45" s="32">
        <f>120821.46</f>
        <v>120821.46</v>
      </c>
      <c r="K45" s="32">
        <v>120000</v>
      </c>
      <c r="L45" s="32">
        <v>120000</v>
      </c>
      <c r="M45" s="32">
        <f>120000+13600</f>
        <v>133600</v>
      </c>
      <c r="N45" s="37">
        <f t="shared" si="2"/>
        <v>754195.66999999993</v>
      </c>
      <c r="O45" s="36">
        <f>L45-72000</f>
        <v>48000</v>
      </c>
      <c r="P45" s="32">
        <v>48000</v>
      </c>
      <c r="Q45" s="32">
        <v>48000</v>
      </c>
      <c r="R45" s="32">
        <v>48000</v>
      </c>
      <c r="S45" s="32">
        <f>48000-3000</f>
        <v>45000</v>
      </c>
      <c r="T45" s="32">
        <f t="shared" ref="T45:Z45" si="123">48000-3000</f>
        <v>45000</v>
      </c>
      <c r="U45" s="32">
        <f t="shared" si="123"/>
        <v>45000</v>
      </c>
      <c r="V45" s="32">
        <f t="shared" si="123"/>
        <v>45000</v>
      </c>
      <c r="W45" s="32">
        <f t="shared" si="123"/>
        <v>45000</v>
      </c>
      <c r="X45" s="32">
        <f t="shared" si="123"/>
        <v>45000</v>
      </c>
      <c r="Y45" s="32">
        <f t="shared" si="123"/>
        <v>45000</v>
      </c>
      <c r="Z45" s="32">
        <f t="shared" si="123"/>
        <v>45000</v>
      </c>
      <c r="AA45" s="37">
        <f t="shared" si="3"/>
        <v>552000</v>
      </c>
      <c r="AB45" s="38"/>
    </row>
    <row r="46" spans="1:28" x14ac:dyDescent="0.25">
      <c r="A46" s="9" t="s">
        <v>82</v>
      </c>
      <c r="B46" s="5">
        <f>5354.11</f>
        <v>5354.11</v>
      </c>
      <c r="C46" s="6">
        <f>6806.39</f>
        <v>6806.39</v>
      </c>
      <c r="D46" s="6">
        <f>10867.06</f>
        <v>10867.06</v>
      </c>
      <c r="E46" s="6">
        <f>10523.59</f>
        <v>10523.59</v>
      </c>
      <c r="F46" s="6">
        <f>7886.8</f>
        <v>7886.8</v>
      </c>
      <c r="G46" s="6">
        <f>11068.81</f>
        <v>11068.81</v>
      </c>
      <c r="H46" s="6">
        <f>4432.5</f>
        <v>4432.5</v>
      </c>
      <c r="I46" s="4"/>
      <c r="J46" s="4"/>
      <c r="K46" s="6">
        <v>3000</v>
      </c>
      <c r="L46" s="6">
        <f>K46*1.01</f>
        <v>3030</v>
      </c>
      <c r="M46" s="6">
        <f>L46*1.1</f>
        <v>3333.0000000000005</v>
      </c>
      <c r="N46" s="14">
        <f t="shared" si="2"/>
        <v>66302.259999999995</v>
      </c>
      <c r="O46" s="5">
        <f>M46*1.1</f>
        <v>3666.3000000000006</v>
      </c>
      <c r="P46" s="6">
        <f t="shared" ref="P46:V46" si="124">O46*1.1</f>
        <v>4032.9300000000012</v>
      </c>
      <c r="Q46" s="6">
        <f t="shared" si="124"/>
        <v>4436.2230000000018</v>
      </c>
      <c r="R46" s="6">
        <f t="shared" si="124"/>
        <v>4879.8453000000027</v>
      </c>
      <c r="S46" s="6">
        <f t="shared" si="124"/>
        <v>5367.8298300000033</v>
      </c>
      <c r="T46" s="6">
        <f t="shared" si="124"/>
        <v>5904.6128130000043</v>
      </c>
      <c r="U46" s="6">
        <f t="shared" si="124"/>
        <v>6495.0740943000055</v>
      </c>
      <c r="V46" s="6">
        <f t="shared" si="124"/>
        <v>7144.5815037300063</v>
      </c>
      <c r="W46" s="6">
        <f t="shared" ref="W46:Z46" si="125">V46*1.01</f>
        <v>7216.0273187673065</v>
      </c>
      <c r="X46" s="6">
        <f t="shared" si="125"/>
        <v>7288.1875919549793</v>
      </c>
      <c r="Y46" s="6">
        <f t="shared" si="125"/>
        <v>7361.0694678745294</v>
      </c>
      <c r="Z46" s="6">
        <f t="shared" si="125"/>
        <v>7434.6801625532744</v>
      </c>
      <c r="AA46" s="14">
        <f t="shared" si="3"/>
        <v>71227.361082180112</v>
      </c>
      <c r="AB46" s="31"/>
    </row>
    <row r="47" spans="1:28" ht="23.25" x14ac:dyDescent="0.25">
      <c r="A47" s="9" t="s">
        <v>40</v>
      </c>
      <c r="B47" s="7">
        <f t="shared" ref="B47:J47" si="126">(B45)+(B46)</f>
        <v>29901.75</v>
      </c>
      <c r="C47" s="2">
        <f t="shared" si="126"/>
        <v>18184.080000000002</v>
      </c>
      <c r="D47" s="2">
        <f t="shared" si="126"/>
        <v>43358.69</v>
      </c>
      <c r="E47" s="2">
        <f t="shared" si="126"/>
        <v>26723.919999999998</v>
      </c>
      <c r="F47" s="2">
        <f t="shared" si="126"/>
        <v>45386.8</v>
      </c>
      <c r="G47" s="2">
        <f t="shared" si="126"/>
        <v>40676.58</v>
      </c>
      <c r="H47" s="2">
        <f t="shared" si="126"/>
        <v>33407.15</v>
      </c>
      <c r="I47" s="2">
        <f t="shared" si="126"/>
        <v>79074.5</v>
      </c>
      <c r="J47" s="2">
        <f t="shared" si="126"/>
        <v>120821.46</v>
      </c>
      <c r="K47" s="2">
        <f t="shared" ref="K47" si="127">(K45)+(K46)</f>
        <v>123000</v>
      </c>
      <c r="L47" s="2">
        <f t="shared" ref="L47" si="128">(L45)+(L46)</f>
        <v>123030</v>
      </c>
      <c r="M47" s="2">
        <f t="shared" ref="M47" si="129">(M45)+(M46)</f>
        <v>136933</v>
      </c>
      <c r="N47" s="15">
        <f t="shared" si="2"/>
        <v>820497.92999999993</v>
      </c>
      <c r="O47" s="7">
        <f t="shared" ref="O47" si="130">(O45)+(O46)</f>
        <v>51666.3</v>
      </c>
      <c r="P47" s="2">
        <f t="shared" ref="P47" si="131">(P45)+(P46)</f>
        <v>52032.93</v>
      </c>
      <c r="Q47" s="2">
        <f t="shared" ref="Q47" si="132">(Q45)+(Q46)</f>
        <v>52436.222999999998</v>
      </c>
      <c r="R47" s="2">
        <f t="shared" ref="R47" si="133">(R45)+(R46)</f>
        <v>52879.845300000001</v>
      </c>
      <c r="S47" s="2">
        <f t="shared" ref="S47" si="134">(S45)+(S46)</f>
        <v>50367.829830000002</v>
      </c>
      <c r="T47" s="2">
        <f t="shared" ref="T47" si="135">(T45)+(T46)</f>
        <v>50904.612813000007</v>
      </c>
      <c r="U47" s="2">
        <f t="shared" ref="U47" si="136">(U45)+(U46)</f>
        <v>51495.074094300006</v>
      </c>
      <c r="V47" s="2">
        <f t="shared" ref="V47" si="137">(V45)+(V46)</f>
        <v>52144.581503730005</v>
      </c>
      <c r="W47" s="2">
        <f t="shared" ref="W47" si="138">(W45)+(W46)</f>
        <v>52216.027318767308</v>
      </c>
      <c r="X47" s="2">
        <f t="shared" ref="X47" si="139">(X45)+(X46)</f>
        <v>52288.187591954978</v>
      </c>
      <c r="Y47" s="2">
        <f t="shared" ref="Y47" si="140">(Y45)+(Y46)</f>
        <v>52361.069467874528</v>
      </c>
      <c r="Z47" s="2">
        <f t="shared" ref="Z47" si="141">(Z45)+(Z46)</f>
        <v>52434.680162553275</v>
      </c>
      <c r="AA47" s="15">
        <f t="shared" si="3"/>
        <v>623227.36108218017</v>
      </c>
      <c r="AB47" s="31"/>
    </row>
    <row r="48" spans="1:28" ht="23.25" x14ac:dyDescent="0.25">
      <c r="A48" s="9" t="s">
        <v>41</v>
      </c>
      <c r="B48" s="3">
        <v>0</v>
      </c>
      <c r="C48" s="4">
        <v>0</v>
      </c>
      <c r="D48" s="4">
        <v>0</v>
      </c>
      <c r="E48" s="4">
        <v>0</v>
      </c>
      <c r="F48" s="6">
        <f>2500</f>
        <v>2500</v>
      </c>
      <c r="G48" s="4">
        <v>0</v>
      </c>
      <c r="H48" s="6">
        <f>125</f>
        <v>125</v>
      </c>
      <c r="I48" s="4">
        <v>0</v>
      </c>
      <c r="J48" s="4">
        <v>0</v>
      </c>
      <c r="K48" s="6">
        <f>AVERAGE($B48:J48)</f>
        <v>291.66666666666669</v>
      </c>
      <c r="L48" s="6">
        <f>AVERAGE($B48:K48)</f>
        <v>291.66666666666663</v>
      </c>
      <c r="M48" s="6">
        <f>AVERAGE($B48:L48)</f>
        <v>291.66666666666663</v>
      </c>
      <c r="N48" s="14">
        <f t="shared" si="2"/>
        <v>3499.9999999999995</v>
      </c>
      <c r="O48" s="5">
        <f>AVERAGE(B48:M48)</f>
        <v>291.66666666666663</v>
      </c>
      <c r="P48" s="6">
        <f>AVERAGE(C48:$M48,$O48:O48)</f>
        <v>315.97222222222217</v>
      </c>
      <c r="Q48" s="6">
        <f>AVERAGE(D48:$M48,$O48:P48)</f>
        <v>342.3032407407407</v>
      </c>
      <c r="R48" s="6">
        <f>AVERAGE(E48:$M48,$O48:Q48)</f>
        <v>370.82851080246911</v>
      </c>
      <c r="S48" s="6">
        <f>AVERAGE(F48:$M48,$O48:R48)</f>
        <v>401.73088670267492</v>
      </c>
      <c r="T48" s="6">
        <f>AVERAGE(G48:$M48,$O48:S48)</f>
        <v>226.87512726123111</v>
      </c>
      <c r="U48" s="6">
        <f>AVERAGE(H48:$M48,$O48:T48)</f>
        <v>245.78138786633372</v>
      </c>
      <c r="V48" s="6">
        <f>AVERAGE(I48:$M48,$O48:U48)</f>
        <v>255.84650352186154</v>
      </c>
      <c r="W48" s="6">
        <f>AVERAGE(J48:$M48,$O48:V48)</f>
        <v>277.16704548201665</v>
      </c>
      <c r="X48" s="6">
        <f>AVERAGE(K48:$M48,$O48:W48)</f>
        <v>300.2642992721847</v>
      </c>
      <c r="Y48" s="6">
        <f>AVERAGE(L48:$M48,$O48:X48)</f>
        <v>300.9807686559779</v>
      </c>
      <c r="Z48" s="6">
        <f>AVERAGE(M48:$M48,$O48:Y48)</f>
        <v>301.75694382175379</v>
      </c>
      <c r="AA48" s="14">
        <f t="shared" si="3"/>
        <v>3631.1736030161333</v>
      </c>
      <c r="AB48" s="31"/>
    </row>
    <row r="49" spans="1:28" x14ac:dyDescent="0.25">
      <c r="A49" s="9" t="s">
        <v>42</v>
      </c>
      <c r="B49" s="5">
        <f>20.18</f>
        <v>20.18</v>
      </c>
      <c r="C49" s="6">
        <f>2.27</f>
        <v>2.27</v>
      </c>
      <c r="D49" s="6">
        <f>105</f>
        <v>105</v>
      </c>
      <c r="E49" s="4">
        <v>0</v>
      </c>
      <c r="F49" s="6">
        <f>129.75</f>
        <v>129.75</v>
      </c>
      <c r="G49" s="6">
        <f>25.03</f>
        <v>25.03</v>
      </c>
      <c r="H49" s="6">
        <f>106.82</f>
        <v>106.82</v>
      </c>
      <c r="I49" s="6">
        <f>4.25</f>
        <v>4.25</v>
      </c>
      <c r="J49" s="6">
        <f>60</f>
        <v>60</v>
      </c>
      <c r="K49" s="6">
        <f>AVERAGE($B49:J49)</f>
        <v>50.366666666666667</v>
      </c>
      <c r="L49" s="6">
        <f>AVERAGE($B49:K49)</f>
        <v>50.366666666666667</v>
      </c>
      <c r="M49" s="6">
        <f>AVERAGE($B49:L49)</f>
        <v>50.366666666666667</v>
      </c>
      <c r="N49" s="14">
        <f t="shared" si="2"/>
        <v>604.4</v>
      </c>
      <c r="O49" s="5">
        <f>AVERAGE(B49:M49)</f>
        <v>50.366666666666667</v>
      </c>
      <c r="P49" s="6">
        <f>AVERAGE(C49:$M49,$O49:O49)</f>
        <v>52.882222222222218</v>
      </c>
      <c r="Q49" s="6">
        <f>AVERAGE(D49:$M49,$O49:P49)</f>
        <v>57.099907407407407</v>
      </c>
      <c r="R49" s="6">
        <f>AVERAGE(E49:$M49,$O49:Q49)</f>
        <v>53.108233024691366</v>
      </c>
      <c r="S49" s="6">
        <f>AVERAGE(F49:$M49,$O49:R49)</f>
        <v>57.533919110082309</v>
      </c>
      <c r="T49" s="6">
        <f>AVERAGE(G49:$M49,$O49:S49)</f>
        <v>51.51591236925583</v>
      </c>
      <c r="U49" s="6">
        <f>AVERAGE(H49:$M49,$O49:T49)</f>
        <v>53.723071733360484</v>
      </c>
      <c r="V49" s="6">
        <f>AVERAGE(I49:$M49,$O49:U49)</f>
        <v>49.298327711140523</v>
      </c>
      <c r="W49" s="6">
        <f>AVERAGE(J49:$M49,$O49:V49)</f>
        <v>53.052355020402224</v>
      </c>
      <c r="X49" s="6">
        <f>AVERAGE(K49:$M49,$O49:W49)</f>
        <v>52.473384605435747</v>
      </c>
      <c r="Y49" s="6">
        <f>AVERAGE(L49:$M49,$O49:X49)</f>
        <v>52.648944433666507</v>
      </c>
      <c r="Z49" s="6">
        <f>AVERAGE(M49:$M49,$O49:Y49)</f>
        <v>52.839134247583168</v>
      </c>
      <c r="AA49" s="14">
        <f t="shared" si="3"/>
        <v>636.54207855191453</v>
      </c>
      <c r="AB49" s="31"/>
    </row>
    <row r="50" spans="1:28" x14ac:dyDescent="0.25">
      <c r="A50" s="9" t="s">
        <v>43</v>
      </c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14">
        <f t="shared" si="2"/>
        <v>0</v>
      </c>
      <c r="O50" s="5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14">
        <f t="shared" si="3"/>
        <v>0</v>
      </c>
      <c r="AB50" s="31"/>
    </row>
    <row r="51" spans="1:28" x14ac:dyDescent="0.25">
      <c r="A51" s="9" t="s">
        <v>44</v>
      </c>
      <c r="B51" s="5">
        <f>1753.11</f>
        <v>1753.11</v>
      </c>
      <c r="C51" s="6">
        <f>2909.11</f>
        <v>2909.11</v>
      </c>
      <c r="D51" s="6">
        <f>432.45</f>
        <v>432.45</v>
      </c>
      <c r="E51" s="6">
        <f>210.44</f>
        <v>210.44</v>
      </c>
      <c r="F51" s="6">
        <f>73.93</f>
        <v>73.930000000000007</v>
      </c>
      <c r="G51" s="6">
        <f>30</f>
        <v>30</v>
      </c>
      <c r="H51" s="6">
        <f>1643.84</f>
        <v>1643.84</v>
      </c>
      <c r="I51" s="6">
        <f>1197.8</f>
        <v>1197.8</v>
      </c>
      <c r="J51" s="4"/>
      <c r="K51" s="6">
        <f>AVERAGE($B51:J51)</f>
        <v>1031.335</v>
      </c>
      <c r="L51" s="6">
        <f>AVERAGE($B51:K51)</f>
        <v>1031.335</v>
      </c>
      <c r="M51" s="6">
        <f>AVERAGE($B51:L51)</f>
        <v>1031.3349999999998</v>
      </c>
      <c r="N51" s="14">
        <f t="shared" si="2"/>
        <v>11344.684999999998</v>
      </c>
      <c r="O51" s="5">
        <f t="shared" ref="O51:O54" si="142">AVERAGE(B51:M51)</f>
        <v>1031.3349999999998</v>
      </c>
      <c r="P51" s="6">
        <f>AVERAGE(C51:$M51,$O51:O51)</f>
        <v>965.71909090909071</v>
      </c>
      <c r="Q51" s="6">
        <f>AVERAGE(D51:$M51,$O51:P51)</f>
        <v>789.04719008264465</v>
      </c>
      <c r="R51" s="6">
        <f>AVERAGE(E51:$M51,$O51:Q51)</f>
        <v>821.46511645379428</v>
      </c>
      <c r="S51" s="6">
        <f>AVERAGE(F51:$M51,$O51:R51)</f>
        <v>877.01285431322981</v>
      </c>
      <c r="T51" s="6">
        <f>AVERAGE(G51:$M51,$O51:S51)</f>
        <v>950.02038652352348</v>
      </c>
      <c r="U51" s="6">
        <f>AVERAGE(H51:$M51,$O51:T51)</f>
        <v>1033.6586034802074</v>
      </c>
      <c r="V51" s="6">
        <f>AVERAGE(I51:$M51,$O51:U51)</f>
        <v>978.18756743295376</v>
      </c>
      <c r="W51" s="6">
        <f>AVERAGE(J51:$M51,$O51:V51)</f>
        <v>958.22280083594933</v>
      </c>
      <c r="X51" s="6">
        <f>AVERAGE(K51:$M51,$O51:W51)</f>
        <v>958.22280083594933</v>
      </c>
      <c r="Y51" s="6">
        <f>AVERAGE(L51:$M51,$O51:X51)</f>
        <v>952.13011757227844</v>
      </c>
      <c r="Z51" s="6">
        <f>AVERAGE(M51:$M51,$O51:Y51)</f>
        <v>945.52971070330159</v>
      </c>
      <c r="AA51" s="14">
        <f t="shared" si="3"/>
        <v>11260.551239142922</v>
      </c>
      <c r="AB51" s="31"/>
    </row>
    <row r="52" spans="1:28" x14ac:dyDescent="0.25">
      <c r="A52" s="9" t="s">
        <v>45</v>
      </c>
      <c r="B52" s="5">
        <f>1249.78</f>
        <v>1249.78</v>
      </c>
      <c r="C52" s="6">
        <f>1249.89</f>
        <v>1249.8900000000001</v>
      </c>
      <c r="D52" s="6">
        <f>1250</f>
        <v>1250</v>
      </c>
      <c r="E52" s="6">
        <f>5000</f>
        <v>5000</v>
      </c>
      <c r="F52" s="6">
        <f>5000</f>
        <v>5000</v>
      </c>
      <c r="G52" s="6">
        <f>5000.43</f>
        <v>5000.43</v>
      </c>
      <c r="H52" s="6">
        <f>7500.21</f>
        <v>7500.21</v>
      </c>
      <c r="I52" s="6">
        <f>7500</f>
        <v>7500</v>
      </c>
      <c r="J52" s="6">
        <f>7500.21</f>
        <v>7500.21</v>
      </c>
      <c r="K52" s="6">
        <f>7500</f>
        <v>7500</v>
      </c>
      <c r="L52" s="6">
        <f>7500</f>
        <v>7500</v>
      </c>
      <c r="M52" s="6">
        <f>7500</f>
        <v>7500</v>
      </c>
      <c r="N52" s="14">
        <f t="shared" si="2"/>
        <v>63750.52</v>
      </c>
      <c r="O52" s="5">
        <v>7500</v>
      </c>
      <c r="P52" s="6">
        <f>7500</f>
        <v>7500</v>
      </c>
      <c r="Q52" s="6">
        <f>7500</f>
        <v>7500</v>
      </c>
      <c r="R52" s="6">
        <f>7500</f>
        <v>7500</v>
      </c>
      <c r="S52" s="6">
        <f>7500</f>
        <v>7500</v>
      </c>
      <c r="T52" s="6">
        <f>7500</f>
        <v>7500</v>
      </c>
      <c r="U52" s="6">
        <f>7500</f>
        <v>7500</v>
      </c>
      <c r="V52" s="6">
        <f>7500</f>
        <v>7500</v>
      </c>
      <c r="W52" s="6">
        <f>7500</f>
        <v>7500</v>
      </c>
      <c r="X52" s="6">
        <f>7500</f>
        <v>7500</v>
      </c>
      <c r="Y52" s="6">
        <f>7500</f>
        <v>7500</v>
      </c>
      <c r="Z52" s="6">
        <f>7500</f>
        <v>7500</v>
      </c>
      <c r="AA52" s="14">
        <f t="shared" si="3"/>
        <v>90000</v>
      </c>
      <c r="AB52" s="31"/>
    </row>
    <row r="53" spans="1:28" x14ac:dyDescent="0.25">
      <c r="A53" s="9" t="s">
        <v>46</v>
      </c>
      <c r="B53" s="5">
        <f>261</f>
        <v>261</v>
      </c>
      <c r="C53" s="6">
        <f>228.5</f>
        <v>228.5</v>
      </c>
      <c r="D53" s="6">
        <f>169.75</f>
        <v>169.75</v>
      </c>
      <c r="E53" s="6">
        <f>188.5</f>
        <v>188.5</v>
      </c>
      <c r="F53" s="6">
        <f>279</f>
        <v>279</v>
      </c>
      <c r="G53" s="6">
        <f>351.15</f>
        <v>351.15</v>
      </c>
      <c r="H53" s="6">
        <f>281.49</f>
        <v>281.49</v>
      </c>
      <c r="I53" s="6">
        <f>361.22</f>
        <v>361.22</v>
      </c>
      <c r="J53" s="6">
        <f>316.16</f>
        <v>316.16000000000003</v>
      </c>
      <c r="K53" s="6">
        <f>AVERAGE($B53:J53)</f>
        <v>270.7522222222222</v>
      </c>
      <c r="L53" s="6">
        <f>AVERAGE($B53:K53)</f>
        <v>270.75222222222226</v>
      </c>
      <c r="M53" s="6">
        <f>AVERAGE($B53:L53)</f>
        <v>270.75222222222226</v>
      </c>
      <c r="N53" s="14">
        <f t="shared" si="2"/>
        <v>3249.0266666666671</v>
      </c>
      <c r="O53" s="5">
        <f t="shared" si="142"/>
        <v>270.75222222222226</v>
      </c>
      <c r="P53" s="6">
        <f>AVERAGE(C53:$M53,$O53:O53)</f>
        <v>271.56490740740747</v>
      </c>
      <c r="Q53" s="6">
        <f>AVERAGE(D53:$M53,$O53:P53)</f>
        <v>275.15364969135811</v>
      </c>
      <c r="R53" s="6">
        <f>AVERAGE(E53:$M53,$O53:Q53)</f>
        <v>283.93728716563794</v>
      </c>
      <c r="S53" s="6">
        <f>AVERAGE(F53:$M53,$O53:R53)</f>
        <v>291.89039442944107</v>
      </c>
      <c r="T53" s="6">
        <f>AVERAGE(G53:$M53,$O53:S53)</f>
        <v>292.96459396522783</v>
      </c>
      <c r="U53" s="6">
        <f>AVERAGE(H53:$M53,$O53:T53)</f>
        <v>288.11581012899683</v>
      </c>
      <c r="V53" s="6">
        <f>AVERAGE(I53:$M53,$O53:U53)</f>
        <v>288.6679609730798</v>
      </c>
      <c r="W53" s="6">
        <f>AVERAGE(J53:$M53,$O53:V53)</f>
        <v>282.62195772083652</v>
      </c>
      <c r="X53" s="6">
        <f>AVERAGE(K53:$M53,$O53:W53)</f>
        <v>279.82712086423959</v>
      </c>
      <c r="Y53" s="6">
        <f>AVERAGE(L53:$M53,$O53:X53)</f>
        <v>280.58336241774106</v>
      </c>
      <c r="Z53" s="6">
        <f>AVERAGE(M53:$M53,$O53:Y53)</f>
        <v>281.40262410070096</v>
      </c>
      <c r="AA53" s="14">
        <f t="shared" si="3"/>
        <v>3387.4818910868898</v>
      </c>
      <c r="AB53" s="31"/>
    </row>
    <row r="54" spans="1:28" x14ac:dyDescent="0.25">
      <c r="A54" s="9" t="s">
        <v>47</v>
      </c>
      <c r="B54" s="5">
        <f>5785.74</f>
        <v>5785.74</v>
      </c>
      <c r="C54" s="6">
        <f>4098.06</f>
        <v>4098.0600000000004</v>
      </c>
      <c r="D54" s="6">
        <f>3684.5</f>
        <v>3684.5</v>
      </c>
      <c r="E54" s="6">
        <f>4145.68</f>
        <v>4145.68</v>
      </c>
      <c r="F54" s="6">
        <f>3272.73</f>
        <v>3272.73</v>
      </c>
      <c r="G54" s="6">
        <f>3182.27</f>
        <v>3182.27</v>
      </c>
      <c r="H54" s="6">
        <f>3666.21</f>
        <v>3666.21</v>
      </c>
      <c r="I54" s="6">
        <f>4011.82</f>
        <v>4011.82</v>
      </c>
      <c r="J54" s="6">
        <f>3727.56</f>
        <v>3727.56</v>
      </c>
      <c r="K54" s="6">
        <f>AVERAGE($B54:J54)</f>
        <v>3952.73</v>
      </c>
      <c r="L54" s="6">
        <f>AVERAGE($B54:K54)</f>
        <v>3952.7300000000005</v>
      </c>
      <c r="M54" s="6">
        <f>AVERAGE($B54:L54)</f>
        <v>3952.7300000000005</v>
      </c>
      <c r="N54" s="14">
        <f t="shared" si="2"/>
        <v>47432.760000000009</v>
      </c>
      <c r="O54" s="5">
        <f t="shared" si="142"/>
        <v>3952.7300000000009</v>
      </c>
      <c r="P54" s="6">
        <f>AVERAGE(C54:$M54,$O54:O54)</f>
        <v>3799.9791666666679</v>
      </c>
      <c r="Q54" s="6">
        <f>AVERAGE(D54:$M54,$O54:P54)</f>
        <v>3775.139097222223</v>
      </c>
      <c r="R54" s="6">
        <f>AVERAGE(E54:$M54,$O54:Q54)</f>
        <v>3782.6923553240745</v>
      </c>
      <c r="S54" s="6">
        <f>AVERAGE(F54:$M54,$O54:R54)</f>
        <v>3752.4433849344136</v>
      </c>
      <c r="T54" s="6">
        <f>AVERAGE(G54:$M54,$O54:S54)</f>
        <v>3792.4195003456152</v>
      </c>
      <c r="U54" s="6">
        <f>AVERAGE(H54:$M54,$O54:T54)</f>
        <v>3843.2652920410824</v>
      </c>
      <c r="V54" s="6">
        <f>AVERAGE(I54:$M54,$O54:U54)</f>
        <v>3858.0198997111734</v>
      </c>
      <c r="W54" s="6">
        <f>AVERAGE(J54:$M54,$O54:V54)</f>
        <v>3845.203224687104</v>
      </c>
      <c r="X54" s="6">
        <f>AVERAGE(K54:$M54,$O54:W54)</f>
        <v>3855.0068267443626</v>
      </c>
      <c r="Y54" s="6">
        <f>AVERAGE(L54:$M54,$O54:X54)</f>
        <v>3846.8632289730594</v>
      </c>
      <c r="Z54" s="6">
        <f>AVERAGE(M54:$M54,$O54:Y54)</f>
        <v>3838.0409980541481</v>
      </c>
      <c r="AA54" s="14">
        <f t="shared" si="3"/>
        <v>45941.802974703925</v>
      </c>
      <c r="AB54" s="31"/>
    </row>
    <row r="55" spans="1:28" x14ac:dyDescent="0.25">
      <c r="A55" s="9" t="s">
        <v>83</v>
      </c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14"/>
      <c r="O55" s="5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14"/>
      <c r="AB55" s="31"/>
    </row>
    <row r="56" spans="1:28" s="39" customFormat="1" x14ac:dyDescent="0.25">
      <c r="A56" s="35" t="s">
        <v>48</v>
      </c>
      <c r="B56" s="36">
        <f>51490.01</f>
        <v>51490.01</v>
      </c>
      <c r="C56" s="32">
        <f>47145.72</f>
        <v>47145.72</v>
      </c>
      <c r="D56" s="32">
        <f>42580.27</f>
        <v>42580.27</v>
      </c>
      <c r="E56" s="32">
        <f>46567.98</f>
        <v>46567.98</v>
      </c>
      <c r="F56" s="32">
        <f>37227.72</f>
        <v>37227.72</v>
      </c>
      <c r="G56" s="32">
        <f>38850</f>
        <v>38850</v>
      </c>
      <c r="H56" s="32">
        <f>41271.85</f>
        <v>41271.85</v>
      </c>
      <c r="I56" s="32">
        <f>45422.11</f>
        <v>45422.11</v>
      </c>
      <c r="J56" s="32">
        <f>39801.23</f>
        <v>39801.230000000003</v>
      </c>
      <c r="K56" s="32">
        <f>AVERAGE($B56:J56)</f>
        <v>43372.987777777773</v>
      </c>
      <c r="L56" s="32">
        <f>AVERAGE($B56:K56)</f>
        <v>43372.987777777773</v>
      </c>
      <c r="M56" s="32">
        <f>AVERAGE($B56:L56)</f>
        <v>43372.987777777773</v>
      </c>
      <c r="N56" s="37">
        <f t="shared" si="2"/>
        <v>520475.85333333327</v>
      </c>
      <c r="O56" s="36">
        <f>AVERAGE(B56:M56)+75000</f>
        <v>118372.98777777777</v>
      </c>
      <c r="P56" s="32">
        <f>AVERAGE(C56:$M56,$O56:O56)+75000</f>
        <v>123946.56925925927</v>
      </c>
      <c r="Q56" s="32">
        <f>AVERAGE(D56:$M56,$O56:P56)+75000</f>
        <v>130346.64003086419</v>
      </c>
      <c r="R56" s="32">
        <f>AVERAGE(E56:$M56,$O56:Q56)+75000</f>
        <v>137660.50420010288</v>
      </c>
      <c r="S56" s="32">
        <f>AVERAGE(F56:$M56,$O56:R56)+75000</f>
        <v>145251.54788344479</v>
      </c>
      <c r="T56" s="32">
        <f>AVERAGE(G56:$M56,$O56:S56)+75000</f>
        <v>154253.53354039852</v>
      </c>
      <c r="U56" s="32">
        <f>AVERAGE(H56:$M56,$O56:T56)+75000</f>
        <v>163870.49466876505</v>
      </c>
      <c r="V56" s="32">
        <f>AVERAGE(I56:$M56,$O56:U56)+75000</f>
        <v>174087.04839116213</v>
      </c>
      <c r="W56" s="32">
        <f>AVERAGE(J56:$M56,$O56:V56)+75000</f>
        <v>184809.12659042567</v>
      </c>
      <c r="X56" s="32">
        <f>AVERAGE(K56:$M56,$O56:W56)+75000</f>
        <v>196893.1179729611</v>
      </c>
      <c r="Y56" s="32">
        <f>AVERAGE(L56:$M56,$O56:X56)+75000</f>
        <v>209686.46215589307</v>
      </c>
      <c r="Z56" s="32">
        <f>AVERAGE(M56:$M56,$O56:Y56)+75000</f>
        <v>223545.91835406935</v>
      </c>
      <c r="AA56" s="37">
        <f t="shared" si="3"/>
        <v>1962723.9508251238</v>
      </c>
      <c r="AB56" s="38"/>
    </row>
    <row r="57" spans="1:28" x14ac:dyDescent="0.25">
      <c r="A57" s="9" t="s">
        <v>49</v>
      </c>
      <c r="B57" s="5">
        <f>-1353.86</f>
        <v>-1353.86</v>
      </c>
      <c r="C57" s="6">
        <f>-1261.24</f>
        <v>-1261.24</v>
      </c>
      <c r="D57" s="6">
        <f>-1261.24</f>
        <v>-1261.24</v>
      </c>
      <c r="E57" s="6">
        <f>-1544.48</f>
        <v>-1544.48</v>
      </c>
      <c r="F57" s="6">
        <f>-1624.87</f>
        <v>-1624.87</v>
      </c>
      <c r="G57" s="6">
        <f>-1644.48</f>
        <v>-1644.48</v>
      </c>
      <c r="H57" s="6">
        <f>-1644.48</f>
        <v>-1644.48</v>
      </c>
      <c r="I57" s="6">
        <f>-1644.48</f>
        <v>-1644.48</v>
      </c>
      <c r="J57" s="6">
        <f>-1644.48</f>
        <v>-1644.48</v>
      </c>
      <c r="K57" s="6">
        <f>-1644.48</f>
        <v>-1644.48</v>
      </c>
      <c r="L57" s="6">
        <f t="shared" ref="L57:Z57" si="143">-1644.48</f>
        <v>-1644.48</v>
      </c>
      <c r="M57" s="6">
        <f t="shared" si="143"/>
        <v>-1644.48</v>
      </c>
      <c r="N57" s="14">
        <f t="shared" si="2"/>
        <v>-18557.05</v>
      </c>
      <c r="O57" s="6">
        <f t="shared" si="143"/>
        <v>-1644.48</v>
      </c>
      <c r="P57" s="6">
        <f t="shared" si="143"/>
        <v>-1644.48</v>
      </c>
      <c r="Q57" s="6">
        <f t="shared" si="143"/>
        <v>-1644.48</v>
      </c>
      <c r="R57" s="6">
        <f t="shared" si="143"/>
        <v>-1644.48</v>
      </c>
      <c r="S57" s="6">
        <f t="shared" si="143"/>
        <v>-1644.48</v>
      </c>
      <c r="T57" s="6">
        <f t="shared" si="143"/>
        <v>-1644.48</v>
      </c>
      <c r="U57" s="6">
        <f t="shared" si="143"/>
        <v>-1644.48</v>
      </c>
      <c r="V57" s="6">
        <f t="shared" si="143"/>
        <v>-1644.48</v>
      </c>
      <c r="W57" s="6">
        <f t="shared" si="143"/>
        <v>-1644.48</v>
      </c>
      <c r="X57" s="6">
        <f t="shared" si="143"/>
        <v>-1644.48</v>
      </c>
      <c r="Y57" s="6">
        <f t="shared" si="143"/>
        <v>-1644.48</v>
      </c>
      <c r="Z57" s="6">
        <f t="shared" si="143"/>
        <v>-1644.48</v>
      </c>
      <c r="AA57" s="14">
        <f t="shared" si="3"/>
        <v>-19733.759999999998</v>
      </c>
      <c r="AB57" s="31"/>
    </row>
    <row r="58" spans="1:28" x14ac:dyDescent="0.25">
      <c r="A58" s="9" t="s">
        <v>50</v>
      </c>
      <c r="B58" s="7">
        <f t="shared" ref="B58:J58" si="144">(B56)+(B57)</f>
        <v>50136.15</v>
      </c>
      <c r="C58" s="2">
        <f t="shared" si="144"/>
        <v>45884.480000000003</v>
      </c>
      <c r="D58" s="2">
        <f t="shared" si="144"/>
        <v>41319.03</v>
      </c>
      <c r="E58" s="2">
        <f t="shared" si="144"/>
        <v>45023.5</v>
      </c>
      <c r="F58" s="2">
        <f t="shared" si="144"/>
        <v>35602.85</v>
      </c>
      <c r="G58" s="2">
        <f t="shared" si="144"/>
        <v>37205.519999999997</v>
      </c>
      <c r="H58" s="2">
        <f t="shared" si="144"/>
        <v>39627.369999999995</v>
      </c>
      <c r="I58" s="2">
        <f t="shared" si="144"/>
        <v>43777.63</v>
      </c>
      <c r="J58" s="2">
        <f t="shared" si="144"/>
        <v>38156.75</v>
      </c>
      <c r="K58" s="2">
        <f t="shared" ref="K58" si="145">(K56)+(K57)</f>
        <v>41728.50777777777</v>
      </c>
      <c r="L58" s="2">
        <f t="shared" ref="L58" si="146">(L56)+(L57)</f>
        <v>41728.50777777777</v>
      </c>
      <c r="M58" s="2">
        <f t="shared" ref="M58" si="147">(M56)+(M57)</f>
        <v>41728.50777777777</v>
      </c>
      <c r="N58" s="16">
        <f t="shared" si="2"/>
        <v>501918.8033333334</v>
      </c>
      <c r="O58" s="7">
        <f t="shared" ref="O58" si="148">(O56)+(O57)</f>
        <v>116728.50777777778</v>
      </c>
      <c r="P58" s="2">
        <f t="shared" ref="P58" si="149">(P56)+(P57)</f>
        <v>122302.08925925927</v>
      </c>
      <c r="Q58" s="2">
        <f t="shared" ref="Q58" si="150">(Q56)+(Q57)</f>
        <v>128702.16003086419</v>
      </c>
      <c r="R58" s="2">
        <f t="shared" ref="R58" si="151">(R56)+(R57)</f>
        <v>136016.02420010287</v>
      </c>
      <c r="S58" s="2">
        <f t="shared" ref="S58" si="152">(S56)+(S57)</f>
        <v>143607.06788344478</v>
      </c>
      <c r="T58" s="2">
        <f t="shared" ref="T58" si="153">(T56)+(T57)</f>
        <v>152609.05354039851</v>
      </c>
      <c r="U58" s="2">
        <f t="shared" ref="U58" si="154">(U56)+(U57)</f>
        <v>162226.01466876504</v>
      </c>
      <c r="V58" s="2">
        <f t="shared" ref="V58" si="155">(V56)+(V57)</f>
        <v>172442.56839116212</v>
      </c>
      <c r="W58" s="2">
        <f t="shared" ref="W58" si="156">(W56)+(W57)</f>
        <v>183164.64659042566</v>
      </c>
      <c r="X58" s="2">
        <f t="shared" ref="X58" si="157">(X56)+(X57)</f>
        <v>195248.63797296109</v>
      </c>
      <c r="Y58" s="2">
        <f t="shared" ref="Y58" si="158">(Y56)+(Y57)</f>
        <v>208041.98215589306</v>
      </c>
      <c r="Z58" s="2">
        <f t="shared" ref="Z58" si="159">(Z56)+(Z57)</f>
        <v>221901.43835406934</v>
      </c>
      <c r="AA58" s="16">
        <f t="shared" si="3"/>
        <v>1942990.1908251236</v>
      </c>
      <c r="AB58" s="31"/>
    </row>
    <row r="59" spans="1:28" x14ac:dyDescent="0.25">
      <c r="A59" s="9" t="s">
        <v>51</v>
      </c>
      <c r="B59" s="7">
        <f t="shared" ref="B59:M59" si="160">(((((B50)+(B51))+(B52))+(B53))+(B54))+(B58)</f>
        <v>59185.78</v>
      </c>
      <c r="C59" s="2">
        <f t="shared" si="160"/>
        <v>54370.040000000008</v>
      </c>
      <c r="D59" s="2">
        <f t="shared" si="160"/>
        <v>46855.729999999996</v>
      </c>
      <c r="E59" s="2">
        <f t="shared" si="160"/>
        <v>54568.119999999995</v>
      </c>
      <c r="F59" s="2">
        <f t="shared" si="160"/>
        <v>44228.509999999995</v>
      </c>
      <c r="G59" s="2">
        <f t="shared" si="160"/>
        <v>45769.369999999995</v>
      </c>
      <c r="H59" s="2">
        <f t="shared" si="160"/>
        <v>52719.119999999995</v>
      </c>
      <c r="I59" s="2">
        <f t="shared" si="160"/>
        <v>56848.469999999994</v>
      </c>
      <c r="J59" s="2">
        <f t="shared" si="160"/>
        <v>49700.68</v>
      </c>
      <c r="K59" s="2">
        <f t="shared" si="160"/>
        <v>54483.32499999999</v>
      </c>
      <c r="L59" s="2">
        <f t="shared" si="160"/>
        <v>54483.32499999999</v>
      </c>
      <c r="M59" s="2">
        <f t="shared" si="160"/>
        <v>54483.32499999999</v>
      </c>
      <c r="N59" s="14">
        <f t="shared" si="2"/>
        <v>627695.79499999993</v>
      </c>
      <c r="O59" s="7">
        <f t="shared" ref="O59" si="161">(((((O50)+(O51))+(O52))+(O53))+(O54))+(O58)</f>
        <v>129483.325</v>
      </c>
      <c r="P59" s="2">
        <f t="shared" ref="P59" si="162">(((((P50)+(P51))+(P52))+(P53))+(P54))+(P58)</f>
        <v>134839.35242424245</v>
      </c>
      <c r="Q59" s="2">
        <f t="shared" ref="Q59" si="163">(((((Q50)+(Q51))+(Q52))+(Q53))+(Q54))+(Q58)</f>
        <v>141041.49996786041</v>
      </c>
      <c r="R59" s="2">
        <f t="shared" ref="R59" si="164">(((((R50)+(R51))+(R52))+(R53))+(R54))+(R58)</f>
        <v>148404.11895904638</v>
      </c>
      <c r="S59" s="2">
        <f t="shared" ref="S59" si="165">(((((S50)+(S51))+(S52))+(S53))+(S54))+(S58)</f>
        <v>156028.41451712186</v>
      </c>
      <c r="T59" s="2">
        <f t="shared" ref="T59" si="166">(((((T50)+(T51))+(T52))+(T53))+(T54))+(T58)</f>
        <v>165144.45802123289</v>
      </c>
      <c r="U59" s="2">
        <f t="shared" ref="U59" si="167">(((((U50)+(U51))+(U52))+(U53))+(U54))+(U58)</f>
        <v>174891.05437441534</v>
      </c>
      <c r="V59" s="2">
        <f t="shared" ref="V59" si="168">(((((V50)+(V51))+(V52))+(V53))+(V54))+(V58)</f>
        <v>185067.44381927932</v>
      </c>
      <c r="W59" s="2">
        <f t="shared" ref="W59" si="169">(((((W50)+(W51))+(W52))+(W53))+(W54))+(W58)</f>
        <v>195750.69457366955</v>
      </c>
      <c r="X59" s="2">
        <f t="shared" ref="X59" si="170">(((((X50)+(X51))+(X52))+(X53))+(X54))+(X58)</f>
        <v>207841.69472140566</v>
      </c>
      <c r="Y59" s="2">
        <f t="shared" ref="Y59" si="171">(((((Y50)+(Y51))+(Y52))+(Y53))+(Y54))+(Y58)</f>
        <v>220621.55886485614</v>
      </c>
      <c r="Z59" s="2">
        <f t="shared" ref="Z59" si="172">(((((Z50)+(Z51))+(Z52))+(Z53))+(Z54))+(Z58)</f>
        <v>234466.41168692749</v>
      </c>
      <c r="AA59" s="14">
        <f t="shared" si="3"/>
        <v>2093580.0269300574</v>
      </c>
      <c r="AB59" s="31"/>
    </row>
    <row r="60" spans="1:28" x14ac:dyDescent="0.25">
      <c r="A60" s="9" t="s">
        <v>52</v>
      </c>
      <c r="B60" s="3">
        <v>0</v>
      </c>
      <c r="C60" s="6">
        <f>4.4</f>
        <v>4.4000000000000004</v>
      </c>
      <c r="D60" s="6">
        <f>8</f>
        <v>8</v>
      </c>
      <c r="E60" s="6">
        <f>13</f>
        <v>13</v>
      </c>
      <c r="F60" s="6">
        <f>8</f>
        <v>8</v>
      </c>
      <c r="G60" s="6">
        <f>111.93</f>
        <v>111.93</v>
      </c>
      <c r="H60" s="6">
        <f>169.11</f>
        <v>169.11</v>
      </c>
      <c r="I60" s="6">
        <f>54</f>
        <v>54</v>
      </c>
      <c r="J60" s="6">
        <f>51.1</f>
        <v>51.1</v>
      </c>
      <c r="K60" s="6">
        <f>AVERAGE($B60:J60)</f>
        <v>46.615555555555567</v>
      </c>
      <c r="L60" s="6">
        <f>AVERAGE($B60:K60)</f>
        <v>46.615555555555559</v>
      </c>
      <c r="M60" s="6">
        <f>AVERAGE($B60:L60)</f>
        <v>46.615555555555559</v>
      </c>
      <c r="N60" s="14">
        <f t="shared" si="2"/>
        <v>559.38666666666677</v>
      </c>
      <c r="O60" s="5">
        <f>AVERAGE(B60:M60)</f>
        <v>46.615555555555567</v>
      </c>
      <c r="P60" s="6">
        <f>AVERAGE(C60:$M60,$O60:O60)</f>
        <v>50.500185185185195</v>
      </c>
      <c r="Q60" s="6">
        <f>AVERAGE(D60:$M60,$O60:P60)</f>
        <v>54.34186728395062</v>
      </c>
      <c r="R60" s="6">
        <f>AVERAGE(E60:$M60,$O60:Q60)</f>
        <v>58.203689557613167</v>
      </c>
      <c r="S60" s="6">
        <f>AVERAGE(F60:$M60,$O60:R60)</f>
        <v>61.970663687414266</v>
      </c>
      <c r="T60" s="6">
        <f>AVERAGE(G60:$M60,$O60:S60)</f>
        <v>66.468218994698788</v>
      </c>
      <c r="U60" s="6">
        <f>AVERAGE(H60:$M60,$O60:T60)</f>
        <v>62.679737244257019</v>
      </c>
      <c r="V60" s="6">
        <f>AVERAGE(I60:$M60,$O60:U60)</f>
        <v>53.810548681278441</v>
      </c>
      <c r="W60" s="6">
        <f>AVERAGE(J60:$M60,$O60:V60)</f>
        <v>53.794761071384983</v>
      </c>
      <c r="X60" s="6">
        <f>AVERAGE(K60:$M60,$O60:W60)</f>
        <v>54.019324494000394</v>
      </c>
      <c r="Y60" s="6">
        <f>AVERAGE(L60:$M60,$O60:X60)</f>
        <v>54.636305238870797</v>
      </c>
      <c r="Z60" s="6">
        <f>AVERAGE(M60:$M60,$O60:Y60)</f>
        <v>55.304701045813736</v>
      </c>
      <c r="AA60" s="14">
        <f t="shared" si="3"/>
        <v>672.34555804002309</v>
      </c>
      <c r="AB60" s="31"/>
    </row>
    <row r="61" spans="1:28" x14ac:dyDescent="0.25">
      <c r="A61" s="9" t="s">
        <v>53</v>
      </c>
      <c r="B61" s="5">
        <f>5047</f>
        <v>5047</v>
      </c>
      <c r="C61" s="6">
        <f>3235</f>
        <v>3235</v>
      </c>
      <c r="D61" s="6">
        <f>4150</f>
        <v>4150</v>
      </c>
      <c r="E61" s="4">
        <v>0</v>
      </c>
      <c r="F61" s="4">
        <v>0</v>
      </c>
      <c r="G61" s="6">
        <f>750</f>
        <v>750</v>
      </c>
      <c r="H61" s="4">
        <v>0</v>
      </c>
      <c r="I61" s="4">
        <v>0</v>
      </c>
      <c r="J61" s="4">
        <v>0</v>
      </c>
      <c r="K61" s="6">
        <f t="shared" ref="K61" si="173">AVERAGE(B61:J61)</f>
        <v>1464.6666666666667</v>
      </c>
      <c r="L61" s="6">
        <f t="shared" ref="L61" si="174">AVERAGE(B61:K61)</f>
        <v>1464.6666666666665</v>
      </c>
      <c r="M61" s="6">
        <f t="shared" ref="M61" si="175">AVERAGE(B61:L61)</f>
        <v>1464.6666666666665</v>
      </c>
      <c r="N61" s="14">
        <f t="shared" si="2"/>
        <v>17576</v>
      </c>
      <c r="O61" s="5">
        <f>AVERAGE(B61:M61)</f>
        <v>1464.6666666666667</v>
      </c>
      <c r="P61" s="6">
        <f>AVERAGE(C61:$M61,$O61:O61)</f>
        <v>1166.1388888888887</v>
      </c>
      <c r="Q61" s="6">
        <f>AVERAGE(D61:$M61,$O61:P61)</f>
        <v>993.73379629629619</v>
      </c>
      <c r="R61" s="6">
        <f>AVERAGE(E61:$M61,$O61:Q61)</f>
        <v>730.71161265432102</v>
      </c>
      <c r="S61" s="6">
        <f>AVERAGE(F61:$M61,$O61:R61)</f>
        <v>791.6042470421811</v>
      </c>
      <c r="T61" s="6">
        <f>AVERAGE(G61:$M61,$O61:S61)</f>
        <v>857.57126762902953</v>
      </c>
      <c r="U61" s="6">
        <f>AVERAGE(H61:$M61,$O61:T61)</f>
        <v>866.53553993144862</v>
      </c>
      <c r="V61" s="6">
        <f>AVERAGE(I61:$M61,$O61:U61)</f>
        <v>938.74683492573604</v>
      </c>
      <c r="W61" s="6">
        <f>AVERAGE(J61:$M61,$O61:V61)</f>
        <v>1016.9757378362141</v>
      </c>
      <c r="X61" s="6">
        <f>AVERAGE(K61:$M61,$O61:W61)</f>
        <v>1101.7237159892318</v>
      </c>
      <c r="Y61" s="6">
        <f>AVERAGE(L61:$M61,$O61:X61)</f>
        <v>1071.4784700994458</v>
      </c>
      <c r="Z61" s="6">
        <f>AVERAGE(M61:$M61,$O61:Y61)</f>
        <v>1038.7127870521772</v>
      </c>
      <c r="AA61" s="14">
        <f t="shared" si="3"/>
        <v>12038.599565011638</v>
      </c>
      <c r="AB61" s="31"/>
    </row>
    <row r="62" spans="1:28" x14ac:dyDescent="0.25">
      <c r="A62" s="9" t="s">
        <v>54</v>
      </c>
      <c r="B62" s="3">
        <v>0</v>
      </c>
      <c r="C62" s="6">
        <f>1000</f>
        <v>1000</v>
      </c>
      <c r="D62" s="6">
        <f>2000</f>
        <v>2000</v>
      </c>
      <c r="E62" s="6">
        <f>3416.66</f>
        <v>3416.66</v>
      </c>
      <c r="F62" s="6">
        <f>450</f>
        <v>450</v>
      </c>
      <c r="G62" s="4">
        <v>0</v>
      </c>
      <c r="H62" s="6">
        <f>9445</f>
        <v>9445</v>
      </c>
      <c r="I62" s="6">
        <f>7935</f>
        <v>7935</v>
      </c>
      <c r="J62" s="6">
        <f>6000</f>
        <v>6000</v>
      </c>
      <c r="K62" s="6">
        <v>500</v>
      </c>
      <c r="L62" s="6">
        <v>500</v>
      </c>
      <c r="M62" s="6">
        <v>500</v>
      </c>
      <c r="N62" s="14">
        <f t="shared" si="2"/>
        <v>31746.66</v>
      </c>
      <c r="O62" s="6">
        <v>500</v>
      </c>
      <c r="P62" s="6">
        <v>500</v>
      </c>
      <c r="Q62" s="6">
        <v>500</v>
      </c>
      <c r="R62" s="6">
        <v>500</v>
      </c>
      <c r="S62" s="6">
        <v>500</v>
      </c>
      <c r="T62" s="6">
        <v>500</v>
      </c>
      <c r="U62" s="6">
        <v>500</v>
      </c>
      <c r="V62" s="6">
        <v>500</v>
      </c>
      <c r="W62" s="6">
        <v>500</v>
      </c>
      <c r="X62" s="6">
        <v>500</v>
      </c>
      <c r="Y62" s="6">
        <v>500</v>
      </c>
      <c r="Z62" s="6">
        <v>500</v>
      </c>
      <c r="AA62" s="14">
        <f t="shared" si="3"/>
        <v>6000</v>
      </c>
      <c r="AB62" s="31"/>
    </row>
    <row r="63" spans="1:28" x14ac:dyDescent="0.25">
      <c r="A63" s="9" t="s">
        <v>55</v>
      </c>
      <c r="B63" s="3"/>
      <c r="C63" s="4"/>
      <c r="D63" s="4"/>
      <c r="E63" s="4"/>
      <c r="F63" s="6">
        <f>350</f>
        <v>350</v>
      </c>
      <c r="G63" s="6">
        <f>350</f>
        <v>350</v>
      </c>
      <c r="H63" s="6">
        <f>50</f>
        <v>50</v>
      </c>
      <c r="I63" s="6">
        <f>700</f>
        <v>700</v>
      </c>
      <c r="J63" s="6">
        <f>350</f>
        <v>350</v>
      </c>
      <c r="K63" s="6">
        <v>350</v>
      </c>
      <c r="L63" s="6">
        <v>350</v>
      </c>
      <c r="M63" s="6">
        <v>350</v>
      </c>
      <c r="N63" s="14">
        <f t="shared" si="2"/>
        <v>2850</v>
      </c>
      <c r="O63" s="3">
        <v>350</v>
      </c>
      <c r="P63" s="4">
        <f>350</f>
        <v>350</v>
      </c>
      <c r="Q63" s="4">
        <f>350</f>
        <v>350</v>
      </c>
      <c r="R63" s="4">
        <v>3000</v>
      </c>
      <c r="S63" s="4">
        <f>350</f>
        <v>350</v>
      </c>
      <c r="T63" s="4">
        <f>350</f>
        <v>350</v>
      </c>
      <c r="U63" s="4">
        <f>350</f>
        <v>350</v>
      </c>
      <c r="V63" s="4">
        <f>350</f>
        <v>350</v>
      </c>
      <c r="W63" s="4">
        <f>350</f>
        <v>350</v>
      </c>
      <c r="X63" s="4">
        <f>350</f>
        <v>350</v>
      </c>
      <c r="Y63" s="4">
        <f>350</f>
        <v>350</v>
      </c>
      <c r="Z63" s="4">
        <f>350</f>
        <v>350</v>
      </c>
      <c r="AA63" s="14">
        <f t="shared" si="3"/>
        <v>6850</v>
      </c>
      <c r="AB63" s="31"/>
    </row>
    <row r="64" spans="1:28" x14ac:dyDescent="0.25">
      <c r="A64" s="9" t="s">
        <v>56</v>
      </c>
      <c r="B64" s="7">
        <f t="shared" ref="B64:J64" si="176">((B61)+(B62))+(B63)</f>
        <v>5047</v>
      </c>
      <c r="C64" s="2">
        <f t="shared" si="176"/>
        <v>4235</v>
      </c>
      <c r="D64" s="2">
        <f t="shared" si="176"/>
        <v>6150</v>
      </c>
      <c r="E64" s="2">
        <f t="shared" si="176"/>
        <v>3416.66</v>
      </c>
      <c r="F64" s="2">
        <f t="shared" si="176"/>
        <v>800</v>
      </c>
      <c r="G64" s="2">
        <f t="shared" si="176"/>
        <v>1100</v>
      </c>
      <c r="H64" s="2">
        <f t="shared" si="176"/>
        <v>9495</v>
      </c>
      <c r="I64" s="2">
        <f t="shared" si="176"/>
        <v>8635</v>
      </c>
      <c r="J64" s="2">
        <f t="shared" si="176"/>
        <v>6350</v>
      </c>
      <c r="K64" s="2">
        <f t="shared" ref="K64" si="177">((K61)+(K62))+(K63)</f>
        <v>2314.666666666667</v>
      </c>
      <c r="L64" s="2">
        <f t="shared" ref="L64" si="178">((L61)+(L62))+(L63)</f>
        <v>2314.6666666666665</v>
      </c>
      <c r="M64" s="2">
        <f t="shared" ref="M64" si="179">((M61)+(M62))+(M63)</f>
        <v>2314.6666666666665</v>
      </c>
      <c r="N64" s="15">
        <f t="shared" si="2"/>
        <v>52172.659999999996</v>
      </c>
      <c r="O64" s="7">
        <f t="shared" ref="O64" si="180">((O61)+(O62))+(O63)</f>
        <v>2314.666666666667</v>
      </c>
      <c r="P64" s="2">
        <f t="shared" ref="P64" si="181">((P61)+(P62))+(P63)</f>
        <v>2016.1388888888887</v>
      </c>
      <c r="Q64" s="2">
        <f t="shared" ref="Q64" si="182">((Q61)+(Q62))+(Q63)</f>
        <v>1843.7337962962961</v>
      </c>
      <c r="R64" s="2">
        <f t="shared" ref="R64" si="183">((R61)+(R62))+(R63)</f>
        <v>4230.7116126543206</v>
      </c>
      <c r="S64" s="2">
        <f t="shared" ref="S64" si="184">((S61)+(S62))+(S63)</f>
        <v>1641.6042470421812</v>
      </c>
      <c r="T64" s="2">
        <f t="shared" ref="T64" si="185">((T61)+(T62))+(T63)</f>
        <v>1707.5712676290295</v>
      </c>
      <c r="U64" s="2">
        <f t="shared" ref="U64" si="186">((U61)+(U62))+(U63)</f>
        <v>1716.5355399314485</v>
      </c>
      <c r="V64" s="2">
        <f t="shared" ref="V64" si="187">((V61)+(V62))+(V63)</f>
        <v>1788.746834925736</v>
      </c>
      <c r="W64" s="2">
        <f t="shared" ref="W64" si="188">((W61)+(W62))+(W63)</f>
        <v>1866.9757378362142</v>
      </c>
      <c r="X64" s="2">
        <f t="shared" ref="X64" si="189">((X61)+(X62))+(X63)</f>
        <v>1951.7237159892318</v>
      </c>
      <c r="Y64" s="2">
        <f t="shared" ref="Y64" si="190">((Y61)+(Y62))+(Y63)</f>
        <v>1921.4784700994458</v>
      </c>
      <c r="Z64" s="2">
        <f t="shared" ref="Z64" si="191">((Z61)+(Z62))+(Z63)</f>
        <v>1888.7127870521772</v>
      </c>
      <c r="AA64" s="15">
        <f t="shared" si="3"/>
        <v>24888.599565011638</v>
      </c>
      <c r="AB64" s="31"/>
    </row>
    <row r="65" spans="1:28" x14ac:dyDescent="0.25">
      <c r="A65" s="9" t="s">
        <v>57</v>
      </c>
      <c r="B65" s="6">
        <v>0</v>
      </c>
      <c r="C65" s="6">
        <f>59.67</f>
        <v>59.67</v>
      </c>
      <c r="D65" s="6">
        <f>5000</f>
        <v>5000</v>
      </c>
      <c r="E65" s="6">
        <f>5000</f>
        <v>5000</v>
      </c>
      <c r="F65" s="6">
        <f>5241.09</f>
        <v>5241.09</v>
      </c>
      <c r="G65" s="6">
        <f>5000</f>
        <v>5000</v>
      </c>
      <c r="H65" s="6">
        <f>5000</f>
        <v>5000</v>
      </c>
      <c r="I65" s="6">
        <f>5134.31</f>
        <v>5134.3100000000004</v>
      </c>
      <c r="J65" s="6">
        <f>5000</f>
        <v>5000</v>
      </c>
      <c r="K65" s="6">
        <f>5000</f>
        <v>5000</v>
      </c>
      <c r="L65" s="6">
        <f>5000</f>
        <v>5000</v>
      </c>
      <c r="M65" s="6">
        <f>5000</f>
        <v>5000</v>
      </c>
      <c r="N65" s="14">
        <f t="shared" si="2"/>
        <v>50435.070000000007</v>
      </c>
      <c r="O65" s="6">
        <f>5000</f>
        <v>5000</v>
      </c>
      <c r="P65" s="6">
        <f>5000</f>
        <v>5000</v>
      </c>
      <c r="Q65" s="6">
        <f>5000</f>
        <v>5000</v>
      </c>
      <c r="R65" s="6">
        <f>5000</f>
        <v>5000</v>
      </c>
      <c r="S65" s="6">
        <f>5000</f>
        <v>5000</v>
      </c>
      <c r="T65" s="6">
        <v>-9000</v>
      </c>
      <c r="U65" s="6">
        <v>1000</v>
      </c>
      <c r="V65" s="6">
        <v>1000</v>
      </c>
      <c r="W65" s="6">
        <v>1000</v>
      </c>
      <c r="X65" s="6">
        <v>1000</v>
      </c>
      <c r="Y65" s="6">
        <v>1000</v>
      </c>
      <c r="Z65" s="6">
        <v>1000</v>
      </c>
      <c r="AA65" s="14">
        <f t="shared" si="3"/>
        <v>22000</v>
      </c>
      <c r="AB65" s="31"/>
    </row>
    <row r="66" spans="1:28" x14ac:dyDescent="0.25">
      <c r="A66" s="9" t="s">
        <v>58</v>
      </c>
      <c r="B66" s="3">
        <v>0</v>
      </c>
      <c r="C66" s="4">
        <v>0</v>
      </c>
      <c r="D66" s="4">
        <v>0</v>
      </c>
      <c r="E66" s="6">
        <f>125</f>
        <v>125</v>
      </c>
      <c r="F66" s="4">
        <v>0</v>
      </c>
      <c r="G66" s="4">
        <v>0</v>
      </c>
      <c r="H66" s="4">
        <v>0</v>
      </c>
      <c r="I66" s="6">
        <f>7.36</f>
        <v>7.36</v>
      </c>
      <c r="J66" s="4">
        <v>0</v>
      </c>
      <c r="K66" s="6">
        <f>AVERAGE($B66:J66)</f>
        <v>14.706666666666669</v>
      </c>
      <c r="L66" s="6">
        <f>AVERAGE($B66:K66)</f>
        <v>14.706666666666669</v>
      </c>
      <c r="M66" s="6">
        <f>AVERAGE($B66:L66)</f>
        <v>14.706666666666671</v>
      </c>
      <c r="N66" s="14">
        <f t="shared" si="2"/>
        <v>176.48000000000005</v>
      </c>
      <c r="O66" s="5">
        <f>AVERAGE(B66:M66)</f>
        <v>14.706666666666671</v>
      </c>
      <c r="P66" s="6">
        <f>AVERAGE(C66:$M66,$O66:O66)</f>
        <v>15.932222222222228</v>
      </c>
      <c r="Q66" s="6">
        <f>AVERAGE(D66:$M66,$O66:P66)</f>
        <v>17.259907407407415</v>
      </c>
      <c r="R66" s="6">
        <f>AVERAGE(E66:$M66,$O66:Q66)</f>
        <v>18.698233024691366</v>
      </c>
      <c r="S66" s="6">
        <f>AVERAGE(F66:$M66,$O66:R66)</f>
        <v>9.8397524434156391</v>
      </c>
      <c r="T66" s="6">
        <f>AVERAGE(G66:$M66,$O66:S66)</f>
        <v>10.659731813700276</v>
      </c>
      <c r="U66" s="6">
        <f>AVERAGE(H66:$M66,$O66:T66)</f>
        <v>11.548042798175297</v>
      </c>
      <c r="V66" s="6">
        <f>AVERAGE(I66:$M66,$O66:U66)</f>
        <v>12.510379698023238</v>
      </c>
      <c r="W66" s="6">
        <f>AVERAGE(J66:$M66,$O66:V66)</f>
        <v>12.939578006191843</v>
      </c>
      <c r="X66" s="6">
        <f>AVERAGE(K66:$M66,$O66:W66)</f>
        <v>14.017876173374496</v>
      </c>
      <c r="Y66" s="6">
        <f>AVERAGE(L66:$M66,$O66:X66)</f>
        <v>13.960476965600151</v>
      </c>
      <c r="Z66" s="6">
        <f>AVERAGE(M66:$M66,$O66:Y66)</f>
        <v>13.898294490511276</v>
      </c>
      <c r="AA66" s="14">
        <f t="shared" si="3"/>
        <v>165.97116170997987</v>
      </c>
      <c r="AB66" s="31"/>
    </row>
    <row r="67" spans="1:28" s="39" customFormat="1" x14ac:dyDescent="0.25">
      <c r="A67" s="35" t="s">
        <v>59</v>
      </c>
      <c r="B67" s="27">
        <v>0</v>
      </c>
      <c r="C67" s="32">
        <f>164.59</f>
        <v>164.59</v>
      </c>
      <c r="D67" s="32">
        <f>379</f>
        <v>379</v>
      </c>
      <c r="E67" s="26">
        <v>0</v>
      </c>
      <c r="F67" s="32">
        <f>5</f>
        <v>5</v>
      </c>
      <c r="G67" s="26">
        <v>0</v>
      </c>
      <c r="H67" s="26">
        <v>0</v>
      </c>
      <c r="I67" s="32">
        <f>150</f>
        <v>150</v>
      </c>
      <c r="J67" s="26"/>
      <c r="K67" s="32">
        <f>AVERAGE($B67:J67)</f>
        <v>87.323750000000004</v>
      </c>
      <c r="L67" s="32">
        <f>AVERAGE($B67:K67)</f>
        <v>87.323750000000004</v>
      </c>
      <c r="M67" s="32">
        <f>AVERAGE($B67:L67)</f>
        <v>87.323750000000004</v>
      </c>
      <c r="N67" s="37">
        <f t="shared" si="2"/>
        <v>960.56125000000009</v>
      </c>
      <c r="O67" s="36">
        <f>AVERAGE(B67:M67)</f>
        <v>87.323750000000004</v>
      </c>
      <c r="P67" s="32">
        <f>AVERAGE(C67:$M67,$O67:O67)</f>
        <v>95.26227272727273</v>
      </c>
      <c r="Q67" s="32">
        <f>AVERAGE(D67:$M67,$O67:P67)</f>
        <v>88.959752066115712</v>
      </c>
      <c r="R67" s="32">
        <f>AVERAGE(E67:$M67,$O67:Q67)</f>
        <v>62.592456799398953</v>
      </c>
      <c r="S67" s="32">
        <f>AVERAGE(F67:$M67,$O67:R67)</f>
        <v>68.28268014479886</v>
      </c>
      <c r="T67" s="32">
        <f>AVERAGE(G67:$M67,$O67:S67)</f>
        <v>74.035651067053308</v>
      </c>
      <c r="U67" s="32">
        <f>AVERAGE(H67:$M67,$O67:T67)</f>
        <v>80.766164800421791</v>
      </c>
      <c r="V67" s="32">
        <f>AVERAGE(I67:$M67,$O67:U67)</f>
        <v>88.108543418641958</v>
      </c>
      <c r="W67" s="32">
        <f>AVERAGE(J67:$M67,$O67:V67)</f>
        <v>82.482047365791217</v>
      </c>
      <c r="X67" s="32">
        <f>AVERAGE(K67:$M67,$O67:W67)</f>
        <v>82.482047365791217</v>
      </c>
      <c r="Y67" s="32">
        <f>AVERAGE(L67:$M67,$O67:X67)</f>
        <v>82.078572146273828</v>
      </c>
      <c r="Z67" s="32">
        <f>AVERAGE(M67:$M67,$O67:Y67)</f>
        <v>81.641473991796644</v>
      </c>
      <c r="AA67" s="37">
        <f t="shared" si="3"/>
        <v>974.01541189335626</v>
      </c>
      <c r="AB67" s="38"/>
    </row>
    <row r="68" spans="1:28" x14ac:dyDescent="0.25">
      <c r="A68" s="9" t="s">
        <v>60</v>
      </c>
      <c r="B68" s="5">
        <f>161.92</f>
        <v>161.91999999999999</v>
      </c>
      <c r="C68" s="6">
        <f>313.14</f>
        <v>313.14</v>
      </c>
      <c r="D68" s="6">
        <f>429.62</f>
        <v>429.62</v>
      </c>
      <c r="E68" s="6">
        <f>165.34</f>
        <v>165.34</v>
      </c>
      <c r="F68" s="6">
        <f>165.34</f>
        <v>165.34</v>
      </c>
      <c r="G68" s="6">
        <f>165.34</f>
        <v>165.34</v>
      </c>
      <c r="H68" s="6">
        <f>165.35</f>
        <v>165.35</v>
      </c>
      <c r="I68" s="6">
        <f>165.35</f>
        <v>165.35</v>
      </c>
      <c r="J68" s="6">
        <f>165.51</f>
        <v>165.51</v>
      </c>
      <c r="K68" s="6">
        <f>165.35</f>
        <v>165.35</v>
      </c>
      <c r="L68" s="6">
        <f>165.35</f>
        <v>165.35</v>
      </c>
      <c r="M68" s="6">
        <f>165.35</f>
        <v>165.35</v>
      </c>
      <c r="N68" s="14">
        <f t="shared" si="2"/>
        <v>2392.9599999999996</v>
      </c>
      <c r="O68" s="6">
        <f t="shared" ref="O68:Z68" si="192">165.35</f>
        <v>165.35</v>
      </c>
      <c r="P68" s="6">
        <f t="shared" si="192"/>
        <v>165.35</v>
      </c>
      <c r="Q68" s="6">
        <f t="shared" si="192"/>
        <v>165.35</v>
      </c>
      <c r="R68" s="6">
        <f t="shared" si="192"/>
        <v>165.35</v>
      </c>
      <c r="S68" s="6">
        <f t="shared" si="192"/>
        <v>165.35</v>
      </c>
      <c r="T68" s="6">
        <f t="shared" si="192"/>
        <v>165.35</v>
      </c>
      <c r="U68" s="6">
        <f t="shared" si="192"/>
        <v>165.35</v>
      </c>
      <c r="V68" s="6">
        <f t="shared" si="192"/>
        <v>165.35</v>
      </c>
      <c r="W68" s="6">
        <f t="shared" si="192"/>
        <v>165.35</v>
      </c>
      <c r="X68" s="6">
        <f t="shared" si="192"/>
        <v>165.35</v>
      </c>
      <c r="Y68" s="6">
        <f t="shared" si="192"/>
        <v>165.35</v>
      </c>
      <c r="Z68" s="6">
        <f t="shared" si="192"/>
        <v>165.35</v>
      </c>
      <c r="AA68" s="14">
        <f t="shared" si="3"/>
        <v>1984.1999999999996</v>
      </c>
      <c r="AB68" s="31"/>
    </row>
    <row r="69" spans="1:28" x14ac:dyDescent="0.25">
      <c r="A69" s="9" t="s">
        <v>61</v>
      </c>
      <c r="B69" s="5">
        <f>351.22</f>
        <v>351.22</v>
      </c>
      <c r="C69" s="6">
        <f>51.91</f>
        <v>51.91</v>
      </c>
      <c r="D69" s="6">
        <f>99</f>
        <v>99</v>
      </c>
      <c r="E69" s="6">
        <f>8.21</f>
        <v>8.2100000000000009</v>
      </c>
      <c r="F69" s="6">
        <f>151.22</f>
        <v>151.22</v>
      </c>
      <c r="G69" s="4">
        <v>0</v>
      </c>
      <c r="H69" s="6">
        <f>51.9</f>
        <v>51.9</v>
      </c>
      <c r="I69" s="6">
        <f>227.27</f>
        <v>227.27</v>
      </c>
      <c r="J69" s="6">
        <f>373.79</f>
        <v>373.79</v>
      </c>
      <c r="K69" s="6">
        <f>AVERAGE($B69:J69)</f>
        <v>146.05777777777777</v>
      </c>
      <c r="L69" s="6">
        <f>AVERAGE($B69:K69)</f>
        <v>146.05777777777777</v>
      </c>
      <c r="M69" s="6">
        <f>AVERAGE($B69:L69)</f>
        <v>146.05777777777777</v>
      </c>
      <c r="N69" s="14">
        <f t="shared" si="2"/>
        <v>1752.6933333333334</v>
      </c>
      <c r="O69" s="5">
        <f>AVERAGE(B69:M69)</f>
        <v>146.05777777777777</v>
      </c>
      <c r="P69" s="6">
        <f>AVERAGE(C69:$M69,$O69:O69)</f>
        <v>128.96092592592592</v>
      </c>
      <c r="Q69" s="6">
        <f>AVERAGE(D69:$M69,$O69:P69)</f>
        <v>135.38183641975311</v>
      </c>
      <c r="R69" s="6">
        <f>AVERAGE(E69:$M69,$O69:Q69)</f>
        <v>138.41365612139921</v>
      </c>
      <c r="S69" s="6">
        <f>AVERAGE(F69:$M69,$O69:R69)</f>
        <v>149.26396079818247</v>
      </c>
      <c r="T69" s="6">
        <f>AVERAGE(G69:$M69,$O69:S69)</f>
        <v>149.10095753136434</v>
      </c>
      <c r="U69" s="6">
        <f>AVERAGE(H69:$M69,$O69:T69)</f>
        <v>161.52603732564472</v>
      </c>
      <c r="V69" s="6">
        <f>AVERAGE(I69:$M69,$O69:U69)</f>
        <v>170.6615404361151</v>
      </c>
      <c r="W69" s="6">
        <f>AVERAGE(J69:$M69,$O69:V69)</f>
        <v>165.94416880579135</v>
      </c>
      <c r="X69" s="6">
        <f>AVERAGE(K69:$M69,$O69:W69)</f>
        <v>148.62368287294061</v>
      </c>
      <c r="Y69" s="6">
        <f>AVERAGE(L69:$M69,$O69:X69)</f>
        <v>148.83750829753751</v>
      </c>
      <c r="Z69" s="6">
        <f>AVERAGE(M69:$M69,$O69:Y69)</f>
        <v>149.06915250751749</v>
      </c>
      <c r="AA69" s="14">
        <f t="shared" si="3"/>
        <v>1791.8412048199496</v>
      </c>
      <c r="AB69" s="31"/>
    </row>
    <row r="70" spans="1:28" s="39" customFormat="1" x14ac:dyDescent="0.25">
      <c r="A70" s="35" t="s">
        <v>62</v>
      </c>
      <c r="B70" s="36">
        <f>2027.06</f>
        <v>2027.06</v>
      </c>
      <c r="C70" s="32">
        <f>3399.16</f>
        <v>3399.16</v>
      </c>
      <c r="D70" s="32">
        <f>495.98</f>
        <v>495.98</v>
      </c>
      <c r="E70" s="32">
        <f>450.36</f>
        <v>450.36</v>
      </c>
      <c r="F70" s="32">
        <f>1470.3</f>
        <v>1470.3</v>
      </c>
      <c r="G70" s="32">
        <f>99</f>
        <v>99</v>
      </c>
      <c r="H70" s="32">
        <f>680.39</f>
        <v>680.39</v>
      </c>
      <c r="I70" s="32">
        <f>2125.11</f>
        <v>2125.11</v>
      </c>
      <c r="J70" s="32">
        <f>9080.79</f>
        <v>9080.7900000000009</v>
      </c>
      <c r="K70" s="32">
        <f>AVERAGE($B70:J70)</f>
        <v>2203.1277777777777</v>
      </c>
      <c r="L70" s="32"/>
      <c r="M70" s="32"/>
      <c r="N70" s="37">
        <f t="shared" si="2"/>
        <v>22031.277777777781</v>
      </c>
      <c r="O70" s="36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7">
        <f t="shared" si="3"/>
        <v>0</v>
      </c>
      <c r="AB70" s="38"/>
    </row>
    <row r="71" spans="1:28" x14ac:dyDescent="0.25">
      <c r="A71" s="9" t="s">
        <v>63</v>
      </c>
      <c r="B71" s="5">
        <f>263.49</f>
        <v>263.49</v>
      </c>
      <c r="C71" s="6">
        <f>119.65</f>
        <v>119.65</v>
      </c>
      <c r="D71" s="4">
        <v>0</v>
      </c>
      <c r="E71" s="4">
        <v>0</v>
      </c>
      <c r="F71" s="6">
        <f>804.88</f>
        <v>804.88</v>
      </c>
      <c r="G71" s="4">
        <v>0</v>
      </c>
      <c r="H71" s="6">
        <f>481.52</f>
        <v>481.52</v>
      </c>
      <c r="I71" s="6">
        <f t="shared" ref="I71:J71" si="193">481.52</f>
        <v>481.52</v>
      </c>
      <c r="J71" s="6">
        <f t="shared" si="193"/>
        <v>481.52</v>
      </c>
      <c r="K71" s="6">
        <f>AVERAGE($B71:J71)</f>
        <v>292.50888888888886</v>
      </c>
      <c r="L71" s="6">
        <f>AVERAGE($B71:K71)</f>
        <v>292.50888888888892</v>
      </c>
      <c r="M71" s="6">
        <f>AVERAGE($B71:L71)</f>
        <v>292.50888888888892</v>
      </c>
      <c r="N71" s="14">
        <f t="shared" si="2"/>
        <v>3510.106666666667</v>
      </c>
      <c r="O71" s="5">
        <f>AVERAGE(B71:M71)</f>
        <v>292.50888888888892</v>
      </c>
      <c r="P71" s="6">
        <f>AVERAGE(C71:$M71,$O71:O71)</f>
        <v>294.92712962962969</v>
      </c>
      <c r="Q71" s="6">
        <f>AVERAGE(D71:$M71,$O71:P71)</f>
        <v>309.53355709876547</v>
      </c>
      <c r="R71" s="6">
        <f>AVERAGE(E71:$M71,$O71:Q71)</f>
        <v>335.32802019032926</v>
      </c>
      <c r="S71" s="6">
        <f>AVERAGE(F71:$M71,$O71:R71)</f>
        <v>363.27202187285667</v>
      </c>
      <c r="T71" s="6"/>
      <c r="U71" s="6"/>
      <c r="V71" s="6"/>
      <c r="W71" s="6"/>
      <c r="X71" s="6"/>
      <c r="Y71" s="6"/>
      <c r="Z71" s="6">
        <f>AVERAGE(M71:$M71,$O71:Y71)</f>
        <v>314.67975109489311</v>
      </c>
      <c r="AA71" s="14">
        <f t="shared" si="3"/>
        <v>1910.2493687753631</v>
      </c>
      <c r="AB71" s="31"/>
    </row>
    <row r="72" spans="1:28" x14ac:dyDescent="0.25">
      <c r="A72" s="9" t="s">
        <v>64</v>
      </c>
      <c r="B72" s="3">
        <v>0</v>
      </c>
      <c r="C72" s="4">
        <v>0</v>
      </c>
      <c r="D72" s="4">
        <v>0</v>
      </c>
      <c r="E72" s="6">
        <f>2076</f>
        <v>2076</v>
      </c>
      <c r="F72" s="4">
        <v>0</v>
      </c>
      <c r="G72" s="6">
        <f>186</f>
        <v>186</v>
      </c>
      <c r="H72" s="6">
        <f>186</f>
        <v>186</v>
      </c>
      <c r="I72" s="4">
        <v>0</v>
      </c>
      <c r="J72" s="4">
        <v>0</v>
      </c>
      <c r="K72" s="6">
        <f>AVERAGE($B72:J72)</f>
        <v>272</v>
      </c>
      <c r="L72" s="6">
        <f>AVERAGE($B72:K72)</f>
        <v>272</v>
      </c>
      <c r="M72" s="6">
        <f>AVERAGE($B72:L72)</f>
        <v>272</v>
      </c>
      <c r="N72" s="14">
        <f t="shared" si="2"/>
        <v>3264</v>
      </c>
      <c r="O72" s="5">
        <f>AVERAGE(B72:M72)</f>
        <v>272</v>
      </c>
      <c r="P72" s="6">
        <f>AVERAGE(C72:$M72,$O72:O72)</f>
        <v>294.66666666666669</v>
      </c>
      <c r="Q72" s="6">
        <f>AVERAGE(D72:$M72,$O72:P72)</f>
        <v>319.22222222222223</v>
      </c>
      <c r="R72" s="6">
        <f>AVERAGE(E72:$M72,$O72:Q72)</f>
        <v>345.82407407407408</v>
      </c>
      <c r="S72" s="6">
        <f>AVERAGE(F72:$M72,$O72:R72)</f>
        <v>201.64274691358025</v>
      </c>
      <c r="T72" s="6">
        <f>AVERAGE(G72:$M72,$O72:S72)</f>
        <v>218.44630915637859</v>
      </c>
      <c r="U72" s="6">
        <f>AVERAGE(H72:$M72,$O72:T72)</f>
        <v>221.15016825274347</v>
      </c>
      <c r="V72" s="6">
        <f>AVERAGE(I72:$M72,$O72:U72)</f>
        <v>224.07934894047207</v>
      </c>
      <c r="W72" s="6">
        <f>AVERAGE(J72:$M72,$O72:V72)</f>
        <v>242.75262801884477</v>
      </c>
      <c r="X72" s="6">
        <f>AVERAGE(K72:$M72,$O72:W72)</f>
        <v>262.98201368708186</v>
      </c>
      <c r="Y72" s="6">
        <f>AVERAGE(L72:$M72,$O72:X72)</f>
        <v>262.23051482767198</v>
      </c>
      <c r="Z72" s="6">
        <f>AVERAGE(M72:$M72,$O72:Y72)</f>
        <v>261.41639106331132</v>
      </c>
      <c r="AA72" s="14">
        <f t="shared" si="3"/>
        <v>3126.4130838230471</v>
      </c>
      <c r="AB72" s="31"/>
    </row>
    <row r="73" spans="1:28" x14ac:dyDescent="0.25">
      <c r="A73" s="9" t="s">
        <v>65</v>
      </c>
      <c r="B73" s="7">
        <f t="shared" ref="B73:M73" si="194">((((((((((((((((((((((((((((B18)+(B21))+(B22))+(B23))+(B24))+(B25))+(B26))+(B27))+(B28))+(B29))+(B33))+(B38))+(B39))+(B43))+(B44))+(B47))+(B48))+(B49))+(B59))+(B60))+(B64))+(B65))+(B66))+(B67))+(B68))+(B69))+(B70))+(B71))+(B72)</f>
        <v>112020.77</v>
      </c>
      <c r="C73" s="2">
        <f t="shared" si="194"/>
        <v>105688.5</v>
      </c>
      <c r="D73" s="2">
        <f t="shared" si="194"/>
        <v>116275.05999999998</v>
      </c>
      <c r="E73" s="2">
        <f t="shared" si="194"/>
        <v>119390.96</v>
      </c>
      <c r="F73" s="2">
        <f t="shared" si="194"/>
        <v>120785.53</v>
      </c>
      <c r="G73" s="2">
        <f t="shared" si="194"/>
        <v>109767.77999999998</v>
      </c>
      <c r="H73" s="2">
        <f t="shared" si="194"/>
        <v>127518.90999999999</v>
      </c>
      <c r="I73" s="2">
        <f t="shared" si="194"/>
        <v>185007.89999999997</v>
      </c>
      <c r="J73" s="2">
        <f t="shared" si="194"/>
        <v>249856.37000000002</v>
      </c>
      <c r="K73" s="2">
        <f t="shared" si="194"/>
        <v>228986.8698611111</v>
      </c>
      <c r="L73" s="2">
        <f t="shared" si="194"/>
        <v>226761.77986111111</v>
      </c>
      <c r="M73" s="2">
        <f t="shared" si="194"/>
        <v>215646.94689814813</v>
      </c>
      <c r="N73" s="15">
        <f t="shared" ref="N73:N84" si="195">((((((((B73)+(C73))+(D73))+(E73))+(F73))+(G73))+(H73))+(I73))+(J73)+K73+L73+M73</f>
        <v>1917707.3766203707</v>
      </c>
      <c r="O73" s="7">
        <f>((((((((((((((((((((((((((((O17)+(O21))+(O22))+(O23))+(O24))+(O25))+(O26))+(O27))+(O28))+(O29))+(O33))+(O38))+(O39))+(O43))+(O44))+(O47))+(O48))+(O49))+(O59))+(O60))+(O64))+(O65))+(O66))+(O67))+(O68))+(O69))+(O70))+(O71))+(O72)</f>
        <v>217562.30072530865</v>
      </c>
      <c r="P73" s="2">
        <f t="shared" ref="P73:Z73" si="196">((((((((((((((((((((((((((((P18)+(P21))+(P22))+(P23))+(P24))+(P25))+(P26))+(P27))+(P28))+(P29))+(P33))+(P38))+(P39))+(P43))+(P44))+(P47))+(P48))+(P49))+(P59))+(P60))+(P64))+(P65))+(P66))+(P67))+(P68))+(P69))+(P70))+(P71))+(P72)</f>
        <v>216556.66639257906</v>
      </c>
      <c r="Q73" s="2">
        <f t="shared" si="196"/>
        <v>214588.20390564325</v>
      </c>
      <c r="R73" s="2">
        <f t="shared" si="196"/>
        <v>226320.16275174401</v>
      </c>
      <c r="S73" s="2">
        <f t="shared" si="196"/>
        <v>228188.15379230637</v>
      </c>
      <c r="T73" s="2">
        <f t="shared" si="196"/>
        <v>224011.92642542347</v>
      </c>
      <c r="U73" s="2">
        <f t="shared" si="196"/>
        <v>245915.77340111922</v>
      </c>
      <c r="V73" s="2">
        <f t="shared" si="196"/>
        <v>255845.42157083398</v>
      </c>
      <c r="W73" s="2">
        <f t="shared" si="196"/>
        <v>266184.48974325112</v>
      </c>
      <c r="X73" s="2">
        <f t="shared" si="196"/>
        <v>278589.05103940016</v>
      </c>
      <c r="Y73" s="2">
        <f t="shared" si="196"/>
        <v>291407.79507827491</v>
      </c>
      <c r="Z73" s="2">
        <f t="shared" si="196"/>
        <v>305604.17686710373</v>
      </c>
      <c r="AA73" s="15">
        <f t="shared" ref="AA73:AA84" si="197">((((((((O73)+(P73))+(Q73))+(R73))+(S73))+(T73))+(U73))+(V73))+(W73)+X73+Y73+Z73</f>
        <v>2970774.1216929876</v>
      </c>
      <c r="AB73" s="31"/>
    </row>
    <row r="74" spans="1:28" x14ac:dyDescent="0.25">
      <c r="A74" s="9" t="s">
        <v>66</v>
      </c>
      <c r="B74" s="7">
        <f t="shared" ref="B74:M74" si="198">(B16)-(B73)</f>
        <v>60461.069999999992</v>
      </c>
      <c r="C74" s="2">
        <f t="shared" si="198"/>
        <v>25020.339999999997</v>
      </c>
      <c r="D74" s="2">
        <f t="shared" si="198"/>
        <v>-5333.769999999975</v>
      </c>
      <c r="E74" s="2">
        <f t="shared" si="198"/>
        <v>-1768.7000000000262</v>
      </c>
      <c r="F74" s="2">
        <f t="shared" si="198"/>
        <v>51375.28</v>
      </c>
      <c r="G74" s="2">
        <f t="shared" si="198"/>
        <v>33576.160000000018</v>
      </c>
      <c r="H74" s="2">
        <f t="shared" si="198"/>
        <v>169101.18000000005</v>
      </c>
      <c r="I74" s="2">
        <f t="shared" si="198"/>
        <v>23644.160000000062</v>
      </c>
      <c r="J74" s="2">
        <f t="shared" si="198"/>
        <v>-26256.750000000029</v>
      </c>
      <c r="K74" s="2">
        <f t="shared" si="198"/>
        <v>11936.452361111122</v>
      </c>
      <c r="L74" s="2">
        <f t="shared" si="198"/>
        <v>14206.692608024692</v>
      </c>
      <c r="M74" s="2">
        <f t="shared" si="198"/>
        <v>25326.240289780544</v>
      </c>
      <c r="N74" s="15">
        <f t="shared" si="195"/>
        <v>381288.35525891645</v>
      </c>
      <c r="O74" s="7">
        <f t="shared" ref="O74:Z74" si="199">(O16)-(O73)</f>
        <v>22868.939431298582</v>
      </c>
      <c r="P74" s="2">
        <f t="shared" si="199"/>
        <v>23909.096277078759</v>
      </c>
      <c r="Q74" s="2">
        <f t="shared" si="199"/>
        <v>25880.86898648605</v>
      </c>
      <c r="R74" s="2">
        <f t="shared" si="199"/>
        <v>14186.332881396083</v>
      </c>
      <c r="S74" s="2">
        <f t="shared" si="199"/>
        <v>12320.671476928721</v>
      </c>
      <c r="T74" s="2">
        <f t="shared" si="199"/>
        <v>16539.3009495812</v>
      </c>
      <c r="U74" s="2">
        <f t="shared" si="199"/>
        <v>-5328.8604115308262</v>
      </c>
      <c r="V74" s="2">
        <f t="shared" si="199"/>
        <v>-15390.345832113206</v>
      </c>
      <c r="W74" s="2">
        <f t="shared" si="199"/>
        <v>-25738.523526303616</v>
      </c>
      <c r="X74" s="2">
        <f t="shared" si="199"/>
        <v>-38106.920971040352</v>
      </c>
      <c r="Y74" s="2">
        <f t="shared" si="199"/>
        <v>-50920.764356070315</v>
      </c>
      <c r="Z74" s="2">
        <f t="shared" si="199"/>
        <v>-65115.599623810063</v>
      </c>
      <c r="AA74" s="15">
        <f t="shared" si="197"/>
        <v>-84895.804718098982</v>
      </c>
      <c r="AB74" s="31"/>
    </row>
    <row r="75" spans="1:28" x14ac:dyDescent="0.25">
      <c r="A75" s="9" t="s">
        <v>67</v>
      </c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14">
        <f t="shared" si="195"/>
        <v>0</v>
      </c>
      <c r="O75" s="3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14">
        <f t="shared" si="197"/>
        <v>0</v>
      </c>
      <c r="AB75" s="31"/>
    </row>
    <row r="76" spans="1:28" x14ac:dyDescent="0.25">
      <c r="A76" s="9" t="s">
        <v>68</v>
      </c>
      <c r="B76" s="5">
        <f>28.83</f>
        <v>28.83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14">
        <f t="shared" si="195"/>
        <v>28.83</v>
      </c>
      <c r="O76" s="5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14">
        <f t="shared" si="197"/>
        <v>0</v>
      </c>
      <c r="AB76" s="31"/>
    </row>
    <row r="77" spans="1:28" x14ac:dyDescent="0.25">
      <c r="A77" s="9" t="s">
        <v>69</v>
      </c>
      <c r="B77" s="3"/>
      <c r="C77" s="4"/>
      <c r="D77" s="4"/>
      <c r="E77" s="6">
        <f>68.46</f>
        <v>68.459999999999994</v>
      </c>
      <c r="F77" s="6">
        <f>237.24</f>
        <v>237.24</v>
      </c>
      <c r="G77" s="6">
        <f>142.08</f>
        <v>142.08000000000001</v>
      </c>
      <c r="H77" s="6">
        <f>111.09</f>
        <v>111.09</v>
      </c>
      <c r="I77" s="6">
        <f>251.18</f>
        <v>251.18</v>
      </c>
      <c r="J77" s="6">
        <f>480.45</f>
        <v>480.45</v>
      </c>
      <c r="K77" s="6">
        <f>AVERAGE($B77:J77)</f>
        <v>215.08333333333334</v>
      </c>
      <c r="L77" s="6">
        <f>AVERAGE($B77:K77)</f>
        <v>215.08333333333331</v>
      </c>
      <c r="M77" s="6">
        <f>AVERAGE($B77:L77)</f>
        <v>215.08333333333331</v>
      </c>
      <c r="N77" s="14">
        <f t="shared" si="195"/>
        <v>1935.7499999999998</v>
      </c>
      <c r="O77" s="5">
        <f>AVERAGE(B77:M77)</f>
        <v>215.08333333333331</v>
      </c>
      <c r="P77" s="6">
        <f>AVERAGE(C77:$M77,$O77:O77)</f>
        <v>215.08333333333331</v>
      </c>
      <c r="Q77" s="6">
        <v>300</v>
      </c>
      <c r="R77" s="6">
        <v>600</v>
      </c>
      <c r="S77" s="6">
        <v>700</v>
      </c>
      <c r="T77" s="6">
        <v>800</v>
      </c>
      <c r="U77" s="6">
        <v>900</v>
      </c>
      <c r="V77" s="6">
        <v>1000</v>
      </c>
      <c r="W77" s="6">
        <v>1100</v>
      </c>
      <c r="X77" s="6">
        <v>1200</v>
      </c>
      <c r="Y77" s="6">
        <v>1300</v>
      </c>
      <c r="Z77" s="6">
        <v>1400</v>
      </c>
      <c r="AA77" s="14">
        <f t="shared" si="197"/>
        <v>9730.1666666666661</v>
      </c>
      <c r="AB77" s="31"/>
    </row>
    <row r="78" spans="1:28" x14ac:dyDescent="0.25">
      <c r="A78" s="9" t="s">
        <v>70</v>
      </c>
      <c r="B78" s="7">
        <f t="shared" ref="B78:J78" si="200">(B76)+(B77)</f>
        <v>28.83</v>
      </c>
      <c r="C78" s="2">
        <f t="shared" si="200"/>
        <v>0</v>
      </c>
      <c r="D78" s="2">
        <f t="shared" si="200"/>
        <v>0</v>
      </c>
      <c r="E78" s="2">
        <f t="shared" si="200"/>
        <v>68.459999999999994</v>
      </c>
      <c r="F78" s="2">
        <f t="shared" si="200"/>
        <v>237.24</v>
      </c>
      <c r="G78" s="2">
        <f t="shared" si="200"/>
        <v>142.08000000000001</v>
      </c>
      <c r="H78" s="2">
        <f t="shared" si="200"/>
        <v>111.09</v>
      </c>
      <c r="I78" s="2">
        <f t="shared" si="200"/>
        <v>251.18</v>
      </c>
      <c r="J78" s="2">
        <f t="shared" si="200"/>
        <v>480.45</v>
      </c>
      <c r="K78" s="2">
        <f t="shared" ref="K78" si="201">(K76)+(K77)</f>
        <v>215.08333333333334</v>
      </c>
      <c r="L78" s="2">
        <f t="shared" ref="L78" si="202">(L76)+(L77)</f>
        <v>215.08333333333331</v>
      </c>
      <c r="M78" s="2">
        <f t="shared" ref="M78" si="203">(M76)+(M77)</f>
        <v>215.08333333333331</v>
      </c>
      <c r="N78" s="15">
        <f t="shared" si="195"/>
        <v>1964.58</v>
      </c>
      <c r="O78" s="7">
        <f t="shared" ref="O78" si="204">(O76)+(O77)</f>
        <v>215.08333333333331</v>
      </c>
      <c r="P78" s="2">
        <f t="shared" ref="P78" si="205">(P76)+(P77)</f>
        <v>215.08333333333331</v>
      </c>
      <c r="Q78" s="2">
        <f t="shared" ref="Q78" si="206">(Q76)+(Q77)</f>
        <v>300</v>
      </c>
      <c r="R78" s="2">
        <f t="shared" ref="R78" si="207">(R76)+(R77)</f>
        <v>600</v>
      </c>
      <c r="S78" s="2">
        <f t="shared" ref="S78" si="208">(S76)+(S77)</f>
        <v>700</v>
      </c>
      <c r="T78" s="2">
        <f t="shared" ref="T78" si="209">(T76)+(T77)</f>
        <v>800</v>
      </c>
      <c r="U78" s="2">
        <f t="shared" ref="U78" si="210">(U76)+(U77)</f>
        <v>900</v>
      </c>
      <c r="V78" s="2">
        <f t="shared" ref="V78" si="211">(V76)+(V77)</f>
        <v>1000</v>
      </c>
      <c r="W78" s="2">
        <f t="shared" ref="W78" si="212">(W76)+(W77)</f>
        <v>1100</v>
      </c>
      <c r="X78" s="2">
        <f t="shared" ref="X78" si="213">(X76)+(X77)</f>
        <v>1200</v>
      </c>
      <c r="Y78" s="2">
        <f t="shared" ref="Y78" si="214">(Y76)+(Y77)</f>
        <v>1300</v>
      </c>
      <c r="Z78" s="2">
        <f t="shared" ref="Z78" si="215">(Z76)+(Z77)</f>
        <v>1400</v>
      </c>
      <c r="AA78" s="15">
        <f t="shared" si="197"/>
        <v>9730.1666666666661</v>
      </c>
      <c r="AB78" s="31"/>
    </row>
    <row r="79" spans="1:28" x14ac:dyDescent="0.25">
      <c r="A79" s="9" t="s">
        <v>71</v>
      </c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14">
        <f t="shared" si="195"/>
        <v>0</v>
      </c>
      <c r="O79" s="3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14">
        <f t="shared" si="197"/>
        <v>0</v>
      </c>
      <c r="AB79" s="31"/>
    </row>
    <row r="80" spans="1:28" s="39" customFormat="1" x14ac:dyDescent="0.25">
      <c r="A80" s="35" t="s">
        <v>72</v>
      </c>
      <c r="B80" s="27">
        <v>0</v>
      </c>
      <c r="C80" s="26">
        <v>0</v>
      </c>
      <c r="D80" s="32">
        <f>800</f>
        <v>800</v>
      </c>
      <c r="E80" s="26">
        <v>0</v>
      </c>
      <c r="F80" s="26">
        <v>0</v>
      </c>
      <c r="G80" s="32">
        <f>1000</f>
        <v>1000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  <c r="N80" s="37">
        <f>((((((((B80)+(C80))+(D80))+(E80))+(F80))+(G80))+(H80))+(I80))+(J80)+K80+L80+M80</f>
        <v>1800</v>
      </c>
      <c r="O80" s="27">
        <f>AVERAGE($B80:$D80)</f>
        <v>266.66666666666669</v>
      </c>
      <c r="P80" s="26">
        <f t="shared" ref="P80:Q80" si="216">AVERAGE($B80:$D80)</f>
        <v>266.66666666666669</v>
      </c>
      <c r="Q80" s="26">
        <f t="shared" si="216"/>
        <v>266.66666666666669</v>
      </c>
      <c r="R80" s="26">
        <f>AVERAGE($E80:$G80)</f>
        <v>333.33333333333331</v>
      </c>
      <c r="S80" s="26">
        <f t="shared" ref="S80:T80" si="217">AVERAGE($E80:$G80)</f>
        <v>333.33333333333331</v>
      </c>
      <c r="T80" s="26">
        <f t="shared" si="217"/>
        <v>333.33333333333331</v>
      </c>
      <c r="U80" s="26">
        <f>AVERAGE($H80:$J80)</f>
        <v>0</v>
      </c>
      <c r="V80" s="26">
        <f t="shared" ref="V80:W80" si="218">AVERAGE($H80:$J80)</f>
        <v>0</v>
      </c>
      <c r="W80" s="26">
        <f t="shared" si="218"/>
        <v>0</v>
      </c>
      <c r="X80" s="26">
        <f>AVERAGE($K80:$M80)</f>
        <v>0</v>
      </c>
      <c r="Y80" s="26">
        <f t="shared" ref="Y80:Z80" si="219">AVERAGE($K80:$M80)</f>
        <v>0</v>
      </c>
      <c r="Z80" s="26">
        <f t="shared" si="219"/>
        <v>0</v>
      </c>
      <c r="AA80" s="37">
        <f t="shared" si="197"/>
        <v>1799.9999999999998</v>
      </c>
      <c r="AB80" s="38"/>
    </row>
    <row r="81" spans="1:28" x14ac:dyDescent="0.25">
      <c r="A81" s="9" t="s">
        <v>73</v>
      </c>
      <c r="B81" s="3">
        <v>0</v>
      </c>
      <c r="C81" s="4">
        <v>0</v>
      </c>
      <c r="D81" s="4">
        <v>0</v>
      </c>
      <c r="E81" s="4">
        <v>0</v>
      </c>
      <c r="F81" s="6">
        <f>20</f>
        <v>20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14">
        <f>((((((((B81)+(C81))+(D81))+(E81))+(F81))+(G81))+(H81))+(I81))+(J81)+K81+L81+M81</f>
        <v>20</v>
      </c>
      <c r="O81" s="3">
        <v>0</v>
      </c>
      <c r="P81" s="4">
        <v>0</v>
      </c>
      <c r="Q81" s="4">
        <v>0</v>
      </c>
      <c r="R81" s="4">
        <v>0</v>
      </c>
      <c r="S81" s="6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14">
        <f t="shared" si="197"/>
        <v>0</v>
      </c>
      <c r="AB81" s="31"/>
    </row>
    <row r="82" spans="1:28" x14ac:dyDescent="0.25">
      <c r="A82" s="9" t="s">
        <v>74</v>
      </c>
      <c r="B82" s="7">
        <f t="shared" ref="B82:H82" si="220">(B80)+(B81)</f>
        <v>0</v>
      </c>
      <c r="C82" s="2">
        <f t="shared" si="220"/>
        <v>0</v>
      </c>
      <c r="D82" s="2">
        <f t="shared" si="220"/>
        <v>800</v>
      </c>
      <c r="E82" s="2">
        <f t="shared" si="220"/>
        <v>0</v>
      </c>
      <c r="F82" s="2">
        <f t="shared" si="220"/>
        <v>20</v>
      </c>
      <c r="G82" s="2">
        <f t="shared" si="220"/>
        <v>1000</v>
      </c>
      <c r="H82" s="2">
        <f t="shared" si="220"/>
        <v>0</v>
      </c>
      <c r="I82" s="2">
        <f>(I80)+(I81)</f>
        <v>0</v>
      </c>
      <c r="J82" s="2">
        <f>(J80)+(J81)</f>
        <v>0</v>
      </c>
      <c r="K82" s="2">
        <f t="shared" ref="K82" si="221">(K80)+(K81)</f>
        <v>0</v>
      </c>
      <c r="L82" s="2">
        <f t="shared" ref="L82" si="222">(L80)+(L81)</f>
        <v>0</v>
      </c>
      <c r="M82" s="2">
        <f t="shared" ref="M82" si="223">(M80)+(M81)</f>
        <v>0</v>
      </c>
      <c r="N82" s="15">
        <f t="shared" si="195"/>
        <v>1820</v>
      </c>
      <c r="O82" s="7">
        <f t="shared" ref="O82" si="224">(O80)+(O81)</f>
        <v>266.66666666666669</v>
      </c>
      <c r="P82" s="2">
        <f t="shared" ref="P82" si="225">(P80)+(P81)</f>
        <v>266.66666666666669</v>
      </c>
      <c r="Q82" s="2">
        <f t="shared" ref="Q82" si="226">(Q80)+(Q81)</f>
        <v>266.66666666666669</v>
      </c>
      <c r="R82" s="2">
        <f t="shared" ref="R82" si="227">(R80)+(R81)</f>
        <v>333.33333333333331</v>
      </c>
      <c r="S82" s="2">
        <f t="shared" ref="S82" si="228">(S80)+(S81)</f>
        <v>333.33333333333331</v>
      </c>
      <c r="T82" s="2">
        <f t="shared" ref="T82" si="229">(T80)+(T81)</f>
        <v>333.33333333333331</v>
      </c>
      <c r="U82" s="2">
        <f t="shared" ref="U82" si="230">(U80)+(U81)</f>
        <v>0</v>
      </c>
      <c r="V82" s="2">
        <f t="shared" ref="V82" si="231">(V80)+(V81)</f>
        <v>0</v>
      </c>
      <c r="W82" s="2">
        <f t="shared" ref="W82" si="232">(W80)+(W81)</f>
        <v>0</v>
      </c>
      <c r="X82" s="2">
        <f t="shared" ref="X82" si="233">(X80)+(X81)</f>
        <v>0</v>
      </c>
      <c r="Y82" s="2">
        <f t="shared" ref="Y82" si="234">(Y80)+(Y81)</f>
        <v>0</v>
      </c>
      <c r="Z82" s="2">
        <f t="shared" ref="Z82" si="235">(Z80)+(Z81)</f>
        <v>0</v>
      </c>
      <c r="AA82" s="15">
        <f t="shared" si="197"/>
        <v>1799.9999999999998</v>
      </c>
      <c r="AB82" s="31"/>
    </row>
    <row r="83" spans="1:28" x14ac:dyDescent="0.25">
      <c r="A83" s="9" t="s">
        <v>75</v>
      </c>
      <c r="B83" s="7">
        <f t="shared" ref="B83:J83" si="236">(B78)-(B82)</f>
        <v>28.83</v>
      </c>
      <c r="C83" s="2">
        <f t="shared" si="236"/>
        <v>0</v>
      </c>
      <c r="D83" s="2">
        <f t="shared" si="236"/>
        <v>-800</v>
      </c>
      <c r="E83" s="2">
        <f t="shared" si="236"/>
        <v>68.459999999999994</v>
      </c>
      <c r="F83" s="2">
        <f t="shared" si="236"/>
        <v>217.24</v>
      </c>
      <c r="G83" s="2">
        <f t="shared" si="236"/>
        <v>-857.92</v>
      </c>
      <c r="H83" s="2">
        <f t="shared" si="236"/>
        <v>111.09</v>
      </c>
      <c r="I83" s="2">
        <f t="shared" si="236"/>
        <v>251.18</v>
      </c>
      <c r="J83" s="2">
        <f t="shared" si="236"/>
        <v>480.45</v>
      </c>
      <c r="K83" s="2">
        <f t="shared" ref="K83" si="237">(K78)-(K82)</f>
        <v>215.08333333333334</v>
      </c>
      <c r="L83" s="2">
        <f t="shared" ref="L83" si="238">(L78)-(L82)</f>
        <v>215.08333333333331</v>
      </c>
      <c r="M83" s="2">
        <f t="shared" ref="M83" si="239">(M78)-(M82)</f>
        <v>215.08333333333331</v>
      </c>
      <c r="N83" s="15">
        <f t="shared" si="195"/>
        <v>144.58000000000004</v>
      </c>
      <c r="O83" s="7">
        <f t="shared" ref="O83" si="240">(O78)-(O82)</f>
        <v>-51.583333333333371</v>
      </c>
      <c r="P83" s="2">
        <f t="shared" ref="P83" si="241">(P78)-(P82)</f>
        <v>-51.583333333333371</v>
      </c>
      <c r="Q83" s="2">
        <f t="shared" ref="Q83" si="242">(Q78)-(Q82)</f>
        <v>33.333333333333314</v>
      </c>
      <c r="R83" s="2">
        <f t="shared" ref="R83" si="243">(R78)-(R82)</f>
        <v>266.66666666666669</v>
      </c>
      <c r="S83" s="2">
        <f t="shared" ref="S83" si="244">(S78)-(S82)</f>
        <v>366.66666666666669</v>
      </c>
      <c r="T83" s="2">
        <f t="shared" ref="T83" si="245">(T78)-(T82)</f>
        <v>466.66666666666669</v>
      </c>
      <c r="U83" s="2">
        <f t="shared" ref="U83" si="246">(U78)-(U82)</f>
        <v>900</v>
      </c>
      <c r="V83" s="2">
        <f t="shared" ref="V83" si="247">(V78)-(V82)</f>
        <v>1000</v>
      </c>
      <c r="W83" s="2">
        <f t="shared" ref="W83" si="248">(W78)-(W82)</f>
        <v>1100</v>
      </c>
      <c r="X83" s="2">
        <f t="shared" ref="X83" si="249">(X78)-(X82)</f>
        <v>1200</v>
      </c>
      <c r="Y83" s="2">
        <f t="shared" ref="Y83" si="250">(Y78)-(Y82)</f>
        <v>1300</v>
      </c>
      <c r="Z83" s="2">
        <f t="shared" ref="Z83" si="251">(Z78)-(Z82)</f>
        <v>1400</v>
      </c>
      <c r="AA83" s="15">
        <f t="shared" si="197"/>
        <v>7930.166666666667</v>
      </c>
      <c r="AB83" s="31"/>
    </row>
    <row r="84" spans="1:28" ht="15.75" thickBot="1" x14ac:dyDescent="0.3">
      <c r="A84" s="10" t="s">
        <v>76</v>
      </c>
      <c r="B84" s="11">
        <f t="shared" ref="B84:J84" si="252">(B74)+(B83)</f>
        <v>60489.899999999994</v>
      </c>
      <c r="C84" s="12">
        <f t="shared" si="252"/>
        <v>25020.339999999997</v>
      </c>
      <c r="D84" s="12">
        <f t="shared" si="252"/>
        <v>-6133.769999999975</v>
      </c>
      <c r="E84" s="12">
        <f t="shared" si="252"/>
        <v>-1700.2400000000262</v>
      </c>
      <c r="F84" s="12">
        <f t="shared" si="252"/>
        <v>51592.52</v>
      </c>
      <c r="G84" s="12">
        <f t="shared" si="252"/>
        <v>32718.24000000002</v>
      </c>
      <c r="H84" s="12">
        <f t="shared" si="252"/>
        <v>169212.27000000005</v>
      </c>
      <c r="I84" s="12">
        <f t="shared" si="252"/>
        <v>23895.340000000062</v>
      </c>
      <c r="J84" s="12">
        <f t="shared" si="252"/>
        <v>-25776.300000000028</v>
      </c>
      <c r="K84" s="12">
        <f t="shared" ref="K84" si="253">(K74)+(K83)</f>
        <v>12151.535694444456</v>
      </c>
      <c r="L84" s="12">
        <f t="shared" ref="L84" si="254">(L74)+(L83)</f>
        <v>14421.775941358026</v>
      </c>
      <c r="M84" s="12">
        <f t="shared" ref="M84" si="255">(M74)+(M83)</f>
        <v>25541.323623113876</v>
      </c>
      <c r="N84" s="17">
        <f t="shared" si="195"/>
        <v>381432.9352589164</v>
      </c>
      <c r="O84" s="11">
        <f t="shared" ref="O84" si="256">(O74)+(O83)</f>
        <v>22817.35609796525</v>
      </c>
      <c r="P84" s="12">
        <f t="shared" ref="P84" si="257">(P74)+(P83)</f>
        <v>23857.512943745427</v>
      </c>
      <c r="Q84" s="12">
        <f t="shared" ref="Q84" si="258">(Q74)+(Q83)</f>
        <v>25914.202319819382</v>
      </c>
      <c r="R84" s="12">
        <f t="shared" ref="R84" si="259">(R74)+(R83)</f>
        <v>14452.999548062749</v>
      </c>
      <c r="S84" s="12">
        <f t="shared" ref="S84" si="260">(S74)+(S83)</f>
        <v>12687.338143595387</v>
      </c>
      <c r="T84" s="12">
        <f t="shared" ref="T84" si="261">(T74)+(T83)</f>
        <v>17005.967616247868</v>
      </c>
      <c r="U84" s="12">
        <f t="shared" ref="U84" si="262">(U74)+(U83)</f>
        <v>-4428.8604115308262</v>
      </c>
      <c r="V84" s="12">
        <f t="shared" ref="V84" si="263">(V74)+(V83)</f>
        <v>-14390.345832113206</v>
      </c>
      <c r="W84" s="12">
        <f t="shared" ref="W84" si="264">(W74)+(W83)</f>
        <v>-24638.523526303616</v>
      </c>
      <c r="X84" s="12">
        <f t="shared" ref="X84" si="265">(X74)+(X83)</f>
        <v>-36906.920971040352</v>
      </c>
      <c r="Y84" s="12">
        <f t="shared" ref="Y84" si="266">(Y74)+(Y83)</f>
        <v>-49620.764356070315</v>
      </c>
      <c r="Z84" s="12">
        <f t="shared" ref="Z84" si="267">(Z74)+(Z83)</f>
        <v>-63715.599623810063</v>
      </c>
      <c r="AA84" s="17">
        <f t="shared" si="197"/>
        <v>-76965.638051432295</v>
      </c>
      <c r="AB84" s="31"/>
    </row>
    <row r="85" spans="1:28" x14ac:dyDescent="0.25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8" spans="1:28" x14ac:dyDescent="0.25">
      <c r="A88" s="25"/>
    </row>
  </sheetData>
  <mergeCells count="2">
    <mergeCell ref="B4:J4"/>
    <mergeCell ref="K4:AA4"/>
  </mergeCells>
  <pageMargins left="0.7" right="0.7" top="0.75" bottom="0.75" header="0.3" footer="0.3"/>
  <ignoredErrors>
    <ignoredError sqref="N11 N82:N84 N78 N73:N74 N64:N65 N57:N59 N47 N43 N38 N31:N33 N21 N15:N16 I52:M52 I65 F65 E60 C25 K21:M21 S33 J68:L68 M68:P68 P52 Z52 U52:Y52 Q52:T52 Q68:Z68 K43:M43 K47 L47:M47 O47:V47 W47:Z47 O43:Z43 AA30 AA18 K19 N36:N37 O21:Z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&amp;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Sean Forbes</cp:lastModifiedBy>
  <dcterms:created xsi:type="dcterms:W3CDTF">2023-10-20T22:21:06Z</dcterms:created>
  <dcterms:modified xsi:type="dcterms:W3CDTF">2025-03-12T22:12:19Z</dcterms:modified>
</cp:coreProperties>
</file>