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bimbfm-my.sharepoint.com/personal/pvaldivia_bim-bfm_com/Documents/DATOS/CARPETA TRABAJO/LOCFUND NEXT/EEFF/2021/"/>
    </mc:Choice>
  </mc:AlternateContent>
  <xr:revisionPtr revIDLastSave="406" documentId="8_{AAB5C728-704E-4AC6-A7EE-DE36A6CB61B3}" xr6:coauthVersionLast="46" xr6:coauthVersionMax="46" xr10:uidLastSave="{D2F51D4D-EDD7-41A0-B187-9C38884FA40C}"/>
  <bookViews>
    <workbookView xWindow="-120" yWindow="-120" windowWidth="20730" windowHeight="11160" tabRatio="773" firstSheet="2" activeTab="3" xr2:uid="{00000000-000D-0000-FFFF-FFFF00000000}"/>
  </bookViews>
  <sheets>
    <sheet name="2013" sheetId="42" state="hidden" r:id="rId1"/>
    <sheet name="2014" sheetId="43" state="hidden" r:id="rId2"/>
    <sheet name="2020" sheetId="49" r:id="rId3"/>
    <sheet name="2021" sheetId="50" r:id="rId4"/>
    <sheet name="CUADROS DE RESPALDO" sheetId="51" state="hidden" r:id="rId5"/>
    <sheet name="Hoja Resumen Cartera" sheetId="5" state="hidden" r:id="rId6"/>
    <sheet name="Country Analysis" sheetId="38" state="hidden" r:id="rId7"/>
    <sheet name="Country Analysis (2)" sheetId="40" state="hidden" r:id="rId8"/>
    <sheet name="Cap" sheetId="46" state="hidden" r:id="rId9"/>
  </sheets>
  <definedNames>
    <definedName name="_xlnm._FilterDatabase" localSheetId="2" hidden="1">'2020'!$A$7:$G$37</definedName>
    <definedName name="_xlnm.Print_Area" localSheetId="5">'Hoja Resumen Cartera'!$A$1:$A$5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51" l="1"/>
  <c r="D28" i="51" l="1"/>
  <c r="C25" i="51" l="1"/>
  <c r="D25" i="51"/>
  <c r="E25" i="51"/>
  <c r="F25" i="51"/>
  <c r="G24" i="51"/>
  <c r="G21" i="51" l="1"/>
  <c r="G22" i="51"/>
  <c r="G23" i="51"/>
  <c r="F12" i="51"/>
  <c r="H25" i="51" l="1"/>
  <c r="B16" i="51"/>
  <c r="G20" i="51"/>
  <c r="G25" i="51" s="1"/>
  <c r="H12" i="51"/>
  <c r="G7" i="51"/>
  <c r="G9" i="51"/>
  <c r="G10" i="51"/>
  <c r="G11" i="51"/>
  <c r="G8" i="51"/>
  <c r="D12" i="51"/>
  <c r="D27" i="51" s="1"/>
  <c r="D29" i="51" s="1"/>
  <c r="E12" i="51"/>
  <c r="I25" i="51" l="1"/>
  <c r="G12" i="51"/>
  <c r="I12" i="51" s="1"/>
  <c r="D85" i="50" l="1"/>
  <c r="C144" i="50"/>
  <c r="B144" i="50"/>
  <c r="B147" i="50"/>
  <c r="C147" i="50"/>
  <c r="C61" i="50"/>
  <c r="C125" i="50"/>
  <c r="C120" i="50"/>
  <c r="C119" i="50"/>
  <c r="C116" i="50"/>
  <c r="C112" i="50"/>
  <c r="C110" i="50"/>
  <c r="C106" i="50"/>
  <c r="C105" i="50"/>
  <c r="C104" i="50"/>
  <c r="C46" i="50"/>
  <c r="B46" i="50"/>
  <c r="C137" i="50" l="1"/>
  <c r="C118" i="50"/>
  <c r="C117" i="50"/>
  <c r="C115" i="50"/>
  <c r="C101" i="50"/>
  <c r="D101" i="50" s="1"/>
  <c r="C93" i="50"/>
  <c r="C76" i="50"/>
  <c r="C73" i="50"/>
  <c r="C70" i="50"/>
  <c r="C42" i="50"/>
  <c r="C38" i="50"/>
  <c r="C34" i="50"/>
  <c r="C30" i="50"/>
  <c r="C26" i="50"/>
  <c r="C22" i="50"/>
  <c r="C18" i="50"/>
  <c r="C13" i="50"/>
  <c r="C12" i="50" s="1"/>
  <c r="C7" i="50"/>
  <c r="F7" i="49"/>
  <c r="C17" i="50" l="1"/>
  <c r="C11" i="50" s="1"/>
  <c r="C51" i="50" s="1"/>
  <c r="C143" i="50"/>
  <c r="C154" i="50" s="1"/>
  <c r="C156" i="50" s="1"/>
  <c r="C160" i="50" s="1"/>
  <c r="C96" i="50" s="1"/>
  <c r="C107" i="50"/>
  <c r="C56" i="50"/>
  <c r="C69" i="50"/>
  <c r="C84" i="50"/>
  <c r="B60" i="50"/>
  <c r="B78" i="50"/>
  <c r="B75" i="50"/>
  <c r="B72" i="50"/>
  <c r="F132" i="49"/>
  <c r="C98" i="50" l="1"/>
  <c r="C80" i="50"/>
  <c r="B141" i="50"/>
  <c r="C111" i="50" s="1"/>
  <c r="C99" i="50" l="1"/>
  <c r="C162" i="50" s="1"/>
  <c r="B79" i="50"/>
  <c r="A120" i="50" l="1"/>
  <c r="B120" i="50"/>
  <c r="D120" i="50" s="1"/>
  <c r="B119" i="50" l="1"/>
  <c r="D119" i="50" s="1"/>
  <c r="B57" i="50"/>
  <c r="C114" i="50"/>
  <c r="B42" i="50" l="1"/>
  <c r="B111" i="50"/>
  <c r="D111" i="50" s="1"/>
  <c r="B112" i="50"/>
  <c r="D112" i="50" s="1"/>
  <c r="B116" i="50"/>
  <c r="D116" i="50" s="1"/>
  <c r="B13" i="50" l="1"/>
  <c r="B12" i="50" s="1"/>
  <c r="B118" i="50" l="1"/>
  <c r="D118" i="50" s="1"/>
  <c r="B117" i="50"/>
  <c r="D117" i="50" s="1"/>
  <c r="B114" i="50"/>
  <c r="D114" i="50" s="1"/>
  <c r="B110" i="50"/>
  <c r="D110" i="50" s="1"/>
  <c r="B106" i="50"/>
  <c r="D106" i="50" s="1"/>
  <c r="B105" i="50"/>
  <c r="D105" i="50" s="1"/>
  <c r="B104" i="50"/>
  <c r="D104" i="50" s="1"/>
  <c r="B125" i="50"/>
  <c r="D125" i="50" s="1"/>
  <c r="B137" i="50"/>
  <c r="A121" i="50"/>
  <c r="A119" i="50"/>
  <c r="A118" i="50"/>
  <c r="A117" i="50"/>
  <c r="A116" i="50"/>
  <c r="A115" i="50"/>
  <c r="A114" i="50"/>
  <c r="A113" i="50"/>
  <c r="A112" i="50"/>
  <c r="A111" i="50"/>
  <c r="A110" i="50"/>
  <c r="A106" i="50"/>
  <c r="A105" i="50"/>
  <c r="A104" i="50"/>
  <c r="B101" i="50"/>
  <c r="B93" i="50"/>
  <c r="B90" i="50"/>
  <c r="B89" i="50"/>
  <c r="B88" i="50"/>
  <c r="B87" i="50"/>
  <c r="B86" i="50"/>
  <c r="B85" i="50"/>
  <c r="B76" i="50"/>
  <c r="B73" i="50"/>
  <c r="B70" i="50"/>
  <c r="B56" i="50"/>
  <c r="B38" i="50"/>
  <c r="B34" i="50"/>
  <c r="B30" i="50"/>
  <c r="B26" i="50"/>
  <c r="B22" i="50"/>
  <c r="B18" i="50"/>
  <c r="E9" i="49"/>
  <c r="F127" i="49"/>
  <c r="E127" i="49"/>
  <c r="D107" i="50" l="1"/>
  <c r="B107" i="50"/>
  <c r="B17" i="50"/>
  <c r="B11" i="50" s="1"/>
  <c r="B143" i="50"/>
  <c r="B115" i="50"/>
  <c r="D115" i="50" s="1"/>
  <c r="B69" i="50"/>
  <c r="B80" i="50" s="1"/>
  <c r="B84" i="50"/>
  <c r="B7" i="50"/>
  <c r="B51" i="50" s="1"/>
  <c r="F9" i="49"/>
  <c r="D12" i="50" l="1"/>
  <c r="D48" i="50"/>
  <c r="D51" i="50"/>
  <c r="D47" i="50"/>
  <c r="D49" i="50"/>
  <c r="D50" i="50"/>
  <c r="D46" i="50"/>
  <c r="B154" i="50"/>
  <c r="B156" i="50" s="1"/>
  <c r="B160" i="50" s="1"/>
  <c r="C113" i="50"/>
  <c r="C121" i="50" s="1"/>
  <c r="C123" i="50" s="1"/>
  <c r="C127" i="50" s="1"/>
  <c r="B113" i="50"/>
  <c r="D95" i="50"/>
  <c r="D94" i="50"/>
  <c r="D93" i="50"/>
  <c r="F152" i="49"/>
  <c r="B121" i="50" l="1"/>
  <c r="B123" i="50" s="1"/>
  <c r="B127" i="50" s="1"/>
  <c r="D113" i="50"/>
  <c r="D121" i="50" s="1"/>
  <c r="B96" i="50"/>
  <c r="D16" i="50"/>
  <c r="D15" i="50"/>
  <c r="D14" i="50"/>
  <c r="D13" i="50"/>
  <c r="D45" i="50"/>
  <c r="D44" i="50"/>
  <c r="D43" i="50"/>
  <c r="D42" i="50"/>
  <c r="D7" i="50"/>
  <c r="D40" i="50"/>
  <c r="D33" i="50"/>
  <c r="D27" i="50"/>
  <c r="D24" i="50"/>
  <c r="D21" i="50"/>
  <c r="D41" i="50"/>
  <c r="D32" i="50"/>
  <c r="D26" i="50"/>
  <c r="D23" i="50"/>
  <c r="D20" i="50"/>
  <c r="D10" i="50"/>
  <c r="D37" i="50"/>
  <c r="D29" i="50"/>
  <c r="D19" i="50"/>
  <c r="D8" i="50"/>
  <c r="D36" i="50"/>
  <c r="D28" i="50"/>
  <c r="D25" i="50"/>
  <c r="D18" i="50"/>
  <c r="D22" i="50"/>
  <c r="D39" i="50"/>
  <c r="D31" i="50"/>
  <c r="D35" i="50"/>
  <c r="D30" i="50"/>
  <c r="D34" i="50"/>
  <c r="D9" i="50"/>
  <c r="D38" i="50"/>
  <c r="D17" i="50"/>
  <c r="D11" i="50"/>
  <c r="F146" i="49"/>
  <c r="F43" i="49"/>
  <c r="F116" i="49"/>
  <c r="G116" i="49" s="1"/>
  <c r="B98" i="50" l="1"/>
  <c r="B99" i="50" s="1"/>
  <c r="D123" i="50"/>
  <c r="D127" i="50" s="1"/>
  <c r="D111" i="49"/>
  <c r="E111" i="49"/>
  <c r="G111" i="49" s="1"/>
  <c r="F111" i="49"/>
  <c r="A111" i="49"/>
  <c r="B97" i="49"/>
  <c r="C97" i="49"/>
  <c r="D97" i="49"/>
  <c r="E97" i="49"/>
  <c r="F97" i="49"/>
  <c r="G97" i="49" s="1"/>
  <c r="A97" i="49"/>
  <c r="F140" i="49"/>
  <c r="D64" i="50" l="1"/>
  <c r="D77" i="50"/>
  <c r="D59" i="50"/>
  <c r="D58" i="50"/>
  <c r="D88" i="50"/>
  <c r="D84" i="50"/>
  <c r="D76" i="50"/>
  <c r="D96" i="50"/>
  <c r="D98" i="50"/>
  <c r="D75" i="50"/>
  <c r="D91" i="50"/>
  <c r="D60" i="50"/>
  <c r="D63" i="50"/>
  <c r="D72" i="50"/>
  <c r="D61" i="50"/>
  <c r="D69" i="50"/>
  <c r="D65" i="50"/>
  <c r="D78" i="50"/>
  <c r="D74" i="50"/>
  <c r="D56" i="50"/>
  <c r="D99" i="50"/>
  <c r="D87" i="50"/>
  <c r="D79" i="50"/>
  <c r="D70" i="50"/>
  <c r="B162" i="50"/>
  <c r="D92" i="50"/>
  <c r="D71" i="50"/>
  <c r="D90" i="50"/>
  <c r="D86" i="50"/>
  <c r="D73" i="50"/>
  <c r="D80" i="50"/>
  <c r="D62" i="50"/>
  <c r="D89" i="50"/>
  <c r="D57" i="50"/>
  <c r="B56" i="49"/>
  <c r="C56" i="49"/>
  <c r="D56" i="49"/>
  <c r="E56" i="49"/>
  <c r="B62" i="49"/>
  <c r="C62" i="49"/>
  <c r="D62" i="49"/>
  <c r="E62" i="49"/>
  <c r="B59" i="49"/>
  <c r="C59" i="49"/>
  <c r="D59" i="49"/>
  <c r="E59" i="49"/>
  <c r="F59" i="49"/>
  <c r="F62" i="49"/>
  <c r="F56" i="49"/>
  <c r="F55" i="49" l="1"/>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0" i="49"/>
  <c r="F37" i="49" s="1"/>
  <c r="F148" i="49" l="1"/>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85" i="49" s="1"/>
  <c r="G77" i="49" s="1"/>
  <c r="G75" i="49"/>
  <c r="G43" i="49"/>
  <c r="G45" i="49"/>
  <c r="E133" i="49"/>
  <c r="F98" i="49" s="1"/>
  <c r="G44" i="49" l="1"/>
  <c r="G72" i="49"/>
  <c r="G70" i="49"/>
  <c r="G48" i="49"/>
  <c r="G55" i="49"/>
  <c r="G59" i="49"/>
  <c r="G74" i="49"/>
  <c r="G61" i="49"/>
  <c r="G57" i="49"/>
  <c r="G58" i="49"/>
  <c r="G82" i="49"/>
  <c r="G63" i="49"/>
  <c r="G76" i="49"/>
  <c r="G65" i="49"/>
  <c r="G62" i="49"/>
  <c r="G47" i="49"/>
  <c r="G71" i="49"/>
  <c r="G84" i="49"/>
  <c r="G42" i="49"/>
  <c r="G56" i="49"/>
  <c r="G64" i="49"/>
  <c r="G60" i="49"/>
  <c r="G46" i="49"/>
  <c r="G73" i="49"/>
  <c r="G85" i="49"/>
  <c r="F156" i="49"/>
  <c r="E42" i="49"/>
  <c r="A110" i="49"/>
  <c r="D110" i="49"/>
  <c r="E110" i="49"/>
  <c r="G110" i="49" l="1"/>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48" i="49"/>
  <c r="E150" i="49" s="1"/>
  <c r="E154" i="49" s="1"/>
  <c r="E82" i="49" s="1"/>
  <c r="F102" i="49"/>
  <c r="E11" i="49"/>
  <c r="E10" i="49" s="1"/>
  <c r="E37" i="49" s="1"/>
  <c r="F112" i="49" l="1"/>
  <c r="F114" i="49" s="1"/>
  <c r="F118" i="49" s="1"/>
  <c r="E84" i="49"/>
  <c r="A106" i="49"/>
  <c r="D106" i="49"/>
  <c r="G106" i="49" s="1"/>
  <c r="D105" i="49"/>
  <c r="G105" i="49" s="1"/>
  <c r="A105" i="49"/>
  <c r="E104" i="49"/>
  <c r="E85" i="49" l="1"/>
  <c r="D131" i="49"/>
  <c r="E96" i="49" s="1"/>
  <c r="D35" i="49"/>
  <c r="G66" i="49" l="1"/>
  <c r="E156" i="49"/>
  <c r="D103" i="49"/>
  <c r="G103" i="49" s="1"/>
  <c r="A103" i="49"/>
  <c r="A104" i="49"/>
  <c r="C137" i="49"/>
  <c r="B137" i="49"/>
  <c r="D137" i="49"/>
  <c r="E102" i="49" l="1"/>
  <c r="D102" i="49"/>
  <c r="G102" i="49" s="1"/>
  <c r="D104" i="49"/>
  <c r="G104" i="49" s="1"/>
  <c r="D91" i="49" l="1"/>
  <c r="G91" i="49" s="1"/>
  <c r="B128" i="49"/>
  <c r="C128" i="49"/>
  <c r="D90" i="49"/>
  <c r="G90" i="49" s="1"/>
  <c r="D74" i="49" l="1"/>
  <c r="B7" i="49"/>
  <c r="C7" i="49"/>
  <c r="D7" i="49"/>
  <c r="A90" i="49"/>
  <c r="D127" i="49"/>
  <c r="D143" i="49"/>
  <c r="E107" i="49" s="1"/>
  <c r="D73" i="49"/>
  <c r="D71" i="49"/>
  <c r="D76" i="49"/>
  <c r="D72" i="49"/>
  <c r="D75" i="49"/>
  <c r="A102" i="49"/>
  <c r="D128" i="49" l="1"/>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E99" i="49" l="1"/>
  <c r="E112" i="49" s="1"/>
  <c r="E114" i="49" s="1"/>
  <c r="E118" i="49" s="1"/>
  <c r="D148" i="49"/>
  <c r="D150" i="49" s="1"/>
  <c r="D10" i="49"/>
  <c r="D37" i="49" s="1"/>
  <c r="D154" i="49" l="1"/>
  <c r="D82" i="49" s="1"/>
  <c r="D84" i="49" s="1"/>
  <c r="D85" i="49" s="1"/>
  <c r="C98" i="49"/>
  <c r="G98" i="49" s="1"/>
  <c r="D156" i="49" l="1"/>
  <c r="C107" i="49"/>
  <c r="C101" i="49"/>
  <c r="C100" i="49"/>
  <c r="C96" i="49"/>
  <c r="C92" i="49"/>
  <c r="C93" i="49" s="1"/>
  <c r="C134" i="49"/>
  <c r="C148" i="49" s="1"/>
  <c r="C87" i="49"/>
  <c r="C70" i="49"/>
  <c r="C79" i="49"/>
  <c r="C42" i="49"/>
  <c r="C66" i="49" s="1"/>
  <c r="C150" i="49" l="1"/>
  <c r="D99" i="49"/>
  <c r="B96" i="49"/>
  <c r="G96" i="49" s="1"/>
  <c r="A99" i="49"/>
  <c r="B134" i="49"/>
  <c r="B148" i="49" s="1"/>
  <c r="B70" i="49"/>
  <c r="C154" i="49" l="1"/>
  <c r="C82" i="49" s="1"/>
  <c r="C84" i="49" s="1"/>
  <c r="C85" i="49" s="1"/>
  <c r="C156" i="49" s="1"/>
  <c r="D112" i="49"/>
  <c r="D114" i="49" s="1"/>
  <c r="D118" i="49" s="1"/>
  <c r="C99" i="49"/>
  <c r="B99" i="49"/>
  <c r="A101" i="49"/>
  <c r="B101" i="49"/>
  <c r="G101" i="49" s="1"/>
  <c r="G99" i="49" l="1"/>
  <c r="C112" i="49"/>
  <c r="C114" i="49" s="1"/>
  <c r="C118" i="49" s="1"/>
  <c r="B107" i="49"/>
  <c r="G107" i="49" s="1"/>
  <c r="B100" i="49"/>
  <c r="G100" i="49" s="1"/>
  <c r="B92" i="49"/>
  <c r="G92" i="49" s="1"/>
  <c r="G93" i="49" s="1"/>
  <c r="G112" i="49" l="1"/>
  <c r="G114" i="49"/>
  <c r="G118" i="49" s="1"/>
  <c r="B112" i="49"/>
  <c r="B93" i="49"/>
  <c r="D118" i="38"/>
  <c r="D116" i="38"/>
  <c r="D115" i="38"/>
  <c r="D114" i="38"/>
  <c r="D113" i="38"/>
  <c r="D112" i="38"/>
  <c r="D111" i="38"/>
  <c r="D110" i="38"/>
  <c r="D109" i="38"/>
  <c r="D107" i="38"/>
  <c r="D105" i="38"/>
  <c r="D104" i="38"/>
  <c r="D103" i="38"/>
  <c r="D102" i="38"/>
  <c r="D101" i="38"/>
  <c r="D100" i="38"/>
  <c r="D99" i="38"/>
  <c r="D97" i="38"/>
  <c r="D96" i="38"/>
  <c r="D95" i="38"/>
  <c r="D94" i="38"/>
  <c r="D93" i="38"/>
  <c r="D92" i="38"/>
  <c r="D91" i="38"/>
  <c r="D90" i="38"/>
  <c r="D88" i="38"/>
  <c r="D87" i="38"/>
  <c r="D85" i="38"/>
  <c r="D84" i="38"/>
  <c r="D83" i="38"/>
  <c r="D82" i="38"/>
  <c r="D81" i="38"/>
  <c r="D80" i="38"/>
  <c r="D79" i="38"/>
  <c r="D78" i="38"/>
  <c r="D77" i="38"/>
  <c r="D75" i="38"/>
  <c r="D74" i="38"/>
  <c r="D73" i="38"/>
  <c r="D72" i="38"/>
  <c r="D71" i="38"/>
  <c r="D70" i="38"/>
  <c r="D69" i="38"/>
  <c r="D68" i="38"/>
  <c r="D66" i="38"/>
  <c r="D65" i="38"/>
  <c r="D64" i="38"/>
  <c r="D63" i="38"/>
  <c r="D62" i="38"/>
  <c r="D61" i="38"/>
  <c r="D60" i="38"/>
  <c r="D59" i="38"/>
  <c r="D58" i="38"/>
  <c r="D57" i="38"/>
  <c r="D56" i="38"/>
  <c r="D55" i="38"/>
  <c r="D54" i="38"/>
  <c r="D53" i="38"/>
  <c r="D52" i="38"/>
  <c r="D50" i="38"/>
  <c r="D49" i="38"/>
  <c r="D48" i="38"/>
  <c r="D47" i="38"/>
  <c r="D46" i="38"/>
  <c r="D45" i="38"/>
  <c r="D44" i="38"/>
  <c r="D43" i="38"/>
  <c r="D42" i="38"/>
  <c r="D41" i="38"/>
  <c r="D40" i="38"/>
  <c r="D38" i="38"/>
  <c r="D37" i="38"/>
  <c r="D36" i="38"/>
  <c r="D35" i="38"/>
  <c r="D34" i="38"/>
  <c r="D33" i="38"/>
  <c r="D32" i="38"/>
  <c r="D31" i="38"/>
  <c r="D30" i="38"/>
  <c r="D28" i="38"/>
  <c r="D27" i="38"/>
  <c r="D26" i="38"/>
  <c r="D25" i="38"/>
  <c r="D24" i="38"/>
  <c r="D23" i="38"/>
  <c r="D22" i="38"/>
  <c r="D21" i="38"/>
  <c r="D20" i="38"/>
  <c r="D19" i="38"/>
  <c r="D18" i="38"/>
  <c r="D17" i="38"/>
  <c r="D16" i="38"/>
  <c r="D15" i="38"/>
  <c r="D14" i="38"/>
  <c r="D13" i="38"/>
  <c r="D12" i="38"/>
  <c r="D11" i="38"/>
  <c r="D10" i="38"/>
  <c r="D9" i="38"/>
  <c r="D8" i="38"/>
  <c r="D6" i="38"/>
  <c r="D5" i="38"/>
  <c r="D4" i="38"/>
  <c r="D3" i="38"/>
  <c r="D2" i="38"/>
  <c r="C118" i="38"/>
  <c r="C116" i="38"/>
  <c r="C115" i="38"/>
  <c r="C114" i="38"/>
  <c r="C113" i="38"/>
  <c r="C112" i="38"/>
  <c r="C111" i="38"/>
  <c r="C110" i="38"/>
  <c r="C109" i="38"/>
  <c r="C107" i="38"/>
  <c r="C108" i="38" s="1"/>
  <c r="C105" i="38"/>
  <c r="C104" i="38"/>
  <c r="C103" i="38"/>
  <c r="C102" i="38"/>
  <c r="C101" i="38"/>
  <c r="C100" i="38"/>
  <c r="C99" i="38"/>
  <c r="C97" i="38"/>
  <c r="C96" i="38"/>
  <c r="C95" i="38"/>
  <c r="C94" i="38"/>
  <c r="C93" i="38"/>
  <c r="C92" i="38"/>
  <c r="C91" i="38"/>
  <c r="C90" i="38"/>
  <c r="C88" i="38"/>
  <c r="C87" i="38"/>
  <c r="C85" i="38"/>
  <c r="C84" i="38"/>
  <c r="C83" i="38"/>
  <c r="C82" i="38"/>
  <c r="C81" i="38"/>
  <c r="C80" i="38"/>
  <c r="C79" i="38"/>
  <c r="C78" i="38"/>
  <c r="C77" i="38"/>
  <c r="C75" i="38"/>
  <c r="C74" i="38"/>
  <c r="C73" i="38"/>
  <c r="C72" i="38"/>
  <c r="C71" i="38"/>
  <c r="C70" i="38"/>
  <c r="C69" i="38"/>
  <c r="C68" i="38"/>
  <c r="C66" i="38"/>
  <c r="C65" i="38"/>
  <c r="C64" i="38"/>
  <c r="C63" i="38"/>
  <c r="C62" i="38"/>
  <c r="C61" i="38"/>
  <c r="C60" i="38"/>
  <c r="C59" i="38"/>
  <c r="C58" i="38"/>
  <c r="C57" i="38"/>
  <c r="C56" i="38"/>
  <c r="C55" i="38"/>
  <c r="C54" i="38"/>
  <c r="C53" i="38"/>
  <c r="C52" i="38"/>
  <c r="C50" i="38"/>
  <c r="C49" i="38"/>
  <c r="C48" i="38"/>
  <c r="C47" i="38"/>
  <c r="C46" i="38"/>
  <c r="C45" i="38"/>
  <c r="C44" i="38"/>
  <c r="C43" i="38"/>
  <c r="C42" i="38"/>
  <c r="C41" i="38"/>
  <c r="C40" i="38"/>
  <c r="C38" i="38"/>
  <c r="C37" i="38"/>
  <c r="C36" i="38"/>
  <c r="C35" i="38"/>
  <c r="C34" i="38"/>
  <c r="C33" i="38"/>
  <c r="C32" i="38"/>
  <c r="C31" i="38"/>
  <c r="C30" i="38"/>
  <c r="C28" i="38"/>
  <c r="C27" i="38"/>
  <c r="C26" i="38"/>
  <c r="C25" i="38"/>
  <c r="C24" i="38"/>
  <c r="C23" i="38"/>
  <c r="C22" i="38"/>
  <c r="C21" i="38"/>
  <c r="C20" i="38"/>
  <c r="C19" i="38"/>
  <c r="C18" i="38"/>
  <c r="C17" i="38"/>
  <c r="C16" i="38"/>
  <c r="C15" i="38"/>
  <c r="C14" i="38"/>
  <c r="C13" i="38"/>
  <c r="C12" i="38"/>
  <c r="C11" i="38"/>
  <c r="C10" i="38"/>
  <c r="C9" i="38"/>
  <c r="C8" i="38"/>
  <c r="C6" i="38"/>
  <c r="C5" i="38"/>
  <c r="C4" i="38"/>
  <c r="C3" i="38"/>
  <c r="C2" i="38"/>
  <c r="I51" i="5"/>
  <c r="I55" i="5"/>
  <c r="I64" i="5"/>
  <c r="I73" i="5"/>
  <c r="I75" i="5"/>
  <c r="I92" i="5"/>
  <c r="I94" i="5"/>
  <c r="I106" i="5"/>
  <c r="I111" i="5"/>
  <c r="I121" i="5"/>
  <c r="I103" i="5"/>
  <c r="I54" i="5"/>
  <c r="I72" i="5"/>
  <c r="I33" i="5"/>
  <c r="I70" i="5"/>
  <c r="I42" i="5"/>
  <c r="I108" i="5"/>
  <c r="I83" i="5"/>
  <c r="I120" i="5"/>
  <c r="I41" i="5"/>
  <c r="I102" i="5"/>
  <c r="I110" i="5"/>
  <c r="I82" i="5"/>
  <c r="I69" i="5"/>
  <c r="I101" i="5"/>
  <c r="I31" i="5"/>
  <c r="I119" i="5"/>
  <c r="I81" i="5"/>
  <c r="I30" i="5"/>
  <c r="I53" i="5"/>
  <c r="I100" i="5"/>
  <c r="I67" i="5"/>
  <c r="I52" i="5"/>
  <c r="I68" i="5"/>
  <c r="I66" i="5"/>
  <c r="I29" i="5"/>
  <c r="I109" i="5"/>
  <c r="I99" i="5"/>
  <c r="I80" i="5"/>
  <c r="I107" i="5"/>
  <c r="I28" i="5"/>
  <c r="I50" i="5"/>
  <c r="I79" i="5"/>
  <c r="I49" i="5"/>
  <c r="I65" i="5"/>
  <c r="I48" i="5"/>
  <c r="I118" i="5"/>
  <c r="I117" i="5"/>
  <c r="I116" i="5"/>
  <c r="I95" i="5"/>
  <c r="I27" i="5"/>
  <c r="I63" i="5"/>
  <c r="I62" i="5"/>
  <c r="I78" i="5"/>
  <c r="I40" i="5"/>
  <c r="I47" i="5"/>
  <c r="I98" i="5"/>
  <c r="I61" i="5"/>
  <c r="I26" i="5"/>
  <c r="I115" i="5"/>
  <c r="I60" i="5"/>
  <c r="I25" i="5"/>
  <c r="I46" i="5"/>
  <c r="I97" i="5"/>
  <c r="I59" i="5"/>
  <c r="I96" i="5"/>
  <c r="I93" i="5"/>
  <c r="I77" i="5"/>
  <c r="I114" i="5"/>
  <c r="I24" i="5"/>
  <c r="I23" i="5"/>
  <c r="I76" i="5"/>
  <c r="I45" i="5"/>
  <c r="I39" i="5"/>
  <c r="I44" i="5"/>
  <c r="I91" i="5"/>
  <c r="I22" i="5"/>
  <c r="I58" i="5"/>
  <c r="I113" i="5"/>
  <c r="I21" i="5"/>
  <c r="I38" i="5"/>
  <c r="I57" i="5"/>
  <c r="I122" i="5"/>
  <c r="I20" i="5"/>
  <c r="I105" i="5"/>
  <c r="I90" i="5"/>
  <c r="I112" i="5"/>
  <c r="I56" i="5"/>
  <c r="I19" i="5"/>
  <c r="I43" i="5"/>
  <c r="I37" i="5"/>
  <c r="I18" i="5"/>
  <c r="I89" i="5"/>
  <c r="I88" i="5"/>
  <c r="I87" i="5"/>
  <c r="I86" i="5"/>
  <c r="I35" i="5"/>
  <c r="I17" i="5"/>
  <c r="I36" i="5"/>
  <c r="I16" i="5"/>
  <c r="I74" i="5"/>
  <c r="I34" i="5"/>
  <c r="I104" i="5"/>
  <c r="I85" i="5"/>
  <c r="I84" i="5"/>
  <c r="I15" i="5"/>
  <c r="I14" i="5"/>
  <c r="I13" i="5"/>
  <c r="I11" i="5"/>
  <c r="I10" i="5"/>
  <c r="I9" i="5"/>
  <c r="I8" i="5"/>
  <c r="I7" i="5"/>
  <c r="I71" i="5"/>
  <c r="B150" i="49"/>
  <c r="B154" i="49" s="1"/>
  <c r="B82" i="49" s="1"/>
  <c r="B87" i="49"/>
  <c r="B79" i="49"/>
  <c r="B42" i="49"/>
  <c r="B66" i="49" s="1"/>
  <c r="I12" i="5"/>
  <c r="I6" i="5"/>
  <c r="B114" i="49" l="1"/>
  <c r="B118" i="49" s="1"/>
  <c r="I32" i="5"/>
  <c r="D89" i="38"/>
  <c r="D76" i="38"/>
  <c r="D98" i="38"/>
  <c r="D86" i="38"/>
  <c r="D39" i="38"/>
  <c r="C7" i="38"/>
  <c r="I5" i="5"/>
  <c r="B84" i="49" l="1"/>
  <c r="B85" i="49" s="1"/>
  <c r="B156" i="49" s="1"/>
  <c r="E123" i="38" l="1"/>
  <c r="J5" i="5"/>
  <c r="K5" i="5" s="1"/>
  <c r="G81" i="49"/>
  <c r="G50" i="49"/>
  <c r="G49" i="49"/>
  <c r="G80" i="49"/>
  <c r="G51" i="49"/>
  <c r="G78" i="49"/>
  <c r="G79" i="49"/>
  <c r="H51" i="5" l="1"/>
  <c r="H55" i="5"/>
  <c r="H64" i="5"/>
  <c r="H73" i="5"/>
  <c r="H75" i="5"/>
  <c r="H86" i="5"/>
  <c r="H87" i="5"/>
  <c r="H94" i="5"/>
  <c r="H111" i="5"/>
  <c r="D108" i="38" l="1"/>
  <c r="H103" i="5"/>
  <c r="H54" i="5"/>
  <c r="H72" i="5"/>
  <c r="H33" i="5"/>
  <c r="H70" i="5"/>
  <c r="H42" i="5"/>
  <c r="H108" i="5"/>
  <c r="H83" i="5"/>
  <c r="H120" i="5"/>
  <c r="H41" i="5"/>
  <c r="H102" i="5"/>
  <c r="H110" i="5"/>
  <c r="H82" i="5"/>
  <c r="H69" i="5"/>
  <c r="H101" i="5"/>
  <c r="H31" i="5"/>
  <c r="H119" i="5"/>
  <c r="H81" i="5"/>
  <c r="H30" i="5"/>
  <c r="H53" i="5"/>
  <c r="H100" i="5"/>
  <c r="H67" i="5"/>
  <c r="H52" i="5"/>
  <c r="H68" i="5"/>
  <c r="H66" i="5"/>
  <c r="H29" i="5"/>
  <c r="H109" i="5"/>
  <c r="H99" i="5"/>
  <c r="H80" i="5"/>
  <c r="H107" i="5"/>
  <c r="H28" i="5"/>
  <c r="H50" i="5"/>
  <c r="H79" i="5"/>
  <c r="H49" i="5"/>
  <c r="H65" i="5"/>
  <c r="H48" i="5"/>
  <c r="H118" i="5"/>
  <c r="H117" i="5"/>
  <c r="H116" i="5"/>
  <c r="H95" i="5"/>
  <c r="H92" i="5"/>
  <c r="H27" i="5"/>
  <c r="H63" i="5"/>
  <c r="H62" i="5"/>
  <c r="H78" i="5"/>
  <c r="H40" i="5"/>
  <c r="H47" i="5"/>
  <c r="H98" i="5"/>
  <c r="H61" i="5"/>
  <c r="H26" i="5"/>
  <c r="H115" i="5"/>
  <c r="H60" i="5"/>
  <c r="H25" i="5"/>
  <c r="H46" i="5"/>
  <c r="H97" i="5"/>
  <c r="H59" i="5"/>
  <c r="H96" i="5"/>
  <c r="H93" i="5"/>
  <c r="H77" i="5"/>
  <c r="H114" i="5"/>
  <c r="H24" i="5"/>
  <c r="H23" i="5"/>
  <c r="H76" i="5"/>
  <c r="H45" i="5"/>
  <c r="H39" i="5"/>
  <c r="H44" i="5"/>
  <c r="H91" i="5"/>
  <c r="H106" i="5"/>
  <c r="H22" i="5"/>
  <c r="H58" i="5"/>
  <c r="H113" i="5"/>
  <c r="H21" i="5"/>
  <c r="H38" i="5"/>
  <c r="H57" i="5"/>
  <c r="H122" i="5"/>
  <c r="H20" i="5"/>
  <c r="H105" i="5"/>
  <c r="H90" i="5"/>
  <c r="H112" i="5"/>
  <c r="H56" i="5"/>
  <c r="H19" i="5"/>
  <c r="H43" i="5"/>
  <c r="H37" i="5"/>
  <c r="H18" i="5"/>
  <c r="H89" i="5"/>
  <c r="H88" i="5"/>
  <c r="H121" i="5"/>
  <c r="H35" i="5"/>
  <c r="H17" i="5"/>
  <c r="H36" i="5"/>
  <c r="D67" i="38" l="1"/>
  <c r="C51" i="38"/>
  <c r="D117" i="38"/>
  <c r="H16" i="5"/>
  <c r="H74" i="5"/>
  <c r="H34" i="5"/>
  <c r="H104" i="5"/>
  <c r="H85" i="5"/>
  <c r="H84" i="5"/>
  <c r="H15" i="5"/>
  <c r="H14" i="5"/>
  <c r="H13" i="5"/>
  <c r="H11" i="5"/>
  <c r="H10" i="5"/>
  <c r="H9" i="5"/>
  <c r="H8" i="5"/>
  <c r="H12" i="5"/>
  <c r="H7" i="5"/>
  <c r="H6" i="5"/>
  <c r="H71" i="5"/>
  <c r="H32" i="5"/>
  <c r="H5" i="5" l="1"/>
  <c r="F8" i="38" l="1"/>
  <c r="F9" i="38" s="1"/>
  <c r="F10" i="38" s="1"/>
  <c r="F11" i="38" s="1"/>
  <c r="F12" i="38" s="1"/>
  <c r="F13" i="38" s="1"/>
  <c r="F14" i="38" s="1"/>
  <c r="F15" i="38" s="1"/>
  <c r="F16" i="38" s="1"/>
  <c r="F17" i="38" s="1"/>
  <c r="F18" i="38" s="1"/>
  <c r="F19" i="38" s="1"/>
  <c r="F20" i="38" s="1"/>
  <c r="F21" i="38" s="1"/>
  <c r="F22" i="38" s="1"/>
  <c r="F23" i="38" s="1"/>
  <c r="F24" i="38" s="1"/>
  <c r="F25" i="38" s="1"/>
  <c r="F26" i="38" s="1"/>
  <c r="F27" i="38" s="1"/>
  <c r="F28" i="38" s="1"/>
  <c r="F30" i="38" s="1"/>
  <c r="F31" i="38" s="1"/>
  <c r="F32" i="38" s="1"/>
  <c r="F33" i="38" s="1"/>
  <c r="F34" i="38" s="1"/>
  <c r="F35" i="38" s="1"/>
  <c r="F36" i="38" s="1"/>
  <c r="F37" i="38" s="1"/>
  <c r="F38" i="38" s="1"/>
  <c r="F40" i="38" s="1"/>
  <c r="F41" i="38" s="1"/>
  <c r="F42" i="38" s="1"/>
  <c r="F43" i="38" s="1"/>
  <c r="F44" i="38" s="1"/>
  <c r="F45" i="38" s="1"/>
  <c r="F46" i="38" s="1"/>
  <c r="F47" i="38" s="1"/>
  <c r="F48" i="38" s="1"/>
  <c r="F49" i="38" s="1"/>
  <c r="F50" i="38" s="1"/>
  <c r="G18" i="5" l="1"/>
  <c r="G19" i="5"/>
  <c r="G20" i="5"/>
  <c r="G21" i="5"/>
  <c r="G22" i="5"/>
  <c r="G23" i="5"/>
  <c r="G24" i="5"/>
  <c r="G25" i="5"/>
  <c r="G26" i="5"/>
  <c r="G27" i="5"/>
  <c r="G28" i="5"/>
  <c r="G29" i="5"/>
  <c r="G30" i="5"/>
  <c r="G31" i="5"/>
  <c r="G33" i="5"/>
  <c r="G37" i="5"/>
  <c r="G38" i="5"/>
  <c r="G39" i="5"/>
  <c r="G40" i="5"/>
  <c r="G41" i="5"/>
  <c r="G42" i="5"/>
  <c r="G43" i="5"/>
  <c r="G44" i="5"/>
  <c r="G45" i="5"/>
  <c r="G46" i="5"/>
  <c r="G47" i="5"/>
  <c r="G48" i="5"/>
  <c r="G49" i="5"/>
  <c r="G50" i="5"/>
  <c r="G52" i="5"/>
  <c r="G53" i="5"/>
  <c r="G54" i="5"/>
  <c r="G56" i="5"/>
  <c r="G57" i="5"/>
  <c r="G58" i="5"/>
  <c r="G59" i="5"/>
  <c r="G60" i="5"/>
  <c r="G61" i="5"/>
  <c r="G62" i="5"/>
  <c r="G63" i="5"/>
  <c r="G65" i="5"/>
  <c r="G66" i="5"/>
  <c r="G67" i="5"/>
  <c r="G68" i="5"/>
  <c r="G69" i="5"/>
  <c r="G70" i="5"/>
  <c r="G72" i="5"/>
  <c r="G75" i="5"/>
  <c r="G76" i="5"/>
  <c r="G77" i="5"/>
  <c r="G78" i="5"/>
  <c r="G79" i="5"/>
  <c r="G80" i="5"/>
  <c r="G81" i="5"/>
  <c r="G82" i="5"/>
  <c r="G83" i="5"/>
  <c r="G86" i="5"/>
  <c r="G87" i="5"/>
  <c r="G88" i="5"/>
  <c r="G89" i="5"/>
  <c r="G90" i="5"/>
  <c r="G91" i="5"/>
  <c r="G92" i="5"/>
  <c r="G93" i="5"/>
  <c r="G95" i="5"/>
  <c r="G96" i="5"/>
  <c r="G97" i="5"/>
  <c r="G98" i="5"/>
  <c r="G99" i="5"/>
  <c r="G100" i="5"/>
  <c r="G101" i="5"/>
  <c r="G102" i="5"/>
  <c r="G103" i="5"/>
  <c r="G105" i="5"/>
  <c r="G106" i="5"/>
  <c r="G107" i="5"/>
  <c r="G108" i="5"/>
  <c r="G109" i="5"/>
  <c r="G110" i="5"/>
  <c r="G112" i="5"/>
  <c r="G113" i="5"/>
  <c r="G114" i="5"/>
  <c r="G115" i="5"/>
  <c r="G116" i="5"/>
  <c r="G117" i="5"/>
  <c r="G118" i="5"/>
  <c r="G119" i="5"/>
  <c r="G120" i="5"/>
  <c r="G121" i="5"/>
  <c r="G122" i="5"/>
  <c r="G35" i="5"/>
  <c r="G17" i="5"/>
  <c r="G16" i="5"/>
  <c r="G74" i="5"/>
  <c r="G34" i="5"/>
  <c r="G104" i="5"/>
  <c r="G85" i="5"/>
  <c r="G84" i="5"/>
  <c r="G15" i="5"/>
  <c r="G14" i="5"/>
  <c r="G13" i="5"/>
  <c r="G11" i="5"/>
  <c r="G10" i="5"/>
  <c r="G9" i="5"/>
  <c r="G8" i="5"/>
  <c r="G7" i="5"/>
  <c r="G71" i="5"/>
  <c r="G51" i="5"/>
  <c r="G64" i="5"/>
  <c r="G94" i="5"/>
  <c r="G36" i="5"/>
  <c r="G111" i="5"/>
  <c r="G55" i="5"/>
  <c r="G73" i="5"/>
  <c r="G12" i="5"/>
  <c r="G6" i="5"/>
  <c r="G32" i="5" l="1"/>
  <c r="G5" i="5" s="1"/>
  <c r="F64" i="5" l="1"/>
  <c r="F111" i="5"/>
  <c r="F103" i="5"/>
  <c r="F54" i="5"/>
  <c r="F72" i="5"/>
  <c r="F33" i="5"/>
  <c r="F70" i="5"/>
  <c r="F42" i="5"/>
  <c r="F108" i="5"/>
  <c r="F83" i="5"/>
  <c r="F120" i="5"/>
  <c r="F41" i="5"/>
  <c r="F102" i="5"/>
  <c r="F110" i="5"/>
  <c r="F82" i="5"/>
  <c r="F69" i="5"/>
  <c r="F101" i="5"/>
  <c r="F31" i="5"/>
  <c r="F119" i="5"/>
  <c r="F81" i="5"/>
  <c r="F30" i="5"/>
  <c r="F53" i="5"/>
  <c r="F100" i="5"/>
  <c r="F67" i="5"/>
  <c r="F52" i="5"/>
  <c r="F68" i="5"/>
  <c r="F66" i="5"/>
  <c r="F29" i="5"/>
  <c r="F109" i="5"/>
  <c r="F99" i="5"/>
  <c r="F80" i="5"/>
  <c r="F107" i="5"/>
  <c r="F28" i="5"/>
  <c r="F50" i="5"/>
  <c r="F79" i="5"/>
  <c r="F49" i="5"/>
  <c r="F65" i="5"/>
  <c r="F48" i="5"/>
  <c r="F118" i="5"/>
  <c r="F117" i="5"/>
  <c r="F116" i="5"/>
  <c r="F95" i="5"/>
  <c r="F92" i="5"/>
  <c r="F27" i="5"/>
  <c r="F63" i="5"/>
  <c r="F62" i="5"/>
  <c r="F78" i="5"/>
  <c r="F40" i="5"/>
  <c r="F47" i="5"/>
  <c r="F98" i="5"/>
  <c r="F61" i="5"/>
  <c r="F26" i="5"/>
  <c r="F115" i="5"/>
  <c r="F60" i="5"/>
  <c r="F25" i="5"/>
  <c r="F46" i="5"/>
  <c r="F97" i="5"/>
  <c r="F59" i="5"/>
  <c r="F96" i="5"/>
  <c r="F93" i="5"/>
  <c r="F77" i="5"/>
  <c r="F114" i="5"/>
  <c r="F24" i="5"/>
  <c r="F23" i="5"/>
  <c r="F76" i="5"/>
  <c r="F45" i="5"/>
  <c r="F39" i="5"/>
  <c r="F44" i="5"/>
  <c r="F91" i="5"/>
  <c r="F106" i="5"/>
  <c r="F22" i="5"/>
  <c r="F58" i="5"/>
  <c r="F113" i="5"/>
  <c r="F21" i="5"/>
  <c r="F38" i="5"/>
  <c r="F57" i="5"/>
  <c r="F122" i="5"/>
  <c r="F20" i="5"/>
  <c r="F105" i="5"/>
  <c r="F90" i="5"/>
  <c r="F112" i="5"/>
  <c r="F56" i="5"/>
  <c r="F19" i="5"/>
  <c r="F43" i="5"/>
  <c r="F37" i="5"/>
  <c r="F18" i="5"/>
  <c r="F89" i="5"/>
  <c r="F88" i="5"/>
  <c r="F87" i="5"/>
  <c r="F86" i="5"/>
  <c r="F121" i="5"/>
  <c r="F35" i="5"/>
  <c r="F17" i="5"/>
  <c r="F36" i="5"/>
  <c r="F16" i="5"/>
  <c r="F74" i="5"/>
  <c r="F34" i="5"/>
  <c r="F104" i="5"/>
  <c r="F85" i="5"/>
  <c r="F84" i="5"/>
  <c r="F15" i="5"/>
  <c r="F14" i="5"/>
  <c r="F13" i="5"/>
  <c r="F12" i="5"/>
  <c r="F11" i="5"/>
  <c r="F10" i="5"/>
  <c r="F9" i="5"/>
  <c r="F8" i="5"/>
  <c r="F7" i="5"/>
  <c r="F71" i="5"/>
  <c r="F51" i="5"/>
  <c r="F94" i="5"/>
  <c r="F75" i="5"/>
  <c r="F55" i="5"/>
  <c r="F73" i="5"/>
  <c r="F6" i="5"/>
  <c r="F32" i="5"/>
  <c r="C89" i="38" l="1"/>
  <c r="D119" i="38"/>
  <c r="D29" i="38"/>
  <c r="C76" i="38"/>
  <c r="C39" i="38"/>
  <c r="F5" i="5"/>
  <c r="E103" i="5" l="1"/>
  <c r="E54" i="5"/>
  <c r="E72" i="5"/>
  <c r="E33" i="5"/>
  <c r="E70" i="5"/>
  <c r="E42" i="5"/>
  <c r="E108" i="5"/>
  <c r="E83" i="5"/>
  <c r="E120" i="5"/>
  <c r="E41" i="5"/>
  <c r="E102" i="5"/>
  <c r="E110" i="5"/>
  <c r="E82" i="5"/>
  <c r="E69" i="5"/>
  <c r="E101" i="5"/>
  <c r="E31" i="5"/>
  <c r="E119" i="5"/>
  <c r="E81" i="5"/>
  <c r="E30" i="5"/>
  <c r="E53" i="5"/>
  <c r="E100" i="5"/>
  <c r="E67" i="5"/>
  <c r="E52" i="5"/>
  <c r="E68" i="5"/>
  <c r="E66" i="5"/>
  <c r="E29" i="5"/>
  <c r="E109" i="5"/>
  <c r="E99" i="5"/>
  <c r="E80" i="5"/>
  <c r="E107" i="5"/>
  <c r="E51" i="5"/>
  <c r="E28" i="5"/>
  <c r="E50" i="5"/>
  <c r="E79" i="5"/>
  <c r="E49" i="5"/>
  <c r="E65" i="5"/>
  <c r="E64" i="5"/>
  <c r="E48" i="5"/>
  <c r="E118" i="5"/>
  <c r="E117" i="5"/>
  <c r="E116" i="5"/>
  <c r="E95" i="5"/>
  <c r="E92" i="5"/>
  <c r="E27" i="5"/>
  <c r="E63" i="5"/>
  <c r="E62" i="5"/>
  <c r="E78" i="5"/>
  <c r="E40" i="5"/>
  <c r="E47" i="5"/>
  <c r="E98" i="5"/>
  <c r="E61" i="5"/>
  <c r="E26" i="5"/>
  <c r="E115" i="5"/>
  <c r="E60" i="5"/>
  <c r="E25" i="5"/>
  <c r="E94" i="5"/>
  <c r="E46" i="5"/>
  <c r="E97" i="5"/>
  <c r="E59" i="5"/>
  <c r="E96" i="5"/>
  <c r="E93" i="5"/>
  <c r="E77" i="5"/>
  <c r="E114" i="5"/>
  <c r="E24" i="5"/>
  <c r="E23" i="5"/>
  <c r="E76" i="5"/>
  <c r="E45" i="5"/>
  <c r="E39" i="5"/>
  <c r="E44" i="5"/>
  <c r="E91" i="5"/>
  <c r="E106" i="5"/>
  <c r="E22" i="5"/>
  <c r="E58" i="5"/>
  <c r="E113" i="5"/>
  <c r="E21" i="5"/>
  <c r="E38" i="5"/>
  <c r="E57" i="5"/>
  <c r="E122" i="5"/>
  <c r="E20" i="5"/>
  <c r="E105" i="5"/>
  <c r="E90" i="5"/>
  <c r="E112" i="5"/>
  <c r="E56" i="5"/>
  <c r="E19" i="5"/>
  <c r="E43" i="5"/>
  <c r="E37" i="5"/>
  <c r="E18" i="5"/>
  <c r="E89" i="5"/>
  <c r="E88" i="5"/>
  <c r="E87" i="5"/>
  <c r="E86" i="5"/>
  <c r="E121" i="5"/>
  <c r="E35" i="5"/>
  <c r="E75" i="5"/>
  <c r="E17" i="5"/>
  <c r="E36" i="5"/>
  <c r="E111" i="5"/>
  <c r="E55" i="5"/>
  <c r="E16" i="5"/>
  <c r="E74" i="5"/>
  <c r="E34" i="5"/>
  <c r="E104" i="5"/>
  <c r="E73" i="5"/>
  <c r="E85" i="5"/>
  <c r="E84" i="5"/>
  <c r="E15" i="5"/>
  <c r="E14" i="5"/>
  <c r="E12" i="5"/>
  <c r="E11" i="5"/>
  <c r="E10" i="5"/>
  <c r="E9" i="5"/>
  <c r="E8" i="5"/>
  <c r="E7" i="5"/>
  <c r="E6" i="5"/>
  <c r="E71" i="5"/>
  <c r="E13" i="5" l="1"/>
  <c r="E5" i="5" s="1"/>
  <c r="E32" i="5"/>
  <c r="E88" i="38" l="1"/>
  <c r="D103" i="5" l="1"/>
  <c r="D54" i="5"/>
  <c r="D72" i="5"/>
  <c r="D33" i="5"/>
  <c r="D70" i="5"/>
  <c r="D42" i="5"/>
  <c r="D108" i="5"/>
  <c r="D83" i="5"/>
  <c r="D120" i="5"/>
  <c r="D41" i="5"/>
  <c r="D102" i="5"/>
  <c r="D110" i="5"/>
  <c r="D82" i="5"/>
  <c r="D69" i="5"/>
  <c r="D101" i="5"/>
  <c r="D31" i="5"/>
  <c r="D119" i="5"/>
  <c r="D81" i="5"/>
  <c r="D30" i="5"/>
  <c r="D53" i="5"/>
  <c r="D100" i="5"/>
  <c r="D67" i="5"/>
  <c r="D52" i="5"/>
  <c r="D68" i="5"/>
  <c r="D66" i="5"/>
  <c r="D29" i="5"/>
  <c r="D109" i="5"/>
  <c r="D99" i="5"/>
  <c r="D80" i="5"/>
  <c r="D107" i="5"/>
  <c r="D51" i="5"/>
  <c r="D28" i="5"/>
  <c r="D50" i="5"/>
  <c r="D79" i="5"/>
  <c r="D49" i="5"/>
  <c r="D65" i="5"/>
  <c r="D64" i="5"/>
  <c r="D48" i="5"/>
  <c r="D118" i="5"/>
  <c r="D117" i="5"/>
  <c r="D116" i="5"/>
  <c r="D95" i="5"/>
  <c r="D92" i="5"/>
  <c r="D27" i="5"/>
  <c r="D63" i="5"/>
  <c r="D62" i="5"/>
  <c r="D78" i="5"/>
  <c r="D40" i="5"/>
  <c r="D47" i="5"/>
  <c r="D98" i="5"/>
  <c r="D61" i="5"/>
  <c r="D26" i="5"/>
  <c r="D115" i="5"/>
  <c r="D60" i="5"/>
  <c r="D25" i="5"/>
  <c r="D94" i="5"/>
  <c r="D46" i="5"/>
  <c r="D97" i="5"/>
  <c r="D59" i="5"/>
  <c r="D96" i="5"/>
  <c r="D93" i="5"/>
  <c r="D77" i="5"/>
  <c r="D114" i="5"/>
  <c r="D24" i="5"/>
  <c r="D23" i="5"/>
  <c r="D76" i="5"/>
  <c r="D45" i="5"/>
  <c r="D39" i="5"/>
  <c r="D44" i="5"/>
  <c r="D91" i="5"/>
  <c r="D106" i="5"/>
  <c r="D22" i="5"/>
  <c r="D58" i="5"/>
  <c r="D113" i="5"/>
  <c r="D21" i="5"/>
  <c r="D38" i="5"/>
  <c r="D57" i="5"/>
  <c r="D122" i="5"/>
  <c r="D20" i="5"/>
  <c r="D105" i="5"/>
  <c r="D90" i="5"/>
  <c r="D112" i="5"/>
  <c r="D56" i="5"/>
  <c r="D19" i="5"/>
  <c r="D43" i="5"/>
  <c r="D37" i="5"/>
  <c r="D18" i="5"/>
  <c r="D89" i="5"/>
  <c r="D88" i="5"/>
  <c r="D87" i="5"/>
  <c r="D86" i="5"/>
  <c r="D121" i="5"/>
  <c r="D35" i="5"/>
  <c r="D75" i="5"/>
  <c r="D17" i="5"/>
  <c r="D16" i="5"/>
  <c r="D74" i="5"/>
  <c r="D34" i="5"/>
  <c r="D104" i="5"/>
  <c r="D73" i="5"/>
  <c r="D85" i="5"/>
  <c r="D84" i="5"/>
  <c r="D15" i="5"/>
  <c r="D14" i="5"/>
  <c r="D13" i="5"/>
  <c r="D12" i="5"/>
  <c r="D11" i="5"/>
  <c r="D10" i="5"/>
  <c r="D9" i="5"/>
  <c r="D8" i="5"/>
  <c r="D7" i="5"/>
  <c r="D6" i="5"/>
  <c r="D71" i="5"/>
  <c r="D36" i="5"/>
  <c r="D111" i="5"/>
  <c r="D55" i="5"/>
  <c r="D32" i="5"/>
  <c r="D5" i="5" l="1"/>
  <c r="C12" i="5" l="1"/>
  <c r="C103" i="5" l="1"/>
  <c r="C54" i="5"/>
  <c r="C72" i="5"/>
  <c r="C33" i="5"/>
  <c r="C70" i="5"/>
  <c r="C42" i="5"/>
  <c r="C108" i="5"/>
  <c r="C83" i="5"/>
  <c r="C120" i="5"/>
  <c r="C41" i="5"/>
  <c r="C102" i="5"/>
  <c r="C110" i="5"/>
  <c r="C82" i="5"/>
  <c r="C69" i="5"/>
  <c r="C101" i="5"/>
  <c r="C31" i="5"/>
  <c r="C119" i="5"/>
  <c r="C81" i="5"/>
  <c r="C30" i="5"/>
  <c r="C53" i="5"/>
  <c r="C100" i="5"/>
  <c r="C67" i="5"/>
  <c r="C52" i="5"/>
  <c r="C68" i="5"/>
  <c r="C66" i="5"/>
  <c r="C29" i="5"/>
  <c r="C109" i="5"/>
  <c r="C99" i="5"/>
  <c r="C80" i="5"/>
  <c r="C107" i="5"/>
  <c r="C51" i="5"/>
  <c r="C28" i="5"/>
  <c r="C50" i="5"/>
  <c r="C79" i="5"/>
  <c r="C49" i="5"/>
  <c r="C65" i="5"/>
  <c r="C64" i="5"/>
  <c r="C48" i="5"/>
  <c r="C118" i="5"/>
  <c r="C117" i="5"/>
  <c r="C116" i="5"/>
  <c r="C95" i="5"/>
  <c r="C92" i="5"/>
  <c r="C27" i="5"/>
  <c r="C63" i="5"/>
  <c r="C62" i="5"/>
  <c r="C78" i="5"/>
  <c r="C40" i="5"/>
  <c r="C47" i="5"/>
  <c r="C98" i="5"/>
  <c r="C61" i="5"/>
  <c r="C26" i="5"/>
  <c r="C115" i="5"/>
  <c r="C60" i="5"/>
  <c r="C25" i="5"/>
  <c r="C94" i="5"/>
  <c r="C46" i="5"/>
  <c r="C97" i="5"/>
  <c r="C59" i="5"/>
  <c r="C96" i="5"/>
  <c r="C93" i="5"/>
  <c r="C77" i="5"/>
  <c r="C114" i="5"/>
  <c r="C24" i="5"/>
  <c r="C23" i="5"/>
  <c r="C76" i="5"/>
  <c r="C45" i="5"/>
  <c r="C39" i="5"/>
  <c r="C44" i="5"/>
  <c r="C91" i="5"/>
  <c r="C106" i="5"/>
  <c r="C22" i="5"/>
  <c r="C58" i="5"/>
  <c r="C113" i="5"/>
  <c r="C21" i="5"/>
  <c r="C38" i="5"/>
  <c r="C57" i="5"/>
  <c r="C122" i="5"/>
  <c r="C20" i="5"/>
  <c r="C105" i="5"/>
  <c r="C90" i="5"/>
  <c r="C112" i="5"/>
  <c r="C56" i="5"/>
  <c r="C19" i="5"/>
  <c r="C43" i="5"/>
  <c r="C37" i="5"/>
  <c r="C18" i="5"/>
  <c r="C89" i="5"/>
  <c r="C88" i="5"/>
  <c r="C87" i="5"/>
  <c r="C86" i="5"/>
  <c r="C121" i="5"/>
  <c r="C35" i="5"/>
  <c r="C75" i="5"/>
  <c r="C17" i="5"/>
  <c r="C111" i="5"/>
  <c r="C55" i="5"/>
  <c r="C16" i="5"/>
  <c r="C74" i="5"/>
  <c r="C34" i="5"/>
  <c r="C104" i="5"/>
  <c r="C73" i="5"/>
  <c r="C85" i="5"/>
  <c r="C84" i="5"/>
  <c r="C15" i="5"/>
  <c r="C14" i="5"/>
  <c r="C13" i="5"/>
  <c r="C11" i="5"/>
  <c r="C10" i="5"/>
  <c r="C9" i="5"/>
  <c r="C8" i="5"/>
  <c r="C7" i="5"/>
  <c r="C36" i="5"/>
  <c r="C71" i="5"/>
  <c r="C32" i="5"/>
  <c r="C6" i="5" l="1"/>
  <c r="C5" i="5" s="1"/>
  <c r="D7" i="38"/>
  <c r="C86" i="38"/>
  <c r="B103" i="5" l="1"/>
  <c r="E97" i="38"/>
  <c r="B54" i="5" l="1"/>
  <c r="B72" i="5"/>
  <c r="B33" i="5"/>
  <c r="B11" i="5"/>
  <c r="B10" i="5"/>
  <c r="B9" i="5"/>
  <c r="E28" i="38" l="1"/>
  <c r="E66" i="38"/>
  <c r="E65" i="38"/>
  <c r="E6" i="38"/>
  <c r="E4" i="38"/>
  <c r="E50" i="38"/>
  <c r="E5" i="38"/>
  <c r="B21" i="5" l="1"/>
  <c r="B22" i="5"/>
  <c r="B23" i="5"/>
  <c r="B24" i="5"/>
  <c r="B25" i="5"/>
  <c r="B26" i="5"/>
  <c r="B27" i="5"/>
  <c r="B28" i="5"/>
  <c r="B29" i="5"/>
  <c r="B30" i="5"/>
  <c r="B31" i="5"/>
  <c r="B39" i="5"/>
  <c r="B40" i="5"/>
  <c r="B41" i="5"/>
  <c r="B42" i="5"/>
  <c r="B44" i="5"/>
  <c r="B45" i="5"/>
  <c r="B46" i="5"/>
  <c r="B47" i="5"/>
  <c r="B48" i="5"/>
  <c r="B49" i="5"/>
  <c r="B50" i="5"/>
  <c r="B51" i="5"/>
  <c r="B52" i="5"/>
  <c r="B53" i="5"/>
  <c r="B58" i="5"/>
  <c r="B59" i="5"/>
  <c r="B60" i="5"/>
  <c r="B61" i="5"/>
  <c r="B62" i="5"/>
  <c r="B63" i="5"/>
  <c r="B64" i="5"/>
  <c r="B65" i="5"/>
  <c r="B66" i="5"/>
  <c r="B67" i="5"/>
  <c r="B68" i="5"/>
  <c r="B69" i="5"/>
  <c r="B70" i="5"/>
  <c r="B76" i="5"/>
  <c r="B77" i="5"/>
  <c r="B78" i="5"/>
  <c r="B79" i="5"/>
  <c r="B80" i="5"/>
  <c r="B81" i="5"/>
  <c r="B82" i="5"/>
  <c r="B83" i="5"/>
  <c r="B91" i="5"/>
  <c r="B92" i="5"/>
  <c r="B93" i="5"/>
  <c r="B94" i="5"/>
  <c r="B95" i="5"/>
  <c r="B96" i="5"/>
  <c r="B97" i="5"/>
  <c r="B98" i="5"/>
  <c r="B99" i="5"/>
  <c r="B100" i="5"/>
  <c r="B101" i="5"/>
  <c r="B102" i="5"/>
  <c r="B106" i="5"/>
  <c r="B107" i="5"/>
  <c r="B108" i="5"/>
  <c r="B109" i="5"/>
  <c r="B110" i="5"/>
  <c r="B113" i="5"/>
  <c r="B114" i="5"/>
  <c r="B115" i="5"/>
  <c r="B116" i="5"/>
  <c r="B117" i="5"/>
  <c r="B118" i="5"/>
  <c r="B119" i="5"/>
  <c r="B120" i="5"/>
  <c r="B121" i="5"/>
  <c r="B38" i="5"/>
  <c r="B57" i="5"/>
  <c r="B122" i="5"/>
  <c r="B20" i="5"/>
  <c r="B105" i="5"/>
  <c r="B90" i="5"/>
  <c r="B112" i="5"/>
  <c r="B56" i="5"/>
  <c r="B19" i="5"/>
  <c r="B43" i="5"/>
  <c r="B37" i="5"/>
  <c r="B18" i="5"/>
  <c r="B89" i="5"/>
  <c r="B88" i="5"/>
  <c r="B87" i="5"/>
  <c r="B86" i="5"/>
  <c r="B35" i="5"/>
  <c r="B75" i="5"/>
  <c r="B111" i="5"/>
  <c r="B55" i="5"/>
  <c r="B16" i="5"/>
  <c r="B74" i="5"/>
  <c r="B34" i="5"/>
  <c r="B104" i="5"/>
  <c r="B73" i="5"/>
  <c r="B85" i="5"/>
  <c r="B84" i="5"/>
  <c r="B14" i="5"/>
  <c r="B13" i="5"/>
  <c r="B8" i="5"/>
  <c r="B7" i="5"/>
  <c r="B6" i="5"/>
  <c r="C98" i="38" l="1"/>
  <c r="B32" i="5"/>
  <c r="B17" i="5"/>
  <c r="C67" i="38"/>
  <c r="B15" i="5"/>
  <c r="C29" i="38"/>
  <c r="D51" i="38"/>
  <c r="B71" i="5"/>
  <c r="D106" i="38"/>
  <c r="B36" i="5"/>
  <c r="B5" i="5" l="1"/>
  <c r="E27" i="38" l="1"/>
  <c r="E64" i="38"/>
  <c r="E38" i="38"/>
  <c r="C119" i="38" l="1"/>
  <c r="E105" i="38" l="1"/>
  <c r="C106" i="38" l="1"/>
  <c r="D17" i="46" l="1"/>
  <c r="E16" i="46"/>
  <c r="B16" i="46"/>
  <c r="B15" i="46"/>
  <c r="C14" i="46"/>
  <c r="E14" i="46" s="1"/>
  <c r="B14" i="46"/>
  <c r="C13" i="46"/>
  <c r="E13" i="46" s="1"/>
  <c r="B13" i="46"/>
  <c r="C12" i="46"/>
  <c r="E12" i="46" s="1"/>
  <c r="B12" i="46"/>
  <c r="B11" i="46"/>
  <c r="F10" i="46"/>
  <c r="F17" i="46" s="1"/>
  <c r="B10" i="46"/>
  <c r="C9" i="46"/>
  <c r="E9" i="46" s="1"/>
  <c r="B9" i="46"/>
  <c r="C5" i="46"/>
  <c r="E101" i="38"/>
  <c r="E85" i="38"/>
  <c r="E82" i="38"/>
  <c r="E79" i="38"/>
  <c r="E77" i="38"/>
  <c r="A5" i="5"/>
  <c r="A112" i="49"/>
  <c r="A107" i="49"/>
  <c r="A100" i="49"/>
  <c r="A96" i="49"/>
  <c r="A92" i="49"/>
  <c r="E116" i="38"/>
  <c r="E96" i="38"/>
  <c r="E104" i="38"/>
  <c r="E75" i="38"/>
  <c r="E63" i="38"/>
  <c r="E95" i="38"/>
  <c r="E26" i="38"/>
  <c r="E115" i="38"/>
  <c r="E74" i="38"/>
  <c r="E25" i="38"/>
  <c r="E93" i="38"/>
  <c r="E102" i="38"/>
  <c r="E23" i="38"/>
  <c r="E45" i="38"/>
  <c r="E114" i="38"/>
  <c r="E112" i="38"/>
  <c r="E22" i="38"/>
  <c r="E57" i="38"/>
  <c r="E71" i="38"/>
  <c r="E36" i="38"/>
  <c r="E92" i="38"/>
  <c r="E56" i="38"/>
  <c r="E21" i="38"/>
  <c r="E55" i="38"/>
  <c r="E20" i="38"/>
  <c r="E43" i="38"/>
  <c r="E91" i="38"/>
  <c r="E54" i="38"/>
  <c r="E70" i="38"/>
  <c r="E110" i="38"/>
  <c r="E19" i="38"/>
  <c r="E18" i="38"/>
  <c r="E69" i="38"/>
  <c r="E35" i="38"/>
  <c r="E41" i="38"/>
  <c r="E17" i="38"/>
  <c r="E34" i="38"/>
  <c r="E118" i="38"/>
  <c r="E15" i="38"/>
  <c r="E14" i="38"/>
  <c r="E40" i="38"/>
  <c r="E13" i="38"/>
  <c r="E31" i="38"/>
  <c r="E11" i="38"/>
  <c r="E10" i="38"/>
  <c r="E9" i="38"/>
  <c r="E3" i="38"/>
  <c r="C15" i="46"/>
  <c r="E15" i="46" s="1"/>
  <c r="H15" i="46" s="1"/>
  <c r="C11" i="46"/>
  <c r="E11" i="46" s="1"/>
  <c r="C10" i="46"/>
  <c r="E10" i="46" s="1"/>
  <c r="C235" i="43"/>
  <c r="B235" i="43"/>
  <c r="M230" i="43"/>
  <c r="M231" i="43" s="1"/>
  <c r="L230" i="43"/>
  <c r="L231" i="43" s="1"/>
  <c r="K230" i="43"/>
  <c r="K231" i="43" s="1"/>
  <c r="J230" i="43"/>
  <c r="J231" i="43" s="1"/>
  <c r="I230" i="43"/>
  <c r="I231" i="43" s="1"/>
  <c r="H230" i="43"/>
  <c r="H231" i="43" s="1"/>
  <c r="G230" i="43"/>
  <c r="G231" i="43" s="1"/>
  <c r="F230" i="43"/>
  <c r="F231" i="43" s="1"/>
  <c r="E230" i="43"/>
  <c r="E231" i="43" s="1"/>
  <c r="D230" i="43"/>
  <c r="D231" i="43" s="1"/>
  <c r="M223" i="43"/>
  <c r="M235" i="43" s="1"/>
  <c r="L223" i="43"/>
  <c r="L235" i="43" s="1"/>
  <c r="K223" i="43"/>
  <c r="K235" i="43" s="1"/>
  <c r="J223" i="43"/>
  <c r="J235" i="43" s="1"/>
  <c r="I223" i="43"/>
  <c r="I235" i="43" s="1"/>
  <c r="H223" i="43"/>
  <c r="H235" i="43" s="1"/>
  <c r="G223" i="43"/>
  <c r="G235" i="43" s="1"/>
  <c r="F223" i="43"/>
  <c r="F235" i="43" s="1"/>
  <c r="E223" i="43"/>
  <c r="E235" i="43" s="1"/>
  <c r="D223" i="43"/>
  <c r="D235" i="43" s="1"/>
  <c r="K215" i="43"/>
  <c r="J215" i="43"/>
  <c r="L206" i="43"/>
  <c r="L208" i="43" s="1"/>
  <c r="L212" i="43" s="1"/>
  <c r="L217" i="43" s="1"/>
  <c r="L225" i="43" s="1"/>
  <c r="H206" i="43"/>
  <c r="H208" i="43" s="1"/>
  <c r="H212" i="43" s="1"/>
  <c r="H217" i="43" s="1"/>
  <c r="H225" i="43" s="1"/>
  <c r="D206" i="43"/>
  <c r="D208" i="43" s="1"/>
  <c r="D212" i="43" s="1"/>
  <c r="B206" i="43"/>
  <c r="M200" i="43"/>
  <c r="C200" i="43"/>
  <c r="C165" i="43" s="1"/>
  <c r="M199" i="43"/>
  <c r="L199" i="43"/>
  <c r="J199" i="43"/>
  <c r="F199" i="43"/>
  <c r="F164" i="43" s="1"/>
  <c r="E199" i="43"/>
  <c r="D199" i="43"/>
  <c r="M198" i="43"/>
  <c r="F197" i="43"/>
  <c r="F162" i="43" s="1"/>
  <c r="E197" i="43"/>
  <c r="D197" i="43"/>
  <c r="C197" i="43"/>
  <c r="G196" i="43"/>
  <c r="G161" i="43" s="1"/>
  <c r="M195" i="43"/>
  <c r="M206" i="43" s="1"/>
  <c r="L195" i="43"/>
  <c r="K195" i="43"/>
  <c r="K206" i="43" s="1"/>
  <c r="J195" i="43"/>
  <c r="J206" i="43" s="1"/>
  <c r="J208" i="43" s="1"/>
  <c r="J212" i="43" s="1"/>
  <c r="J217" i="43" s="1"/>
  <c r="J225" i="43" s="1"/>
  <c r="I195" i="43"/>
  <c r="I206" i="43" s="1"/>
  <c r="H195" i="43"/>
  <c r="G195" i="43"/>
  <c r="G206" i="43" s="1"/>
  <c r="F195" i="43"/>
  <c r="F206" i="43" s="1"/>
  <c r="F208" i="43" s="1"/>
  <c r="F212" i="43" s="1"/>
  <c r="F217" i="43" s="1"/>
  <c r="F225" i="43" s="1"/>
  <c r="E195" i="43"/>
  <c r="E206" i="43" s="1"/>
  <c r="D195" i="43"/>
  <c r="C195" i="43"/>
  <c r="C206" i="43" s="1"/>
  <c r="M192" i="43"/>
  <c r="L192" i="43"/>
  <c r="K192" i="43"/>
  <c r="J192" i="43"/>
  <c r="I192" i="43"/>
  <c r="H192" i="43"/>
  <c r="G192" i="43"/>
  <c r="F192" i="43"/>
  <c r="E192" i="43"/>
  <c r="D192" i="43"/>
  <c r="C191" i="43"/>
  <c r="C230" i="43" s="1"/>
  <c r="C231" i="43" s="1"/>
  <c r="B191" i="43"/>
  <c r="B230" i="43" s="1"/>
  <c r="B231" i="43" s="1"/>
  <c r="L183" i="43"/>
  <c r="K183" i="43"/>
  <c r="J183" i="43"/>
  <c r="H183" i="43"/>
  <c r="G183" i="43"/>
  <c r="F183" i="43"/>
  <c r="D183" i="43"/>
  <c r="C183" i="43"/>
  <c r="B183" i="43"/>
  <c r="M179" i="43"/>
  <c r="L179" i="43"/>
  <c r="K179" i="43"/>
  <c r="J179" i="43"/>
  <c r="I179" i="43"/>
  <c r="H179" i="43"/>
  <c r="G179" i="43"/>
  <c r="F179" i="43"/>
  <c r="E179" i="43"/>
  <c r="D179" i="43"/>
  <c r="C179" i="43"/>
  <c r="B179" i="43"/>
  <c r="N179" i="43" s="1"/>
  <c r="M175" i="43"/>
  <c r="L175" i="43"/>
  <c r="K175" i="43"/>
  <c r="J175" i="43"/>
  <c r="I175" i="43"/>
  <c r="H175" i="43"/>
  <c r="G175" i="43"/>
  <c r="F175" i="43"/>
  <c r="E175" i="43"/>
  <c r="D175" i="43"/>
  <c r="C175" i="43"/>
  <c r="B175" i="43"/>
  <c r="N175" i="43" s="1"/>
  <c r="L171" i="43"/>
  <c r="M170" i="43"/>
  <c r="L170" i="43"/>
  <c r="K170" i="43"/>
  <c r="J170" i="43"/>
  <c r="I170" i="43"/>
  <c r="H170" i="43"/>
  <c r="G170" i="43"/>
  <c r="F170" i="43"/>
  <c r="E170" i="43"/>
  <c r="D170" i="43"/>
  <c r="C170" i="43"/>
  <c r="B170" i="43"/>
  <c r="N170" i="43" s="1"/>
  <c r="A170" i="43"/>
  <c r="M169" i="43"/>
  <c r="L169" i="43"/>
  <c r="K169" i="43"/>
  <c r="J169" i="43"/>
  <c r="I169" i="43"/>
  <c r="H169" i="43"/>
  <c r="G169" i="43"/>
  <c r="F169" i="43"/>
  <c r="E169" i="43"/>
  <c r="D169" i="43"/>
  <c r="C169" i="43"/>
  <c r="B169" i="43"/>
  <c r="N169" i="43" s="1"/>
  <c r="A169" i="43"/>
  <c r="M168" i="43"/>
  <c r="L168" i="43"/>
  <c r="K168" i="43"/>
  <c r="J168" i="43"/>
  <c r="I168" i="43"/>
  <c r="H168" i="43"/>
  <c r="G168" i="43"/>
  <c r="E168" i="43"/>
  <c r="D168" i="43"/>
  <c r="C168" i="43"/>
  <c r="B168" i="43"/>
  <c r="N168" i="43" s="1"/>
  <c r="A168" i="43"/>
  <c r="M167" i="43"/>
  <c r="L167" i="43"/>
  <c r="K167" i="43"/>
  <c r="J167" i="43"/>
  <c r="I167" i="43"/>
  <c r="H167" i="43"/>
  <c r="G167" i="43"/>
  <c r="E167" i="43"/>
  <c r="N167" i="43" s="1"/>
  <c r="D167" i="43"/>
  <c r="C167" i="43"/>
  <c r="B167" i="43"/>
  <c r="A167" i="43"/>
  <c r="M166" i="43"/>
  <c r="L166" i="43"/>
  <c r="K166" i="43"/>
  <c r="J166" i="43"/>
  <c r="I166" i="43"/>
  <c r="H166" i="43"/>
  <c r="G166" i="43"/>
  <c r="F166" i="43"/>
  <c r="E166" i="43"/>
  <c r="D166" i="43"/>
  <c r="C166" i="43"/>
  <c r="B166" i="43"/>
  <c r="N166" i="43" s="1"/>
  <c r="A166" i="43"/>
  <c r="M165" i="43"/>
  <c r="L165" i="43"/>
  <c r="K165" i="43"/>
  <c r="J165" i="43"/>
  <c r="I165" i="43"/>
  <c r="H165" i="43"/>
  <c r="G165" i="43"/>
  <c r="F165" i="43"/>
  <c r="E165" i="43"/>
  <c r="B165" i="43"/>
  <c r="A165" i="43"/>
  <c r="M164" i="43"/>
  <c r="L164" i="43"/>
  <c r="K164" i="43"/>
  <c r="J164" i="43"/>
  <c r="I164" i="43"/>
  <c r="H164" i="43"/>
  <c r="G164" i="43"/>
  <c r="E164" i="43"/>
  <c r="D164" i="43"/>
  <c r="C164" i="43"/>
  <c r="B164" i="43"/>
  <c r="N164" i="43" s="1"/>
  <c r="A164" i="43"/>
  <c r="M163" i="43"/>
  <c r="L163" i="43"/>
  <c r="K163" i="43"/>
  <c r="J163" i="43"/>
  <c r="I163" i="43"/>
  <c r="H163" i="43"/>
  <c r="G163" i="43"/>
  <c r="F163" i="43"/>
  <c r="E163" i="43"/>
  <c r="D163" i="43"/>
  <c r="C163" i="43"/>
  <c r="B163" i="43"/>
  <c r="N163" i="43" s="1"/>
  <c r="A163" i="43"/>
  <c r="M162" i="43"/>
  <c r="L162" i="43"/>
  <c r="K162" i="43"/>
  <c r="J162" i="43"/>
  <c r="I162" i="43"/>
  <c r="H162" i="43"/>
  <c r="G162" i="43"/>
  <c r="E162" i="43"/>
  <c r="D162" i="43"/>
  <c r="C162" i="43"/>
  <c r="B162" i="43"/>
  <c r="N162" i="43" s="1"/>
  <c r="A162" i="43"/>
  <c r="M161" i="43"/>
  <c r="L161" i="43"/>
  <c r="K161" i="43"/>
  <c r="J161" i="43"/>
  <c r="I161" i="43"/>
  <c r="F161" i="43"/>
  <c r="E161" i="43"/>
  <c r="D161" i="43"/>
  <c r="C161" i="43"/>
  <c r="B161" i="43"/>
  <c r="A161" i="43"/>
  <c r="M160" i="43"/>
  <c r="M171" i="43" s="1"/>
  <c r="L160" i="43"/>
  <c r="K160" i="43"/>
  <c r="K171" i="43" s="1"/>
  <c r="K173" i="43" s="1"/>
  <c r="K177" i="43" s="1"/>
  <c r="K181" i="43" s="1"/>
  <c r="K185" i="43" s="1"/>
  <c r="I160" i="43"/>
  <c r="I171" i="43" s="1"/>
  <c r="H160" i="43"/>
  <c r="G160" i="43"/>
  <c r="G171" i="43" s="1"/>
  <c r="G173" i="43" s="1"/>
  <c r="G177" i="43" s="1"/>
  <c r="G181" i="43" s="1"/>
  <c r="G185" i="43" s="1"/>
  <c r="E160" i="43"/>
  <c r="E171" i="43" s="1"/>
  <c r="D160" i="43"/>
  <c r="C160" i="43"/>
  <c r="C171" i="43" s="1"/>
  <c r="B160" i="43"/>
  <c r="B171" i="43" s="1"/>
  <c r="A160" i="43"/>
  <c r="M157" i="43"/>
  <c r="K157" i="43"/>
  <c r="I157" i="43"/>
  <c r="I173" i="43" s="1"/>
  <c r="I177" i="43" s="1"/>
  <c r="I181" i="43" s="1"/>
  <c r="G157" i="43"/>
  <c r="E157" i="43"/>
  <c r="E173" i="43" s="1"/>
  <c r="E177" i="43" s="1"/>
  <c r="E181" i="43" s="1"/>
  <c r="M156" i="43"/>
  <c r="L156" i="43"/>
  <c r="L157" i="43" s="1"/>
  <c r="L173" i="43" s="1"/>
  <c r="L177" i="43" s="1"/>
  <c r="L181" i="43" s="1"/>
  <c r="L185" i="43" s="1"/>
  <c r="K156" i="43"/>
  <c r="J156" i="43"/>
  <c r="J157" i="43" s="1"/>
  <c r="I156" i="43"/>
  <c r="H156" i="43"/>
  <c r="H157" i="43" s="1"/>
  <c r="G156" i="43"/>
  <c r="F156" i="43"/>
  <c r="F157" i="43" s="1"/>
  <c r="E156" i="43"/>
  <c r="B156" i="43"/>
  <c r="A156" i="43"/>
  <c r="M153" i="43"/>
  <c r="L153" i="43"/>
  <c r="K153" i="43"/>
  <c r="J153" i="43"/>
  <c r="I153" i="43"/>
  <c r="H153" i="43"/>
  <c r="G153" i="43"/>
  <c r="F153" i="43"/>
  <c r="E153" i="43"/>
  <c r="D153" i="43"/>
  <c r="C153" i="43"/>
  <c r="B153" i="43"/>
  <c r="M146" i="43"/>
  <c r="L146" i="43"/>
  <c r="K146" i="43"/>
  <c r="J146" i="43"/>
  <c r="I146" i="43"/>
  <c r="H146" i="43"/>
  <c r="G146" i="43"/>
  <c r="F146" i="43"/>
  <c r="E146" i="43"/>
  <c r="D146" i="43"/>
  <c r="C146" i="43"/>
  <c r="B146" i="43"/>
  <c r="J142" i="43"/>
  <c r="J136" i="43" s="1"/>
  <c r="I142" i="43"/>
  <c r="H142" i="43"/>
  <c r="G142" i="43"/>
  <c r="J141" i="43"/>
  <c r="I141" i="43"/>
  <c r="H141" i="43"/>
  <c r="G141" i="43"/>
  <c r="G136" i="43" s="1"/>
  <c r="M136" i="43"/>
  <c r="O136" i="43" s="1"/>
  <c r="L136" i="43"/>
  <c r="K136" i="43"/>
  <c r="I136" i="43"/>
  <c r="H136" i="43"/>
  <c r="F136" i="43"/>
  <c r="E136" i="43"/>
  <c r="D136" i="43"/>
  <c r="C136" i="43"/>
  <c r="B136" i="43"/>
  <c r="M129" i="43"/>
  <c r="L129" i="43"/>
  <c r="K129" i="43"/>
  <c r="J129" i="43"/>
  <c r="I129" i="43"/>
  <c r="H129" i="43"/>
  <c r="G129" i="43"/>
  <c r="F129" i="43"/>
  <c r="E129" i="43"/>
  <c r="D129" i="43"/>
  <c r="C129" i="43"/>
  <c r="B129" i="43"/>
  <c r="M126" i="43"/>
  <c r="L126" i="43"/>
  <c r="K126" i="43"/>
  <c r="K119" i="43" s="1"/>
  <c r="J126" i="43"/>
  <c r="I126" i="43"/>
  <c r="H126" i="43"/>
  <c r="G126" i="43"/>
  <c r="F126" i="43"/>
  <c r="E126" i="43"/>
  <c r="D126" i="43"/>
  <c r="C126" i="43"/>
  <c r="B126" i="43"/>
  <c r="M123" i="43"/>
  <c r="L123" i="43"/>
  <c r="K123" i="43"/>
  <c r="J123" i="43"/>
  <c r="J119" i="43" s="1"/>
  <c r="I123" i="43"/>
  <c r="H123" i="43"/>
  <c r="G123" i="43"/>
  <c r="F123" i="43"/>
  <c r="F119" i="43" s="1"/>
  <c r="E123" i="43"/>
  <c r="D123" i="43"/>
  <c r="C123" i="43"/>
  <c r="B123" i="43"/>
  <c r="B119" i="43" s="1"/>
  <c r="M120" i="43"/>
  <c r="L120" i="43"/>
  <c r="K120" i="43"/>
  <c r="J120" i="43"/>
  <c r="I120" i="43"/>
  <c r="I119" i="43" s="1"/>
  <c r="I132" i="43" s="1"/>
  <c r="H120" i="43"/>
  <c r="G120" i="43"/>
  <c r="F120" i="43"/>
  <c r="E120" i="43"/>
  <c r="E119" i="43" s="1"/>
  <c r="E132" i="43" s="1"/>
  <c r="L119" i="43"/>
  <c r="H119" i="43"/>
  <c r="G119" i="43"/>
  <c r="D119" i="43"/>
  <c r="C119" i="43"/>
  <c r="E114" i="43"/>
  <c r="D114" i="43"/>
  <c r="C114" i="43"/>
  <c r="O109" i="43"/>
  <c r="M105" i="43"/>
  <c r="L105" i="43"/>
  <c r="L132" i="43" s="1"/>
  <c r="K105" i="43"/>
  <c r="K132" i="43" s="1"/>
  <c r="J105" i="43"/>
  <c r="I105" i="43"/>
  <c r="H105" i="43"/>
  <c r="H132" i="43" s="1"/>
  <c r="G105" i="43"/>
  <c r="G132" i="43" s="1"/>
  <c r="F105" i="43"/>
  <c r="E105" i="43"/>
  <c r="D105" i="43"/>
  <c r="D132" i="43" s="1"/>
  <c r="C105" i="43"/>
  <c r="C132" i="43" s="1"/>
  <c r="B105" i="43"/>
  <c r="K99" i="43"/>
  <c r="M96" i="43"/>
  <c r="L96" i="43"/>
  <c r="K96" i="43"/>
  <c r="J96" i="43"/>
  <c r="I96" i="43"/>
  <c r="F96" i="43"/>
  <c r="E96" i="43"/>
  <c r="C96" i="43"/>
  <c r="M93" i="43"/>
  <c r="M92" i="43" s="1"/>
  <c r="L92" i="43"/>
  <c r="K92" i="43"/>
  <c r="J92" i="43"/>
  <c r="I92" i="43"/>
  <c r="H92" i="43"/>
  <c r="G92" i="43"/>
  <c r="F92" i="43"/>
  <c r="E92" i="43"/>
  <c r="D92" i="43"/>
  <c r="C92" i="43"/>
  <c r="B92" i="43"/>
  <c r="M90" i="43"/>
  <c r="M89" i="43" s="1"/>
  <c r="L89" i="43"/>
  <c r="K89" i="43"/>
  <c r="J89" i="43"/>
  <c r="I89" i="43"/>
  <c r="H89" i="43"/>
  <c r="G89" i="43"/>
  <c r="F89" i="43"/>
  <c r="E89" i="43"/>
  <c r="D89" i="43"/>
  <c r="C89" i="43"/>
  <c r="B89" i="43"/>
  <c r="M87" i="43"/>
  <c r="M86" i="43" s="1"/>
  <c r="L86" i="43"/>
  <c r="K86" i="43"/>
  <c r="J86" i="43"/>
  <c r="I86" i="43"/>
  <c r="H86" i="43"/>
  <c r="G86" i="43"/>
  <c r="F86" i="43"/>
  <c r="E86" i="43"/>
  <c r="D86" i="43"/>
  <c r="C86" i="43"/>
  <c r="B86" i="43"/>
  <c r="M83" i="43"/>
  <c r="L83" i="43"/>
  <c r="K83" i="43"/>
  <c r="J83" i="43"/>
  <c r="I83" i="43"/>
  <c r="H83" i="43"/>
  <c r="G83" i="43"/>
  <c r="F83" i="43"/>
  <c r="E83" i="43"/>
  <c r="D83" i="43"/>
  <c r="C83" i="43"/>
  <c r="B83" i="43"/>
  <c r="M81" i="43"/>
  <c r="L80" i="43"/>
  <c r="K80" i="43"/>
  <c r="J80" i="43"/>
  <c r="I80" i="43"/>
  <c r="H80" i="43"/>
  <c r="G80" i="43"/>
  <c r="F80" i="43"/>
  <c r="E80" i="43"/>
  <c r="D80" i="43"/>
  <c r="C80" i="43"/>
  <c r="B80" i="43"/>
  <c r="M78" i="43"/>
  <c r="L77" i="43"/>
  <c r="K77" i="43"/>
  <c r="J77" i="43"/>
  <c r="I77" i="43"/>
  <c r="H77" i="43"/>
  <c r="G77" i="43"/>
  <c r="F77" i="43"/>
  <c r="E77" i="43"/>
  <c r="D77" i="43"/>
  <c r="C77" i="43"/>
  <c r="B77" i="43"/>
  <c r="M75" i="43"/>
  <c r="L75" i="43"/>
  <c r="L74" i="43" s="1"/>
  <c r="K74" i="43"/>
  <c r="J74" i="43"/>
  <c r="I74" i="43"/>
  <c r="H74" i="43"/>
  <c r="G74" i="43"/>
  <c r="F74" i="43"/>
  <c r="E74" i="43"/>
  <c r="D74" i="43"/>
  <c r="C74" i="43"/>
  <c r="B74" i="43"/>
  <c r="M72" i="43"/>
  <c r="L72" i="43"/>
  <c r="K72" i="43"/>
  <c r="M71" i="43"/>
  <c r="L71" i="43"/>
  <c r="K71" i="43"/>
  <c r="J71" i="43"/>
  <c r="I71" i="43"/>
  <c r="H71" i="43"/>
  <c r="G71" i="43"/>
  <c r="F71" i="43"/>
  <c r="E71" i="43"/>
  <c r="D71" i="43"/>
  <c r="C71" i="43"/>
  <c r="B71" i="43"/>
  <c r="M69" i="43"/>
  <c r="L69" i="43"/>
  <c r="K69" i="43"/>
  <c r="K68" i="43" s="1"/>
  <c r="M68" i="43"/>
  <c r="L68" i="43"/>
  <c r="J68" i="43"/>
  <c r="I68" i="43"/>
  <c r="H68" i="43"/>
  <c r="G68" i="43"/>
  <c r="F68" i="43"/>
  <c r="E68" i="43"/>
  <c r="D68" i="43"/>
  <c r="C68" i="43"/>
  <c r="B68" i="43"/>
  <c r="M66" i="43"/>
  <c r="L66" i="43"/>
  <c r="K66" i="43"/>
  <c r="J66" i="43"/>
  <c r="L65" i="43"/>
  <c r="K65" i="43"/>
  <c r="J65" i="43"/>
  <c r="I65" i="43"/>
  <c r="H65" i="43"/>
  <c r="G65" i="43"/>
  <c r="F65" i="43"/>
  <c r="E65" i="43"/>
  <c r="D65" i="43"/>
  <c r="C65" i="43"/>
  <c r="B65" i="43"/>
  <c r="M63" i="43"/>
  <c r="L63" i="43"/>
  <c r="L62" i="43" s="1"/>
  <c r="K63" i="43"/>
  <c r="J63" i="43"/>
  <c r="M62" i="43"/>
  <c r="K62" i="43"/>
  <c r="J62" i="43"/>
  <c r="I62" i="43"/>
  <c r="H62" i="43"/>
  <c r="G62" i="43"/>
  <c r="F62" i="43"/>
  <c r="E62" i="43"/>
  <c r="D62" i="43"/>
  <c r="C62" i="43"/>
  <c r="B62" i="43"/>
  <c r="M60" i="43"/>
  <c r="L60" i="43"/>
  <c r="L59" i="43" s="1"/>
  <c r="K60" i="43"/>
  <c r="K59" i="43" s="1"/>
  <c r="J60" i="43"/>
  <c r="I60" i="43"/>
  <c r="M59" i="43"/>
  <c r="J59" i="43"/>
  <c r="I59" i="43"/>
  <c r="H59" i="43"/>
  <c r="G59" i="43"/>
  <c r="F59" i="43"/>
  <c r="E59" i="43"/>
  <c r="D59" i="43"/>
  <c r="C59" i="43"/>
  <c r="B59" i="43"/>
  <c r="M57" i="43"/>
  <c r="L57" i="43"/>
  <c r="L56" i="43" s="1"/>
  <c r="K57" i="43"/>
  <c r="K56" i="43" s="1"/>
  <c r="J57" i="43"/>
  <c r="I57" i="43"/>
  <c r="M56" i="43"/>
  <c r="J56" i="43"/>
  <c r="I56" i="43"/>
  <c r="H56" i="43"/>
  <c r="G56" i="43"/>
  <c r="F56" i="43"/>
  <c r="E56" i="43"/>
  <c r="D56" i="43"/>
  <c r="C56" i="43"/>
  <c r="B56" i="43"/>
  <c r="M54" i="43"/>
  <c r="L54" i="43"/>
  <c r="L53" i="43" s="1"/>
  <c r="K54" i="43"/>
  <c r="K53" i="43" s="1"/>
  <c r="J54" i="43"/>
  <c r="I54" i="43"/>
  <c r="H54" i="43"/>
  <c r="H53" i="43" s="1"/>
  <c r="M53" i="43"/>
  <c r="J53" i="43"/>
  <c r="I53" i="43"/>
  <c r="G53" i="43"/>
  <c r="F53" i="43"/>
  <c r="E53" i="43"/>
  <c r="D53" i="43"/>
  <c r="C53" i="43"/>
  <c r="B53" i="43"/>
  <c r="M51" i="43"/>
  <c r="L51" i="43"/>
  <c r="L50" i="43" s="1"/>
  <c r="K51" i="43"/>
  <c r="J51" i="43"/>
  <c r="I51" i="43"/>
  <c r="I50" i="43" s="1"/>
  <c r="H51" i="43"/>
  <c r="H50" i="43" s="1"/>
  <c r="K50" i="43"/>
  <c r="J50" i="43"/>
  <c r="G50" i="43"/>
  <c r="F50" i="43"/>
  <c r="E50" i="43"/>
  <c r="D50" i="43"/>
  <c r="C50" i="43"/>
  <c r="B50" i="43"/>
  <c r="M48" i="43"/>
  <c r="L48" i="43"/>
  <c r="K48" i="43"/>
  <c r="J48" i="43"/>
  <c r="J47" i="43" s="1"/>
  <c r="I48" i="43"/>
  <c r="I47" i="43" s="1"/>
  <c r="H48" i="43"/>
  <c r="L47" i="43"/>
  <c r="K47" i="43"/>
  <c r="H47" i="43"/>
  <c r="G47" i="43"/>
  <c r="F47" i="43"/>
  <c r="E47" i="43"/>
  <c r="D47" i="43"/>
  <c r="C47" i="43"/>
  <c r="B47" i="43"/>
  <c r="M45" i="43"/>
  <c r="L45" i="43"/>
  <c r="K45" i="43"/>
  <c r="J45" i="43"/>
  <c r="I45" i="43"/>
  <c r="H45" i="43"/>
  <c r="G45" i="43"/>
  <c r="M44" i="43"/>
  <c r="L44" i="43"/>
  <c r="K44" i="43"/>
  <c r="J44" i="43"/>
  <c r="I44" i="43"/>
  <c r="H44" i="43"/>
  <c r="G44" i="43"/>
  <c r="F44" i="43"/>
  <c r="E44" i="43"/>
  <c r="D44" i="43"/>
  <c r="C44" i="43"/>
  <c r="B44" i="43"/>
  <c r="M42" i="43"/>
  <c r="L42" i="43"/>
  <c r="K42" i="43"/>
  <c r="J42" i="43"/>
  <c r="I42" i="43"/>
  <c r="H42" i="43"/>
  <c r="G42" i="43"/>
  <c r="M41" i="43"/>
  <c r="L41" i="43"/>
  <c r="K41" i="43"/>
  <c r="J41" i="43"/>
  <c r="I41" i="43"/>
  <c r="H41" i="43"/>
  <c r="G41" i="43"/>
  <c r="F41" i="43"/>
  <c r="E41" i="43"/>
  <c r="D41" i="43"/>
  <c r="C41" i="43"/>
  <c r="B41" i="43"/>
  <c r="M39" i="43"/>
  <c r="L39" i="43"/>
  <c r="K39" i="43"/>
  <c r="K38" i="43" s="1"/>
  <c r="J39" i="43"/>
  <c r="J38" i="43" s="1"/>
  <c r="I39" i="43"/>
  <c r="H39" i="43"/>
  <c r="G39" i="43"/>
  <c r="F39" i="43"/>
  <c r="F38" i="43" s="1"/>
  <c r="E39" i="43"/>
  <c r="M38" i="43"/>
  <c r="L38" i="43"/>
  <c r="I38" i="43"/>
  <c r="H38" i="43"/>
  <c r="G38" i="43"/>
  <c r="E38" i="43"/>
  <c r="D38" i="43"/>
  <c r="C38" i="43"/>
  <c r="B38" i="43"/>
  <c r="M36" i="43"/>
  <c r="L36" i="43"/>
  <c r="K36" i="43"/>
  <c r="K35" i="43" s="1"/>
  <c r="J36" i="43"/>
  <c r="J35" i="43" s="1"/>
  <c r="I36" i="43"/>
  <c r="H36" i="43"/>
  <c r="G36" i="43"/>
  <c r="G35" i="43" s="1"/>
  <c r="F36" i="43"/>
  <c r="F35" i="43" s="1"/>
  <c r="E36" i="43"/>
  <c r="M35" i="43"/>
  <c r="L35" i="43"/>
  <c r="I35" i="43"/>
  <c r="H35" i="43"/>
  <c r="E35" i="43"/>
  <c r="D35" i="43"/>
  <c r="C35" i="43"/>
  <c r="B35" i="43"/>
  <c r="M33" i="43"/>
  <c r="L33" i="43"/>
  <c r="K33" i="43"/>
  <c r="K32" i="43" s="1"/>
  <c r="J33" i="43"/>
  <c r="J32" i="43" s="1"/>
  <c r="I33" i="43"/>
  <c r="H33" i="43"/>
  <c r="G33" i="43"/>
  <c r="G32" i="43" s="1"/>
  <c r="F33" i="43"/>
  <c r="F32" i="43" s="1"/>
  <c r="E33" i="43"/>
  <c r="D33" i="43"/>
  <c r="M32" i="43"/>
  <c r="L32" i="43"/>
  <c r="I32" i="43"/>
  <c r="H32" i="43"/>
  <c r="E32" i="43"/>
  <c r="D32" i="43"/>
  <c r="C32" i="43"/>
  <c r="B32" i="43"/>
  <c r="M30" i="43"/>
  <c r="L30" i="43"/>
  <c r="L29" i="43" s="1"/>
  <c r="K30" i="43"/>
  <c r="K29" i="43" s="1"/>
  <c r="J30" i="43"/>
  <c r="I30" i="43"/>
  <c r="H30" i="43"/>
  <c r="H29" i="43" s="1"/>
  <c r="G30" i="43"/>
  <c r="G29" i="43" s="1"/>
  <c r="F30" i="43"/>
  <c r="E30" i="43"/>
  <c r="D30" i="43"/>
  <c r="D29" i="43" s="1"/>
  <c r="M29" i="43"/>
  <c r="J29" i="43"/>
  <c r="I29" i="43"/>
  <c r="F29" i="43"/>
  <c r="E29" i="43"/>
  <c r="C29" i="43"/>
  <c r="B29" i="43"/>
  <c r="M27" i="43"/>
  <c r="L27" i="43"/>
  <c r="L26" i="43" s="1"/>
  <c r="K27" i="43"/>
  <c r="J27" i="43"/>
  <c r="I27" i="43"/>
  <c r="I26" i="43" s="1"/>
  <c r="H27" i="43"/>
  <c r="H26" i="43" s="1"/>
  <c r="G27" i="43"/>
  <c r="F27" i="43"/>
  <c r="E27" i="43"/>
  <c r="E26" i="43" s="1"/>
  <c r="D27" i="43"/>
  <c r="D26" i="43" s="1"/>
  <c r="K26" i="43"/>
  <c r="J26" i="43"/>
  <c r="G26" i="43"/>
  <c r="F26" i="43"/>
  <c r="C26" i="43"/>
  <c r="B26" i="43"/>
  <c r="M24" i="43"/>
  <c r="L24" i="43"/>
  <c r="K24" i="43"/>
  <c r="J24" i="43"/>
  <c r="I24" i="43"/>
  <c r="I23" i="43" s="1"/>
  <c r="H24" i="43"/>
  <c r="G24" i="43"/>
  <c r="F24" i="43"/>
  <c r="E24" i="43"/>
  <c r="E23" i="43" s="1"/>
  <c r="D24" i="43"/>
  <c r="C24" i="43"/>
  <c r="B24" i="43"/>
  <c r="L23" i="43"/>
  <c r="K23" i="43"/>
  <c r="J23" i="43"/>
  <c r="H23" i="43"/>
  <c r="G23" i="43"/>
  <c r="F23" i="43"/>
  <c r="D23" i="43"/>
  <c r="C23" i="43"/>
  <c r="B23" i="43"/>
  <c r="M21" i="43"/>
  <c r="L21" i="43"/>
  <c r="L20" i="43" s="1"/>
  <c r="K21" i="43"/>
  <c r="J21" i="43"/>
  <c r="I21" i="43"/>
  <c r="H21" i="43"/>
  <c r="H20" i="43" s="1"/>
  <c r="G21" i="43"/>
  <c r="F21" i="43"/>
  <c r="E21" i="43"/>
  <c r="D21" i="43"/>
  <c r="D20" i="43" s="1"/>
  <c r="C21" i="43"/>
  <c r="B21" i="43"/>
  <c r="M20" i="43"/>
  <c r="K20" i="43"/>
  <c r="J20" i="43"/>
  <c r="I20" i="43"/>
  <c r="G20" i="43"/>
  <c r="F20" i="43"/>
  <c r="E20" i="43"/>
  <c r="C20" i="43"/>
  <c r="B20" i="43"/>
  <c r="M18" i="43"/>
  <c r="L18" i="43"/>
  <c r="K18" i="43"/>
  <c r="K17" i="43" s="1"/>
  <c r="K10" i="43" s="1"/>
  <c r="J18" i="43"/>
  <c r="I18" i="43"/>
  <c r="H18" i="43"/>
  <c r="G18" i="43"/>
  <c r="G17" i="43" s="1"/>
  <c r="G10" i="43" s="1"/>
  <c r="F18" i="43"/>
  <c r="E18" i="43"/>
  <c r="D18" i="43"/>
  <c r="C18" i="43"/>
  <c r="C17" i="43" s="1"/>
  <c r="C10" i="43" s="1"/>
  <c r="B18" i="43"/>
  <c r="M17" i="43"/>
  <c r="L17" i="43"/>
  <c r="J17" i="43"/>
  <c r="I17" i="43"/>
  <c r="H17" i="43"/>
  <c r="F17" i="43"/>
  <c r="E17" i="43"/>
  <c r="D17" i="43"/>
  <c r="B17" i="43"/>
  <c r="M15" i="43"/>
  <c r="L15" i="43"/>
  <c r="K15" i="43"/>
  <c r="J15" i="43"/>
  <c r="J14" i="43" s="1"/>
  <c r="I15" i="43"/>
  <c r="H15" i="43"/>
  <c r="G15" i="43"/>
  <c r="F15" i="43"/>
  <c r="F14" i="43" s="1"/>
  <c r="E15" i="43"/>
  <c r="D15" i="43"/>
  <c r="C15" i="43"/>
  <c r="B15" i="43"/>
  <c r="B14" i="43" s="1"/>
  <c r="M14" i="43"/>
  <c r="L14" i="43"/>
  <c r="K14" i="43"/>
  <c r="I14" i="43"/>
  <c r="H14" i="43"/>
  <c r="G14" i="43"/>
  <c r="E14" i="43"/>
  <c r="D14" i="43"/>
  <c r="C14" i="43"/>
  <c r="M12" i="43"/>
  <c r="L12" i="43"/>
  <c r="L245" i="43" s="1"/>
  <c r="K12" i="43"/>
  <c r="K245" i="43" s="1"/>
  <c r="J12" i="43"/>
  <c r="J245" i="43" s="1"/>
  <c r="I12" i="43"/>
  <c r="I245" i="43" s="1"/>
  <c r="H12" i="43"/>
  <c r="H245" i="43" s="1"/>
  <c r="G12" i="43"/>
  <c r="G245" i="43" s="1"/>
  <c r="F12" i="43"/>
  <c r="F245" i="43" s="1"/>
  <c r="E12" i="43"/>
  <c r="E245" i="43" s="1"/>
  <c r="D12" i="43"/>
  <c r="D245" i="43" s="1"/>
  <c r="C12" i="43"/>
  <c r="C245" i="43" s="1"/>
  <c r="B12" i="43"/>
  <c r="B245" i="43" s="1"/>
  <c r="L11" i="43"/>
  <c r="K11" i="43"/>
  <c r="J11" i="43"/>
  <c r="H11" i="43"/>
  <c r="G11" i="43"/>
  <c r="F11" i="43"/>
  <c r="D11" i="43"/>
  <c r="C11" i="43"/>
  <c r="B11" i="43"/>
  <c r="B10" i="43" s="1"/>
  <c r="M7" i="43"/>
  <c r="L7" i="43"/>
  <c r="K7" i="43"/>
  <c r="J7" i="43"/>
  <c r="I7" i="43"/>
  <c r="H7" i="43"/>
  <c r="G7" i="43"/>
  <c r="F7" i="43"/>
  <c r="E7" i="43"/>
  <c r="D7" i="43"/>
  <c r="C7" i="43"/>
  <c r="B7" i="43"/>
  <c r="B85" i="42"/>
  <c r="C79" i="42"/>
  <c r="B79" i="42"/>
  <c r="C72" i="42"/>
  <c r="C69" i="42"/>
  <c r="C81" i="42" s="1"/>
  <c r="C41" i="42" s="1"/>
  <c r="B69" i="42"/>
  <c r="B81" i="42" s="1"/>
  <c r="B41" i="42" s="1"/>
  <c r="B43" i="42" s="1"/>
  <c r="C60" i="42"/>
  <c r="C59" i="42"/>
  <c r="B59" i="42"/>
  <c r="D59" i="42" s="1"/>
  <c r="A59" i="42"/>
  <c r="C58" i="42"/>
  <c r="B58" i="42"/>
  <c r="D58" i="42" s="1"/>
  <c r="A58" i="42"/>
  <c r="C57" i="42"/>
  <c r="B57" i="42"/>
  <c r="D57" i="42" s="1"/>
  <c r="A57" i="42"/>
  <c r="C56" i="42"/>
  <c r="B56" i="42"/>
  <c r="D56" i="42" s="1"/>
  <c r="A56" i="42"/>
  <c r="C55" i="42"/>
  <c r="B55" i="42"/>
  <c r="D55" i="42" s="1"/>
  <c r="A55" i="42"/>
  <c r="C54" i="42"/>
  <c r="B54" i="42"/>
  <c r="D54" i="42" s="1"/>
  <c r="A54" i="42"/>
  <c r="C53" i="42"/>
  <c r="B53" i="42"/>
  <c r="D53" i="42" s="1"/>
  <c r="A53" i="42"/>
  <c r="C50" i="42"/>
  <c r="C62" i="42" s="1"/>
  <c r="B50" i="42"/>
  <c r="D49" i="42"/>
  <c r="D50" i="42" s="1"/>
  <c r="C49" i="42"/>
  <c r="B49" i="42"/>
  <c r="A49" i="42"/>
  <c r="C46" i="42"/>
  <c r="B46" i="42"/>
  <c r="C32" i="42"/>
  <c r="C43" i="42" s="1"/>
  <c r="B32" i="42"/>
  <c r="C28" i="42"/>
  <c r="C44" i="42" s="1"/>
  <c r="B28" i="42"/>
  <c r="B44" i="42" s="1"/>
  <c r="C23" i="42"/>
  <c r="B23" i="42"/>
  <c r="C14" i="42"/>
  <c r="C13" i="42"/>
  <c r="B13" i="42"/>
  <c r="C11" i="42"/>
  <c r="C10" i="42" s="1"/>
  <c r="B10" i="42"/>
  <c r="B9" i="42" s="1"/>
  <c r="B18" i="42" s="1"/>
  <c r="C7" i="42"/>
  <c r="B7" i="42"/>
  <c r="G100" i="43" l="1"/>
  <c r="L10" i="43"/>
  <c r="E208" i="43"/>
  <c r="E212" i="43" s="1"/>
  <c r="E217" i="43" s="1"/>
  <c r="E225" i="43" s="1"/>
  <c r="I208" i="43"/>
  <c r="I212" i="43" s="1"/>
  <c r="I217" i="43" s="1"/>
  <c r="I225" i="43" s="1"/>
  <c r="M208" i="43"/>
  <c r="M212" i="43" s="1"/>
  <c r="M217" i="43" s="1"/>
  <c r="M225" i="43" s="1"/>
  <c r="F239" i="43"/>
  <c r="F240" i="43" s="1"/>
  <c r="F148" i="43"/>
  <c r="F150" i="43" s="1"/>
  <c r="J239" i="43"/>
  <c r="J240" i="43" s="1"/>
  <c r="J148" i="43"/>
  <c r="H148" i="43"/>
  <c r="H239" i="43"/>
  <c r="H240" i="43" s="1"/>
  <c r="B100" i="43"/>
  <c r="B83" i="42"/>
  <c r="D60" i="42"/>
  <c r="J10" i="43"/>
  <c r="H10" i="43"/>
  <c r="C100" i="43"/>
  <c r="J100" i="43"/>
  <c r="H150" i="43"/>
  <c r="H151" i="43" s="1"/>
  <c r="J150" i="43"/>
  <c r="M173" i="43"/>
  <c r="M177" i="43" s="1"/>
  <c r="M181" i="43" s="1"/>
  <c r="L148" i="43"/>
  <c r="L150" i="43" s="1"/>
  <c r="L239" i="43"/>
  <c r="L240" i="43" s="1"/>
  <c r="L100" i="43"/>
  <c r="D221" i="43"/>
  <c r="D217" i="43"/>
  <c r="D225" i="43" s="1"/>
  <c r="D38" i="42"/>
  <c r="D34" i="42"/>
  <c r="D26" i="42"/>
  <c r="D36" i="42"/>
  <c r="D24" i="42"/>
  <c r="D44" i="42"/>
  <c r="D37" i="42"/>
  <c r="D33" i="42"/>
  <c r="D25" i="42"/>
  <c r="D32" i="42"/>
  <c r="D40" i="42"/>
  <c r="D39" i="42"/>
  <c r="D35" i="42"/>
  <c r="D23" i="42"/>
  <c r="D62" i="42"/>
  <c r="C9" i="42"/>
  <c r="B62" i="42"/>
  <c r="D43" i="42"/>
  <c r="D41" i="42"/>
  <c r="F10" i="43"/>
  <c r="D10" i="43"/>
  <c r="K100" i="43"/>
  <c r="B132" i="43"/>
  <c r="F132" i="43"/>
  <c r="J132" i="43"/>
  <c r="J151" i="43" s="1"/>
  <c r="N161" i="43"/>
  <c r="G208" i="43"/>
  <c r="G212" i="43" s="1"/>
  <c r="G217" i="43" s="1"/>
  <c r="G225" i="43" s="1"/>
  <c r="K208" i="43"/>
  <c r="K212" i="43" s="1"/>
  <c r="K217" i="43" s="1"/>
  <c r="K225" i="43" s="1"/>
  <c r="H232" i="43"/>
  <c r="B60" i="42"/>
  <c r="C85" i="42"/>
  <c r="J232" i="43" s="1"/>
  <c r="E11" i="43"/>
  <c r="E10" i="43" s="1"/>
  <c r="I11" i="43"/>
  <c r="I10" i="43" s="1"/>
  <c r="M11" i="43"/>
  <c r="M23" i="43"/>
  <c r="M65" i="43"/>
  <c r="M77" i="43"/>
  <c r="M80" i="43"/>
  <c r="F160" i="43"/>
  <c r="F171" i="43" s="1"/>
  <c r="F173" i="43" s="1"/>
  <c r="F177" i="43" s="1"/>
  <c r="F181" i="43" s="1"/>
  <c r="F185" i="43" s="1"/>
  <c r="J160" i="43"/>
  <c r="J171" i="43" s="1"/>
  <c r="J173" i="43" s="1"/>
  <c r="J177" i="43" s="1"/>
  <c r="J181" i="43" s="1"/>
  <c r="J185" i="43" s="1"/>
  <c r="H161" i="43"/>
  <c r="H171" i="43" s="1"/>
  <c r="H173" i="43" s="1"/>
  <c r="H177" i="43" s="1"/>
  <c r="H181" i="43" s="1"/>
  <c r="H185" i="43" s="1"/>
  <c r="D165" i="43"/>
  <c r="D171" i="43" s="1"/>
  <c r="E183" i="43"/>
  <c r="E185" i="43" s="1"/>
  <c r="I183" i="43"/>
  <c r="I185" i="43" s="1"/>
  <c r="M183" i="43"/>
  <c r="M245" i="43"/>
  <c r="D28" i="42"/>
  <c r="M47" i="43"/>
  <c r="M119" i="43"/>
  <c r="C156" i="43"/>
  <c r="C157" i="43" s="1"/>
  <c r="C173" i="43" s="1"/>
  <c r="C177" i="43" s="1"/>
  <c r="C181" i="43" s="1"/>
  <c r="C185" i="43" s="1"/>
  <c r="B157" i="43"/>
  <c r="B173" i="43" s="1"/>
  <c r="B177" i="43" s="1"/>
  <c r="B181" i="43" s="1"/>
  <c r="B185" i="43" s="1"/>
  <c r="B192" i="43"/>
  <c r="B208" i="43" s="1"/>
  <c r="B212" i="43" s="1"/>
  <c r="M26" i="43"/>
  <c r="M50" i="43"/>
  <c r="M74" i="43"/>
  <c r="D156" i="43"/>
  <c r="D157" i="43" s="1"/>
  <c r="D173" i="43" s="1"/>
  <c r="D177" i="43" s="1"/>
  <c r="D181" i="43" s="1"/>
  <c r="D185" i="43" s="1"/>
  <c r="C192" i="43"/>
  <c r="C208" i="43" s="1"/>
  <c r="C212" i="43" s="1"/>
  <c r="G11" i="46"/>
  <c r="H11" i="46" s="1"/>
  <c r="G13" i="46"/>
  <c r="H13" i="46" s="1"/>
  <c r="E17" i="46"/>
  <c r="G9" i="46"/>
  <c r="H9" i="46" s="1"/>
  <c r="G12" i="46"/>
  <c r="H12" i="46" s="1"/>
  <c r="G14" i="46"/>
  <c r="H14" i="46" s="1"/>
  <c r="C17" i="46"/>
  <c r="G10" i="46"/>
  <c r="H10" i="46" s="1"/>
  <c r="G16" i="46"/>
  <c r="H16" i="46" s="1"/>
  <c r="E12" i="38"/>
  <c r="E113" i="38"/>
  <c r="E72" i="38"/>
  <c r="E100" i="38"/>
  <c r="E53" i="38"/>
  <c r="E59" i="38"/>
  <c r="E16" i="38"/>
  <c r="E46" i="38"/>
  <c r="E2" i="38"/>
  <c r="E7" i="38" s="1"/>
  <c r="E78" i="38"/>
  <c r="E81" i="38"/>
  <c r="E83" i="38"/>
  <c r="E84" i="38"/>
  <c r="E8" i="38"/>
  <c r="E47" i="38"/>
  <c r="E33" i="38"/>
  <c r="E52" i="38"/>
  <c r="E90" i="38"/>
  <c r="E111" i="38"/>
  <c r="E109" i="38"/>
  <c r="E44" i="38"/>
  <c r="E73" i="38"/>
  <c r="E68" i="38"/>
  <c r="E42" i="38"/>
  <c r="E58" i="38"/>
  <c r="E103" i="38"/>
  <c r="E24" i="38"/>
  <c r="E60" i="38"/>
  <c r="E62" i="38"/>
  <c r="E48" i="38"/>
  <c r="E61" i="38"/>
  <c r="E94" i="38"/>
  <c r="E49" i="38"/>
  <c r="E37" i="38"/>
  <c r="E30" i="38"/>
  <c r="E32" i="38"/>
  <c r="E119" i="38"/>
  <c r="E87" i="38"/>
  <c r="E89" i="38" s="1"/>
  <c r="E107" i="38"/>
  <c r="E108" i="38" s="1"/>
  <c r="E80" i="38"/>
  <c r="D120" i="38" l="1"/>
  <c r="E98" i="38"/>
  <c r="E29" i="38"/>
  <c r="E67" i="38"/>
  <c r="E51" i="38"/>
  <c r="E39" i="38"/>
  <c r="L151" i="43"/>
  <c r="M10" i="43"/>
  <c r="C232" i="43"/>
  <c r="B232" i="43"/>
  <c r="M232" i="43"/>
  <c r="F232" i="43"/>
  <c r="H238" i="43"/>
  <c r="H241" i="43" s="1"/>
  <c r="H242" i="43" s="1"/>
  <c r="E239" i="43"/>
  <c r="E240" i="43" s="1"/>
  <c r="E148" i="43"/>
  <c r="E150" i="43" s="1"/>
  <c r="N245" i="43"/>
  <c r="N246" i="43" s="1"/>
  <c r="E232" i="43"/>
  <c r="G17" i="46"/>
  <c r="M132" i="43"/>
  <c r="O119" i="43"/>
  <c r="N160" i="43"/>
  <c r="I100" i="43"/>
  <c r="L232" i="43"/>
  <c r="N165" i="43"/>
  <c r="N156" i="43"/>
  <c r="K232" i="43"/>
  <c r="M185" i="43"/>
  <c r="N187" i="43" s="1"/>
  <c r="H100" i="43"/>
  <c r="H227" i="43" s="1"/>
  <c r="F238" i="43"/>
  <c r="F241" i="43" s="1"/>
  <c r="F242" i="43" s="1"/>
  <c r="N183" i="43"/>
  <c r="H17" i="46"/>
  <c r="C221" i="43"/>
  <c r="C217" i="43"/>
  <c r="C225" i="43" s="1"/>
  <c r="B221" i="43"/>
  <c r="B217" i="43"/>
  <c r="B225" i="43" s="1"/>
  <c r="E100" i="43"/>
  <c r="K239" i="43"/>
  <c r="K240" i="43" s="1"/>
  <c r="K148" i="43"/>
  <c r="K150" i="43" s="1"/>
  <c r="F151" i="43"/>
  <c r="D100" i="43"/>
  <c r="I232" i="43"/>
  <c r="G232" i="43"/>
  <c r="L238" i="43"/>
  <c r="L241" i="43" s="1"/>
  <c r="L242" i="43" s="1"/>
  <c r="J227" i="43"/>
  <c r="M239" i="43"/>
  <c r="M240" i="43" s="1"/>
  <c r="M148" i="43"/>
  <c r="D232" i="43"/>
  <c r="G239" i="43"/>
  <c r="G240" i="43" s="1"/>
  <c r="G148" i="43"/>
  <c r="G150" i="43" s="1"/>
  <c r="K234" i="43"/>
  <c r="K236" i="43" s="1"/>
  <c r="G234" i="43"/>
  <c r="G236" i="43" s="1"/>
  <c r="C234" i="43"/>
  <c r="C236" i="43" s="1"/>
  <c r="J234" i="43"/>
  <c r="J236" i="43" s="1"/>
  <c r="F234" i="43"/>
  <c r="F236" i="43" s="1"/>
  <c r="B234" i="43"/>
  <c r="B236" i="43" s="1"/>
  <c r="M234" i="43"/>
  <c r="M236" i="43" s="1"/>
  <c r="I234" i="43"/>
  <c r="I236" i="43" s="1"/>
  <c r="E234" i="43"/>
  <c r="E236" i="43" s="1"/>
  <c r="L234" i="43"/>
  <c r="L236" i="43" s="1"/>
  <c r="H234" i="43"/>
  <c r="H236" i="43" s="1"/>
  <c r="D234" i="43"/>
  <c r="D236" i="43" s="1"/>
  <c r="C18" i="42"/>
  <c r="D9" i="42"/>
  <c r="D148" i="43"/>
  <c r="D150" i="43" s="1"/>
  <c r="D239" i="43"/>
  <c r="D240" i="43" s="1"/>
  <c r="L227" i="43"/>
  <c r="J242" i="43"/>
  <c r="J238" i="43"/>
  <c r="J241" i="43" s="1"/>
  <c r="I239" i="43"/>
  <c r="I240" i="43" s="1"/>
  <c r="I148" i="43"/>
  <c r="I150" i="43" s="1"/>
  <c r="F100" i="43"/>
  <c r="F227" i="43" s="1"/>
  <c r="E86" i="38"/>
  <c r="E117" i="38"/>
  <c r="E76" i="38"/>
  <c r="C117" i="38"/>
  <c r="E99" i="38"/>
  <c r="E106" i="38" s="1"/>
  <c r="C120" i="38" l="1"/>
  <c r="I151" i="43"/>
  <c r="D11" i="42"/>
  <c r="C83" i="42"/>
  <c r="D17" i="42"/>
  <c r="D12" i="42"/>
  <c r="D18" i="42"/>
  <c r="D13" i="42"/>
  <c r="D15" i="42"/>
  <c r="D7" i="42"/>
  <c r="D16" i="42"/>
  <c r="D8" i="42"/>
  <c r="D14" i="42"/>
  <c r="D10" i="42"/>
  <c r="G238" i="43"/>
  <c r="M238" i="43"/>
  <c r="K151" i="43"/>
  <c r="K227" i="43" s="1"/>
  <c r="B239" i="43"/>
  <c r="B240" i="43" s="1"/>
  <c r="B148" i="43"/>
  <c r="B150" i="43" s="1"/>
  <c r="C239" i="43"/>
  <c r="C240" i="43" s="1"/>
  <c r="C148" i="43"/>
  <c r="C150" i="43" s="1"/>
  <c r="N157" i="43"/>
  <c r="E151" i="43"/>
  <c r="I238" i="43"/>
  <c r="I241" i="43" s="1"/>
  <c r="I242" i="43" s="1"/>
  <c r="D238" i="43"/>
  <c r="K238" i="43"/>
  <c r="K241" i="43" s="1"/>
  <c r="K242" i="43" s="1"/>
  <c r="E238" i="43"/>
  <c r="E241" i="43" s="1"/>
  <c r="E242" i="43" s="1"/>
  <c r="D151" i="43"/>
  <c r="D227" i="43" s="1"/>
  <c r="D241" i="43"/>
  <c r="D242" i="43" s="1"/>
  <c r="E227" i="43"/>
  <c r="N171" i="43"/>
  <c r="G151" i="43"/>
  <c r="G227" i="43" s="1"/>
  <c r="G241" i="43"/>
  <c r="G242" i="43" s="1"/>
  <c r="O146" i="43"/>
  <c r="M150" i="43"/>
  <c r="I227" i="43"/>
  <c r="M151" i="43"/>
  <c r="N132" i="43"/>
  <c r="M100" i="43"/>
  <c r="N10" i="43"/>
  <c r="E120" i="38"/>
  <c r="G89" i="38" l="1"/>
  <c r="E124" i="38"/>
  <c r="N151" i="43"/>
  <c r="N143" i="43"/>
  <c r="N139" i="43"/>
  <c r="N136" i="43"/>
  <c r="N129" i="43"/>
  <c r="N125" i="43"/>
  <c r="N121" i="43"/>
  <c r="N111" i="43"/>
  <c r="N108" i="43"/>
  <c r="N113" i="43"/>
  <c r="N142" i="43"/>
  <c r="N138" i="43"/>
  <c r="N128" i="43"/>
  <c r="N124" i="43"/>
  <c r="N115" i="43"/>
  <c r="N110" i="43"/>
  <c r="N107" i="43"/>
  <c r="N131" i="43"/>
  <c r="N127" i="43"/>
  <c r="N145" i="43"/>
  <c r="N137" i="43"/>
  <c r="N114" i="43"/>
  <c r="N147" i="43"/>
  <c r="N144" i="43"/>
  <c r="N140" i="43"/>
  <c r="N130" i="43"/>
  <c r="N122" i="43"/>
  <c r="N112" i="43"/>
  <c r="N109" i="43"/>
  <c r="N141" i="43"/>
  <c r="N123" i="43"/>
  <c r="N120" i="43"/>
  <c r="N126" i="43"/>
  <c r="N105" i="43"/>
  <c r="N146" i="43"/>
  <c r="N119" i="43"/>
  <c r="N148" i="43"/>
  <c r="B151" i="43"/>
  <c r="O101" i="43"/>
  <c r="N98" i="43"/>
  <c r="N94" i="43"/>
  <c r="N91" i="43"/>
  <c r="N88" i="43"/>
  <c r="N85" i="43"/>
  <c r="N73" i="43"/>
  <c r="N67" i="43"/>
  <c r="N49" i="43"/>
  <c r="N25" i="43"/>
  <c r="N13" i="43"/>
  <c r="N9" i="43"/>
  <c r="N70" i="43"/>
  <c r="N53" i="43"/>
  <c r="N44" i="43"/>
  <c r="N33" i="43"/>
  <c r="N100" i="43"/>
  <c r="N97" i="43"/>
  <c r="N84" i="43"/>
  <c r="N46" i="43"/>
  <c r="N40" i="43"/>
  <c r="N37" i="43"/>
  <c r="N34" i="43"/>
  <c r="N16" i="43"/>
  <c r="N8" i="43"/>
  <c r="N58" i="43"/>
  <c r="N39" i="43"/>
  <c r="M227" i="43"/>
  <c r="N99" i="43"/>
  <c r="N83" i="43"/>
  <c r="N61" i="43"/>
  <c r="N55" i="43"/>
  <c r="N45" i="43"/>
  <c r="N19" i="43"/>
  <c r="N7" i="43"/>
  <c r="N95" i="43"/>
  <c r="N82" i="43"/>
  <c r="N79" i="43"/>
  <c r="N76" i="43"/>
  <c r="N69" i="43"/>
  <c r="N68" i="43"/>
  <c r="N64" i="43"/>
  <c r="N60" i="43"/>
  <c r="N52" i="43"/>
  <c r="N43" i="43"/>
  <c r="N30" i="43"/>
  <c r="N28" i="43"/>
  <c r="N22" i="43"/>
  <c r="N96" i="43"/>
  <c r="N36" i="43"/>
  <c r="N31" i="43"/>
  <c r="N29" i="43"/>
  <c r="N15" i="43"/>
  <c r="N12" i="43"/>
  <c r="N14" i="43"/>
  <c r="N42" i="43"/>
  <c r="N63" i="43"/>
  <c r="N81" i="43"/>
  <c r="N27" i="43"/>
  <c r="N18" i="43"/>
  <c r="N35" i="43"/>
  <c r="N90" i="43"/>
  <c r="N51" i="43"/>
  <c r="N72" i="43"/>
  <c r="N86" i="43"/>
  <c r="N54" i="43"/>
  <c r="N41" i="43"/>
  <c r="N48" i="43"/>
  <c r="N93" i="43"/>
  <c r="N32" i="43"/>
  <c r="N59" i="43"/>
  <c r="N75" i="43"/>
  <c r="N89" i="43"/>
  <c r="N56" i="43"/>
  <c r="N20" i="43"/>
  <c r="N57" i="43"/>
  <c r="N66" i="43"/>
  <c r="N38" i="43"/>
  <c r="N62" i="43"/>
  <c r="N78" i="43"/>
  <c r="N92" i="43"/>
  <c r="N24" i="43"/>
  <c r="N17" i="43"/>
  <c r="N71" i="43"/>
  <c r="N21" i="43"/>
  <c r="N87" i="43"/>
  <c r="N74" i="43"/>
  <c r="N26" i="43"/>
  <c r="N11" i="43"/>
  <c r="N50" i="43"/>
  <c r="N23" i="43"/>
  <c r="N47" i="43"/>
  <c r="N77" i="43"/>
  <c r="N80" i="43"/>
  <c r="N65" i="43"/>
  <c r="N150" i="43"/>
  <c r="M241" i="43"/>
  <c r="M242" i="43" s="1"/>
  <c r="B238" i="43"/>
  <c r="B241" i="43" s="1"/>
  <c r="B242" i="43" s="1"/>
  <c r="N173" i="43"/>
  <c r="N177" i="43" s="1"/>
  <c r="N181" i="43" s="1"/>
  <c r="N185" i="43" s="1"/>
  <c r="C151" i="43"/>
  <c r="C227" i="43" s="1"/>
  <c r="C238" i="43"/>
  <c r="C241" i="43" s="1"/>
  <c r="C242" i="43" s="1"/>
  <c r="G39" i="38"/>
  <c r="G98" i="38"/>
  <c r="G86" i="38"/>
  <c r="G67" i="38"/>
  <c r="G51" i="38"/>
  <c r="G119" i="38"/>
  <c r="G106" i="38"/>
  <c r="G29" i="38"/>
  <c r="G76" i="38"/>
  <c r="G117" i="38"/>
  <c r="G108" i="38"/>
  <c r="E125" i="38"/>
  <c r="G7" i="38"/>
  <c r="N106" i="43" l="1"/>
  <c r="B227" i="43"/>
  <c r="G120"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K99" authorId="0" shapeId="0" xr:uid="{00000000-0006-0000-0100-000001000000}">
      <text>
        <r>
          <rPr>
            <b/>
            <sz val="9"/>
            <color indexed="81"/>
            <rFont val="Tahoma"/>
            <family val="2"/>
          </rPr>
          <t>Patricia Valdivia:</t>
        </r>
        <r>
          <rPr>
            <sz val="9"/>
            <color indexed="81"/>
            <rFont val="Tahoma"/>
            <family val="2"/>
          </rPr>
          <t xml:space="preserve">
CXC BID</t>
        </r>
      </text>
    </comment>
    <comment ref="K164" authorId="0" shapeId="0" xr:uid="{00000000-0006-0000-0100-000002000000}">
      <text>
        <r>
          <rPr>
            <b/>
            <sz val="9"/>
            <color indexed="81"/>
            <rFont val="Tahoma"/>
            <family val="2"/>
          </rPr>
          <t>Patricia Valdivia:</t>
        </r>
        <r>
          <rPr>
            <sz val="9"/>
            <color indexed="81"/>
            <rFont val="Tahoma"/>
            <family val="2"/>
          </rPr>
          <t xml:space="preserve">
Davies Loan agrrement BIO USD 3,963.56 + Servicios legales IMF USD 1,777.76</t>
        </r>
      </text>
    </comment>
    <comment ref="M170" authorId="0" shapeId="0" xr:uid="{00000000-0006-0000-0100-000003000000}">
      <text>
        <r>
          <rPr>
            <b/>
            <sz val="9"/>
            <color indexed="81"/>
            <rFont val="Tahoma"/>
            <family val="2"/>
          </rPr>
          <t>Patricia Valdivia:</t>
        </r>
        <r>
          <rPr>
            <sz val="9"/>
            <color indexed="81"/>
            <rFont val="Tahoma"/>
            <family val="2"/>
          </rPr>
          <t xml:space="preserve">
Social Score Card Validation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E6FDE54-C5FF-4B29-93AB-6AE96240C284}">
      <text>
        <r>
          <rPr>
            <b/>
            <sz val="9"/>
            <color indexed="81"/>
            <rFont val="Tahoma"/>
            <family val="2"/>
          </rPr>
          <t>Patricia Valdivia:</t>
        </r>
        <r>
          <rPr>
            <sz val="9"/>
            <color indexed="81"/>
            <rFont val="Tahoma"/>
            <family val="2"/>
          </rPr>
          <t xml:space="preserve">
FRONT FEE FMO</t>
        </r>
      </text>
    </comment>
    <comment ref="E44" authorId="0" shapeId="0" xr:uid="{94A0F945-2C83-4798-BC5B-D8470E0487BA}">
      <text>
        <r>
          <rPr>
            <b/>
            <sz val="9"/>
            <color indexed="81"/>
            <rFont val="Tahoma"/>
            <family val="2"/>
          </rPr>
          <t>Patricia Valdivia:</t>
        </r>
        <r>
          <rPr>
            <sz val="9"/>
            <color indexed="81"/>
            <rFont val="Tahoma"/>
            <family val="2"/>
          </rPr>
          <t xml:space="preserve">
JP USD 500
EH USD 500
FM USD 500
HK USD 500</t>
        </r>
      </text>
    </comment>
    <comment ref="E45" authorId="0" shapeId="0" xr:uid="{33345701-B745-4FB9-9BAA-122B33BE980B}">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6E57C997-8E9F-4378-BF17-030004F89839}">
      <text>
        <r>
          <rPr>
            <b/>
            <sz val="9"/>
            <color indexed="81"/>
            <rFont val="Tahoma"/>
            <family val="2"/>
          </rPr>
          <t>Patricia Valdivia:</t>
        </r>
        <r>
          <rPr>
            <sz val="9"/>
            <color indexed="81"/>
            <rFont val="Tahoma"/>
            <family val="2"/>
          </rPr>
          <t xml:space="preserve">
QUINTANILLA</t>
        </r>
      </text>
    </comment>
    <comment ref="E98" authorId="0" shapeId="0" xr:uid="{46F62457-2364-4EBF-9F19-0CA157446F2D}">
      <text>
        <r>
          <rPr>
            <b/>
            <sz val="9"/>
            <color indexed="81"/>
            <rFont val="Tahoma"/>
            <family val="2"/>
          </rPr>
          <t>Patricia Valdivia:</t>
        </r>
        <r>
          <rPr>
            <sz val="9"/>
            <color indexed="81"/>
            <rFont val="Tahoma"/>
            <family val="2"/>
          </rPr>
          <t xml:space="preserve">
MONITORING FEE FMO USD 5,000</t>
        </r>
      </text>
    </comment>
    <comment ref="D131" authorId="0" shapeId="0" xr:uid="{8C8981B0-CF6D-4910-9EA3-2613CE7843AA}">
      <text>
        <r>
          <rPr>
            <b/>
            <sz val="9"/>
            <color indexed="81"/>
            <rFont val="Tahoma"/>
            <family val="2"/>
          </rPr>
          <t>Patricia Valdivia:</t>
        </r>
        <r>
          <rPr>
            <sz val="9"/>
            <color indexed="81"/>
            <rFont val="Tahoma"/>
            <family val="2"/>
          </rPr>
          <t xml:space="preserve">
DD EQUIPAT USD 3,000
DD CONTACTAR USD 1,470</t>
        </r>
      </text>
    </comment>
    <comment ref="E131" authorId="0" shapeId="0" xr:uid="{1C9A9ECD-0621-4A97-8F62-5D8898435CD5}">
      <text>
        <r>
          <rPr>
            <b/>
            <sz val="9"/>
            <color indexed="81"/>
            <rFont val="Tahoma"/>
            <family val="2"/>
          </rPr>
          <t>Patricia Valdivia:</t>
        </r>
        <r>
          <rPr>
            <sz val="9"/>
            <color indexed="81"/>
            <rFont val="Tahoma"/>
            <family val="2"/>
          </rPr>
          <t xml:space="preserve">
DD INSOTEC USD 2,000
DD IDH USD 1,980</t>
        </r>
      </text>
    </comment>
    <comment ref="F131" authorId="0" shapeId="0" xr:uid="{7A64E51D-3DDB-4E7C-B203-D4268504C1BA}">
      <text>
        <r>
          <rPr>
            <b/>
            <sz val="9"/>
            <color indexed="81"/>
            <rFont val="Tahoma"/>
            <family val="2"/>
          </rPr>
          <t>Patricia Valdivia:</t>
        </r>
        <r>
          <rPr>
            <sz val="9"/>
            <color indexed="81"/>
            <rFont val="Tahoma"/>
            <family val="2"/>
          </rPr>
          <t xml:space="preserve">
DD INSOTEC USD 2,000
DD IDH USD 1,980</t>
        </r>
      </text>
    </comment>
    <comment ref="A134" authorId="0" shapeId="0" xr:uid="{57974599-BE21-4092-B8D3-2F9F7D9024D1}">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D3DBB996-4DBC-4119-959D-7827DD4D07DF}">
      <text>
        <r>
          <rPr>
            <b/>
            <sz val="9"/>
            <color indexed="81"/>
            <rFont val="Tahoma"/>
            <family val="2"/>
          </rPr>
          <t>Patricia Valdivia:</t>
        </r>
        <r>
          <rPr>
            <sz val="9"/>
            <color indexed="81"/>
            <rFont val="Tahoma"/>
            <family val="2"/>
          </rPr>
          <t xml:space="preserve">
TRADUCCION DLS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61" authorId="0" shapeId="0" xr:uid="{502E9DBB-6D5F-409B-9AB4-38B57EDEBF05}">
      <text>
        <r>
          <rPr>
            <b/>
            <sz val="9"/>
            <color indexed="81"/>
            <rFont val="Tahoma"/>
            <family val="2"/>
          </rPr>
          <t>Patricia Valdivia:</t>
        </r>
        <r>
          <rPr>
            <sz val="9"/>
            <color indexed="81"/>
            <rFont val="Tahoma"/>
            <family val="2"/>
          </rPr>
          <t xml:space="preserve">
QUINTANILLA USD 102.64
DOCURAPID USD 176
QUINTANILLA USD 1,275</t>
        </r>
      </text>
    </comment>
    <comment ref="C61" authorId="0" shapeId="0" xr:uid="{912B4818-14C8-4485-92EE-F8D461084E55}">
      <text>
        <r>
          <rPr>
            <b/>
            <sz val="9"/>
            <color indexed="81"/>
            <rFont val="Tahoma"/>
            <family val="2"/>
          </rPr>
          <t>Patricia Valdivia:</t>
        </r>
        <r>
          <rPr>
            <sz val="9"/>
            <color indexed="81"/>
            <rFont val="Tahoma"/>
            <family val="2"/>
          </rPr>
          <t xml:space="preserve">
QUINTANILLA USD 102.64
QUINTANILLA USD 1,275
DVIES USD 3.744.02</t>
        </r>
      </text>
    </comment>
    <comment ref="B63" authorId="0" shapeId="0" xr:uid="{BE468FDF-1A33-4A9B-8D6B-AF7398ADC73C}">
      <text>
        <r>
          <rPr>
            <b/>
            <sz val="9"/>
            <color indexed="81"/>
            <rFont val="Tahoma"/>
            <family val="2"/>
          </rPr>
          <t>Patricia Valdivia:</t>
        </r>
        <r>
          <rPr>
            <sz val="9"/>
            <color indexed="81"/>
            <rFont val="Tahoma"/>
            <family val="2"/>
          </rPr>
          <t xml:space="preserve">
DUODECIMAS DEL MONTO APROXIMADO DE USD 20,000</t>
        </r>
      </text>
    </comment>
    <comment ref="C63" authorId="0" shapeId="0" xr:uid="{901CE19B-42A2-4A5B-84C3-0CA39A8C5BC3}">
      <text>
        <r>
          <rPr>
            <b/>
            <sz val="9"/>
            <color indexed="81"/>
            <rFont val="Tahoma"/>
            <family val="2"/>
          </rPr>
          <t>Patricia Valdivia:</t>
        </r>
        <r>
          <rPr>
            <sz val="9"/>
            <color indexed="81"/>
            <rFont val="Tahoma"/>
            <family val="2"/>
          </rPr>
          <t xml:space="preserve">
DUODECIMAS DEL MONTO APROXIMADO DE USD 20,000</t>
        </r>
      </text>
    </comment>
    <comment ref="C104" authorId="0" shapeId="0" xr:uid="{33E19E56-2394-4E57-A4FD-90A385282617}">
      <text>
        <r>
          <rPr>
            <b/>
            <sz val="9"/>
            <color indexed="81"/>
            <rFont val="Tahoma"/>
            <family val="2"/>
          </rPr>
          <t>Patricia Valdivia:</t>
        </r>
        <r>
          <rPr>
            <sz val="9"/>
            <color indexed="81"/>
            <rFont val="Tahoma"/>
            <family val="2"/>
          </rPr>
          <t xml:space="preserve">
DESEMBOLSO INSOTEC</t>
        </r>
      </text>
    </comment>
    <comment ref="C105" authorId="0" shapeId="0" xr:uid="{6B1D593F-04B9-4739-B937-CC913A093B7D}">
      <text>
        <r>
          <rPr>
            <b/>
            <sz val="9"/>
            <color indexed="81"/>
            <rFont val="Tahoma"/>
            <family val="2"/>
          </rPr>
          <t>Patricia Valdivia:</t>
        </r>
        <r>
          <rPr>
            <sz val="9"/>
            <color indexed="81"/>
            <rFont val="Tahoma"/>
            <family val="2"/>
          </rPr>
          <t xml:space="preserve">
Desembolso Insotec</t>
        </r>
      </text>
    </comment>
    <comment ref="B106" authorId="0" shapeId="0" xr:uid="{95F4C816-1BEB-47CA-B21F-504EC1D7E5D7}">
      <text>
        <r>
          <rPr>
            <b/>
            <sz val="9"/>
            <color indexed="81"/>
            <rFont val="Tahoma"/>
            <family val="2"/>
          </rPr>
          <t>Patricia Valdivia:</t>
        </r>
        <r>
          <rPr>
            <sz val="9"/>
            <color indexed="81"/>
            <rFont val="Tahoma"/>
            <family val="2"/>
          </rPr>
          <t xml:space="preserve">
INGRESO GANADO POR BCP MIAMI USD 410.72
INGRESO GANADO POR PASNEC USD 1,918.63</t>
        </r>
      </text>
    </comment>
    <comment ref="C106" authorId="0" shapeId="0" xr:uid="{2C1E6341-4ED8-4A2D-85D4-F1248FA05E6B}">
      <text>
        <r>
          <rPr>
            <b/>
            <sz val="9"/>
            <color indexed="81"/>
            <rFont val="Tahoma"/>
            <family val="2"/>
          </rPr>
          <t>Patricia Valdivia:</t>
        </r>
        <r>
          <rPr>
            <sz val="9"/>
            <color indexed="81"/>
            <rFont val="Tahoma"/>
            <family val="2"/>
          </rPr>
          <t xml:space="preserve">
INTERES GANADO EN BCP MIAMI</t>
        </r>
      </text>
    </comment>
    <comment ref="C112" authorId="0" shapeId="0" xr:uid="{55CA5CCD-DD01-4D0B-A4C9-59EF109DF51A}">
      <text>
        <r>
          <rPr>
            <b/>
            <sz val="9"/>
            <color indexed="81"/>
            <rFont val="Tahoma"/>
            <family val="2"/>
          </rPr>
          <t>Patricia Valdivia:</t>
        </r>
        <r>
          <rPr>
            <sz val="9"/>
            <color indexed="81"/>
            <rFont val="Tahoma"/>
            <family val="2"/>
          </rPr>
          <t xml:space="preserve">
UP FRON FEE BIO SOBRE USD 10,000
COMMITMENT FEE DFC</t>
        </r>
      </text>
    </comment>
  </commentList>
</comments>
</file>

<file path=xl/sharedStrings.xml><?xml version="1.0" encoding="utf-8"?>
<sst xmlns="http://schemas.openxmlformats.org/spreadsheetml/2006/main" count="886" uniqueCount="429">
  <si>
    <t>November</t>
  </si>
  <si>
    <t>December</t>
  </si>
  <si>
    <t>ASSETS</t>
  </si>
  <si>
    <t>TOTAL ASSETS</t>
  </si>
  <si>
    <t>LIABILITIES</t>
  </si>
  <si>
    <t>TOTAL LIABILITIES</t>
  </si>
  <si>
    <t>EQUITY</t>
  </si>
  <si>
    <t>TOTAL EQUITY</t>
  </si>
  <si>
    <t>TOTAL INCOME</t>
  </si>
  <si>
    <t>Cash and cash equivalent</t>
  </si>
  <si>
    <t>Period Profit/Loss</t>
  </si>
  <si>
    <t>TOTAL LIABILITY AND EQUITY</t>
  </si>
  <si>
    <t>INCOME</t>
  </si>
  <si>
    <t>EXPENSES</t>
  </si>
  <si>
    <t>Management Fees</t>
  </si>
  <si>
    <t>TOTAL EXPENSES</t>
  </si>
  <si>
    <t xml:space="preserve">        MIF</t>
  </si>
  <si>
    <t xml:space="preserve">        Norfund</t>
  </si>
  <si>
    <t xml:space="preserve">        FMO</t>
  </si>
  <si>
    <t>Management Fee paid in advance</t>
  </si>
  <si>
    <t>Accounts Payable</t>
  </si>
  <si>
    <t xml:space="preserve">        Legal Services</t>
  </si>
  <si>
    <t xml:space="preserve">                Accrued Interests</t>
  </si>
  <si>
    <t>Short Term Liabilities</t>
  </si>
  <si>
    <t>Legal Expenses</t>
  </si>
  <si>
    <t xml:space="preserve">        BCP Miami</t>
  </si>
  <si>
    <t>Others</t>
  </si>
  <si>
    <t>Bank and Account Charges</t>
  </si>
  <si>
    <t>Paraguay</t>
  </si>
  <si>
    <t>MONTHLY PROFIT/LOSS</t>
  </si>
  <si>
    <t>Accumulated</t>
  </si>
  <si>
    <t>% of Total Assets</t>
  </si>
  <si>
    <t xml:space="preserve">                Principal</t>
  </si>
  <si>
    <t>Nicaragua</t>
  </si>
  <si>
    <t xml:space="preserve">        External Audit </t>
  </si>
  <si>
    <t>External Audit Expenses</t>
  </si>
  <si>
    <t>Honduras</t>
  </si>
  <si>
    <t xml:space="preserve">        BIO</t>
  </si>
  <si>
    <t>Colombia</t>
  </si>
  <si>
    <t xml:space="preserve">PROFIT / LOSS </t>
  </si>
  <si>
    <t>Ecuador</t>
  </si>
  <si>
    <t>Total</t>
  </si>
  <si>
    <t>Capital</t>
  </si>
  <si>
    <t xml:space="preserve">        Hyos Invest Holding AG</t>
  </si>
  <si>
    <t>Loans Receivable (1)</t>
  </si>
  <si>
    <t>Bolivia</t>
  </si>
  <si>
    <t>México</t>
  </si>
  <si>
    <t>El Salvador</t>
  </si>
  <si>
    <t>Guatemala</t>
  </si>
  <si>
    <t xml:space="preserve">Loans Interests </t>
  </si>
  <si>
    <t>Costa Rica</t>
  </si>
  <si>
    <t xml:space="preserve">Fie Gran Poder II </t>
  </si>
  <si>
    <t>Ecofuturo</t>
  </si>
  <si>
    <t>Adopem</t>
  </si>
  <si>
    <t>Crezcamos</t>
  </si>
  <si>
    <t>Country</t>
  </si>
  <si>
    <t>Entity</t>
  </si>
  <si>
    <t>Principal</t>
  </si>
  <si>
    <t>Accrued Interests</t>
  </si>
  <si>
    <t>Argentina</t>
  </si>
  <si>
    <t>Fie GP III</t>
  </si>
  <si>
    <t>Total Argentina</t>
  </si>
  <si>
    <t xml:space="preserve">Diaconia </t>
  </si>
  <si>
    <t>Total Bolivia</t>
  </si>
  <si>
    <t xml:space="preserve">Fundación Mundo Mujer </t>
  </si>
  <si>
    <t>Contactar</t>
  </si>
  <si>
    <t>Contactar II</t>
  </si>
  <si>
    <t>Total Colombia</t>
  </si>
  <si>
    <t xml:space="preserve">Acorde </t>
  </si>
  <si>
    <t>Total Costa Rica</t>
  </si>
  <si>
    <t>D-Miro III</t>
  </si>
  <si>
    <t>Espoir IV</t>
  </si>
  <si>
    <t xml:space="preserve">Insotec II </t>
  </si>
  <si>
    <t>Total Ecuador</t>
  </si>
  <si>
    <t>Total El Salvador</t>
  </si>
  <si>
    <t xml:space="preserve">Genesis </t>
  </si>
  <si>
    <t>Total Guatemala</t>
  </si>
  <si>
    <t xml:space="preserve">Odef </t>
  </si>
  <si>
    <t>Odef II</t>
  </si>
  <si>
    <t>Total Honduras</t>
  </si>
  <si>
    <t>En Confianza</t>
  </si>
  <si>
    <t>Total México</t>
  </si>
  <si>
    <t>Total Paraguay</t>
  </si>
  <si>
    <t xml:space="preserve">Arariwa </t>
  </si>
  <si>
    <t xml:space="preserve">Arariwa II </t>
  </si>
  <si>
    <t>Profinanzas S.A.</t>
  </si>
  <si>
    <t>Proempresa</t>
  </si>
  <si>
    <t>Total Perú</t>
  </si>
  <si>
    <t>República Dominicana</t>
  </si>
  <si>
    <t xml:space="preserve">Ademi </t>
  </si>
  <si>
    <t>Total República Dominicana</t>
  </si>
  <si>
    <t xml:space="preserve">Total </t>
  </si>
  <si>
    <t>Emprender</t>
  </si>
  <si>
    <t>D-Miro IV</t>
  </si>
  <si>
    <t>MasKapital</t>
  </si>
  <si>
    <t>Amc II</t>
  </si>
  <si>
    <t xml:space="preserve">Amc </t>
  </si>
  <si>
    <t>Fundación Paraguaya II</t>
  </si>
  <si>
    <t xml:space="preserve">Ademi II  </t>
  </si>
  <si>
    <t xml:space="preserve">Insotec III </t>
  </si>
  <si>
    <t>Idepro</t>
  </si>
  <si>
    <t>Perú</t>
  </si>
  <si>
    <t>Fundación Paraguaya III</t>
  </si>
  <si>
    <t>Nueva Visión</t>
  </si>
  <si>
    <t>Forjadores de Negocios II</t>
  </si>
  <si>
    <t>Emprender II</t>
  </si>
  <si>
    <t>PROFIT/LOSS ACUMULATE</t>
  </si>
  <si>
    <t>Faces</t>
  </si>
  <si>
    <t>Contactar III</t>
  </si>
  <si>
    <t>MasKapital II</t>
  </si>
  <si>
    <t>Fundación Alternativa</t>
  </si>
  <si>
    <t>Edpyme Raiz</t>
  </si>
  <si>
    <t xml:space="preserve">       Fubode</t>
  </si>
  <si>
    <t>FDL</t>
  </si>
  <si>
    <t>Fubode</t>
  </si>
  <si>
    <t>Insotec IV</t>
  </si>
  <si>
    <t>Total Nicaragua</t>
  </si>
  <si>
    <t xml:space="preserve">        BIM Microfinance</t>
  </si>
  <si>
    <t>Year 2013 (in USD)</t>
  </si>
  <si>
    <t>Comprobante</t>
  </si>
  <si>
    <t>Dec - 13</t>
  </si>
  <si>
    <t xml:space="preserve">LOCFUND II L.P. FINANCIAL STATEMENTS in USD (2013) </t>
  </si>
  <si>
    <t xml:space="preserve">       PISA S.A.</t>
  </si>
  <si>
    <t xml:space="preserve">       SIFEM</t>
  </si>
  <si>
    <t xml:space="preserve">       Credit Committe Meetings Costs</t>
  </si>
  <si>
    <t>Credit Committee</t>
  </si>
  <si>
    <t>Accounts Receivable  BIO</t>
  </si>
  <si>
    <t>Preoperational expenses</t>
  </si>
  <si>
    <t>Preoperational Legal expenses</t>
  </si>
  <si>
    <t xml:space="preserve">       Insotec  </t>
  </si>
  <si>
    <t xml:space="preserve">LOCFUND II L.P. FINANCIAL STATEMENTS in USD (2014) </t>
  </si>
  <si>
    <t>Year 2014 (in USD)</t>
  </si>
  <si>
    <t>January</t>
  </si>
  <si>
    <t xml:space="preserve">       Diaconia</t>
  </si>
  <si>
    <t xml:space="preserve">       Fama</t>
  </si>
  <si>
    <t xml:space="preserve">       Apoyo Integral</t>
  </si>
  <si>
    <t>Accumulated Results</t>
  </si>
  <si>
    <t>PROFIT / LOSS before provisions</t>
  </si>
  <si>
    <t>Bad Loans Provisions</t>
  </si>
  <si>
    <t>PROFIT / LOSS after provisions</t>
  </si>
  <si>
    <t>Management Performance Bonus</t>
  </si>
  <si>
    <t>PROFIT / LOSS before FX</t>
  </si>
  <si>
    <t>Exchange Rate Difference</t>
  </si>
  <si>
    <t>PROFIT / LOSS after FX</t>
  </si>
  <si>
    <t>February</t>
  </si>
  <si>
    <t xml:space="preserve">       Insotec</t>
  </si>
  <si>
    <t>Interests result acumulate</t>
  </si>
  <si>
    <t>Annualized Portfolio return</t>
  </si>
  <si>
    <t>Avg. Return over portfolio</t>
  </si>
  <si>
    <t xml:space="preserve">Avg.  portfolio </t>
  </si>
  <si>
    <t>FX result acumulate</t>
  </si>
  <si>
    <t xml:space="preserve">FX result over portfolio </t>
  </si>
  <si>
    <t>Estimaded result Dic. 2014</t>
  </si>
  <si>
    <t>Acumulate result</t>
  </si>
  <si>
    <t>Anualized result</t>
  </si>
  <si>
    <t>Avg. Equity</t>
  </si>
  <si>
    <t>ROE</t>
  </si>
  <si>
    <t>Principal (loans)</t>
  </si>
  <si>
    <t>Credit Committe Meetings Costs</t>
  </si>
  <si>
    <t>Senior Loans - Commitment Fees</t>
  </si>
  <si>
    <t>Senior Loans - Closing and Commitment Fees</t>
  </si>
  <si>
    <t>Senior Loans - Closing fees paid in advance</t>
  </si>
  <si>
    <t>March</t>
  </si>
  <si>
    <t xml:space="preserve">       Fama II</t>
  </si>
  <si>
    <t xml:space="preserve">      Comixmul</t>
  </si>
  <si>
    <t xml:space="preserve">       Amc</t>
  </si>
  <si>
    <t>Accounts Receivable</t>
  </si>
  <si>
    <t>Reserve for Currency Loss</t>
  </si>
  <si>
    <t xml:space="preserve">       Reserve of the Period</t>
  </si>
  <si>
    <t>April</t>
  </si>
  <si>
    <t xml:space="preserve">       Maskapítal</t>
  </si>
  <si>
    <t xml:space="preserve">       Amc II</t>
  </si>
  <si>
    <t>Long Term Liabilities (2)</t>
  </si>
  <si>
    <t xml:space="preserve">        SIFEM</t>
  </si>
  <si>
    <t>Interest Rate Subordinated Loans</t>
  </si>
  <si>
    <t xml:space="preserve">Senior Loans </t>
  </si>
  <si>
    <t>Senior Loans Interests</t>
  </si>
  <si>
    <t>Mexico</t>
  </si>
  <si>
    <t>Total Mexico</t>
  </si>
  <si>
    <t>May</t>
  </si>
  <si>
    <t xml:space="preserve">        HYOS</t>
  </si>
  <si>
    <t>Jun</t>
  </si>
  <si>
    <t xml:space="preserve">       Faces</t>
  </si>
  <si>
    <t xml:space="preserve">       Finca</t>
  </si>
  <si>
    <t xml:space="preserve">       Advisory Committe Meetings Costs</t>
  </si>
  <si>
    <t xml:space="preserve">       Legal Services</t>
  </si>
  <si>
    <t xml:space="preserve">       Management Fee - Senior Loans</t>
  </si>
  <si>
    <t>Advisory Committee Meetings Costs</t>
  </si>
  <si>
    <t>Jul</t>
  </si>
  <si>
    <t xml:space="preserve">       MiCredito</t>
  </si>
  <si>
    <t xml:space="preserve">       Fama OPDF</t>
  </si>
  <si>
    <t xml:space="preserve">       Faces II</t>
  </si>
  <si>
    <t>Loan Loss Reserve</t>
  </si>
  <si>
    <t>Faces II</t>
  </si>
  <si>
    <t>August</t>
  </si>
  <si>
    <t xml:space="preserve">       Espoir</t>
  </si>
  <si>
    <t xml:space="preserve">      Insotec II</t>
  </si>
  <si>
    <t>Insurance - D&amp;O</t>
  </si>
  <si>
    <t xml:space="preserve">       Insurance - D&amp;O</t>
  </si>
  <si>
    <t>Espoir</t>
  </si>
  <si>
    <t>September</t>
  </si>
  <si>
    <t xml:space="preserve">      Finca II</t>
  </si>
  <si>
    <t xml:space="preserve">      F. Paraguaya</t>
  </si>
  <si>
    <t xml:space="preserve">        BCP Miami - Restricted Funds TSF</t>
  </si>
  <si>
    <t>D&amp;O Insurance paid in advance</t>
  </si>
  <si>
    <t>TSF Income</t>
  </si>
  <si>
    <t>TSF Expenses</t>
  </si>
  <si>
    <t>TSF (Donors)</t>
  </si>
  <si>
    <t>October</t>
  </si>
  <si>
    <t xml:space="preserve">      MiCredito II</t>
  </si>
  <si>
    <t xml:space="preserve">      ASEI</t>
  </si>
  <si>
    <t xml:space="preserve">      AMC III</t>
  </si>
  <si>
    <t>Analysis Fee - IDB Loan</t>
  </si>
  <si>
    <t xml:space="preserve">      Fubode II</t>
  </si>
  <si>
    <t xml:space="preserve">      FDL</t>
  </si>
  <si>
    <t xml:space="preserve">      ODEF</t>
  </si>
  <si>
    <t xml:space="preserve">      F. Dominicana</t>
  </si>
  <si>
    <t xml:space="preserve">      Proempresa</t>
  </si>
  <si>
    <t xml:space="preserve">      Contactar</t>
  </si>
  <si>
    <t xml:space="preserve">       Others</t>
  </si>
  <si>
    <t>F. Dominicana</t>
  </si>
  <si>
    <t>Period Profit/Loss Net of FX Reserves</t>
  </si>
  <si>
    <t xml:space="preserve">       Accumulated Reserve</t>
  </si>
  <si>
    <t>Panamá</t>
  </si>
  <si>
    <t>Total Panamá</t>
  </si>
  <si>
    <t xml:space="preserve">        External Auditors </t>
  </si>
  <si>
    <t xml:space="preserve">       Management Fee </t>
  </si>
  <si>
    <t>Diaconia II</t>
  </si>
  <si>
    <t>Maskapital II</t>
  </si>
  <si>
    <t>Procaja</t>
  </si>
  <si>
    <t>Capital Committment</t>
  </si>
  <si>
    <t xml:space="preserve">Opex Cap </t>
  </si>
  <si>
    <t>Opex Cap /Commitment</t>
  </si>
  <si>
    <t>Adjustments</t>
  </si>
  <si>
    <t>June Estimated</t>
  </si>
  <si>
    <t>Accumulated
 May 2016</t>
  </si>
  <si>
    <t>2016H2
Estimated</t>
  </si>
  <si>
    <t>2016
Estimated</t>
  </si>
  <si>
    <t>Adjusted
May 2016</t>
  </si>
  <si>
    <t>Comprobante k+i</t>
  </si>
  <si>
    <t>Pro Mujer Nicaragua III</t>
  </si>
  <si>
    <t>Maskapital III</t>
  </si>
  <si>
    <t>Faces III</t>
  </si>
  <si>
    <t>ASEI V</t>
  </si>
  <si>
    <t>FAFIDESS II</t>
  </si>
  <si>
    <t>Espoir II</t>
  </si>
  <si>
    <t>Vision Fund</t>
  </si>
  <si>
    <t>FDL III</t>
  </si>
  <si>
    <t>Finca V</t>
  </si>
  <si>
    <t>OMLA</t>
  </si>
  <si>
    <t>Contactar IV</t>
  </si>
  <si>
    <t>Contactar V</t>
  </si>
  <si>
    <t>Contactar VI</t>
  </si>
  <si>
    <t>Espoir III</t>
  </si>
  <si>
    <t>FDL IV</t>
  </si>
  <si>
    <t>IDH Honduras II</t>
  </si>
  <si>
    <t>Faces IV</t>
  </si>
  <si>
    <t>ASEI VI</t>
  </si>
  <si>
    <t>FAFIDESS III</t>
  </si>
  <si>
    <t>Contactar VII</t>
  </si>
  <si>
    <t>Procaja II</t>
  </si>
  <si>
    <t>FIE GP II</t>
  </si>
  <si>
    <t>ASEI VII</t>
  </si>
  <si>
    <t>Pro Mujer Nicaragua IV</t>
  </si>
  <si>
    <t>FAFIDESS IV</t>
  </si>
  <si>
    <t>Apoyo Integral III</t>
  </si>
  <si>
    <t>Faces V</t>
  </si>
  <si>
    <t>Espoir V</t>
  </si>
  <si>
    <t>Microserfin II</t>
  </si>
  <si>
    <t>MONTHLY PROFIT/(LOSS)</t>
  </si>
  <si>
    <t>Contactar VIII</t>
  </si>
  <si>
    <t>IDH Honduras III</t>
  </si>
  <si>
    <t>MiCredito IV</t>
  </si>
  <si>
    <t xml:space="preserve"> Insotec VII</t>
  </si>
  <si>
    <t xml:space="preserve"> Espoir VI</t>
  </si>
  <si>
    <t xml:space="preserve"> Banco Popular</t>
  </si>
  <si>
    <t>Maskapital IV</t>
  </si>
  <si>
    <t>PROFIT/(LOSS) ACCUMULATED</t>
  </si>
  <si>
    <t>ADISA IV</t>
  </si>
  <si>
    <t>Vision Fund II</t>
  </si>
  <si>
    <t>Diaconia III</t>
  </si>
  <si>
    <t>R. Dominicana</t>
  </si>
  <si>
    <t>Total R. Dominicana</t>
  </si>
  <si>
    <t>ASPIRE IV</t>
  </si>
  <si>
    <t>Arariwa II</t>
  </si>
  <si>
    <t>Edpyme Alternativa</t>
  </si>
  <si>
    <t>ASEI VIII</t>
  </si>
  <si>
    <t>Promujer Bolivia IV</t>
  </si>
  <si>
    <t xml:space="preserve">       MFX</t>
  </si>
  <si>
    <t>ASPIRE V</t>
  </si>
  <si>
    <t xml:space="preserve"> Banco Popular II</t>
  </si>
  <si>
    <t xml:space="preserve">       Capital and Interest received in advance</t>
  </si>
  <si>
    <t xml:space="preserve"> Insotec VIII</t>
  </si>
  <si>
    <t>ASEI IX</t>
  </si>
  <si>
    <t>FAFIDESS V</t>
  </si>
  <si>
    <t>IDH Honduras IV</t>
  </si>
  <si>
    <t xml:space="preserve"> Insotec IX</t>
  </si>
  <si>
    <t>Apoyo Integral IV</t>
  </si>
  <si>
    <t>Edpyme Alternativa II</t>
  </si>
  <si>
    <t>Pro Mujer Nicaragua V</t>
  </si>
  <si>
    <t>Sofipa</t>
  </si>
  <si>
    <t>Apoyo Integral V</t>
  </si>
  <si>
    <t>Credicampo IV</t>
  </si>
  <si>
    <t>DMIRO III</t>
  </si>
  <si>
    <t>Contactar IX</t>
  </si>
  <si>
    <t>Genesis</t>
  </si>
  <si>
    <t>Genesis II</t>
  </si>
  <si>
    <t>Genesis III</t>
  </si>
  <si>
    <t>IDH Honduras V</t>
  </si>
  <si>
    <t>Credicampo V</t>
  </si>
  <si>
    <t>Credicampo VI</t>
  </si>
  <si>
    <t>IDH Honduras VI</t>
  </si>
  <si>
    <t>Vision Fund III</t>
  </si>
  <si>
    <t>AHSETFIN II</t>
  </si>
  <si>
    <t>PRISMA</t>
  </si>
  <si>
    <t>Insotec X</t>
  </si>
  <si>
    <t>Procaja III</t>
  </si>
  <si>
    <t>Sofipa II</t>
  </si>
  <si>
    <t>Arariwa III</t>
  </si>
  <si>
    <t>CFE</t>
  </si>
  <si>
    <t>PADECOMS VI</t>
  </si>
  <si>
    <t>AMC HONDURAS III</t>
  </si>
  <si>
    <t>ASEI XI</t>
  </si>
  <si>
    <t>Insotec XI</t>
  </si>
  <si>
    <t>ASEI X</t>
  </si>
  <si>
    <t>Edpyme Alternativa III</t>
  </si>
  <si>
    <t>Espoir VIII</t>
  </si>
  <si>
    <t>Vision Fund IV</t>
  </si>
  <si>
    <t>ADICLA II</t>
  </si>
  <si>
    <t>Edpyme Alternativa IV</t>
  </si>
  <si>
    <t>PADECOMS VII</t>
  </si>
  <si>
    <t>EQUIPATE</t>
  </si>
  <si>
    <t>Equipate</t>
  </si>
  <si>
    <t>Paraguaya</t>
  </si>
  <si>
    <t>Total F. Paraguaya</t>
  </si>
  <si>
    <t>CFE II</t>
  </si>
  <si>
    <t>Pro Mujer Nicaragua VI</t>
  </si>
  <si>
    <t>FAFIDESS VI</t>
  </si>
  <si>
    <t>F. Paraguaya III</t>
  </si>
  <si>
    <t>Espoir VII</t>
  </si>
  <si>
    <t>Edaprospo</t>
  </si>
  <si>
    <t>EDAPROSPO</t>
  </si>
  <si>
    <t>Procaja IV</t>
  </si>
  <si>
    <t>Insotec CM</t>
  </si>
  <si>
    <t>Pro Mujer Nicaragua VII</t>
  </si>
  <si>
    <t>OPTIMA IV</t>
  </si>
  <si>
    <t>Insotec - Capital Market</t>
  </si>
  <si>
    <t>Optima IV</t>
  </si>
  <si>
    <t>IMPRO II</t>
  </si>
  <si>
    <t>IDEPRO</t>
  </si>
  <si>
    <t>PROMUJER BOLIVIA V</t>
  </si>
  <si>
    <t>AMC - Mercado de Capital</t>
  </si>
  <si>
    <t>Espoir IX</t>
  </si>
  <si>
    <t>PADECOMS VIII</t>
  </si>
  <si>
    <t>IDH VII</t>
  </si>
  <si>
    <t>Impro II</t>
  </si>
  <si>
    <t>Promujer Bolivia V</t>
  </si>
  <si>
    <t>IDH Honduras VII</t>
  </si>
  <si>
    <t>AMC Mercado de capital</t>
  </si>
  <si>
    <t>Year 2020 (in USD)</t>
  </si>
  <si>
    <t>ARARIWA IV</t>
  </si>
  <si>
    <t>LOCFUND II L.P. FINANCIAL STATEMENTS in USD (2020)</t>
  </si>
  <si>
    <t>Arariwa IV</t>
  </si>
  <si>
    <t>SARTAWI VII</t>
  </si>
  <si>
    <t>ODEF III</t>
  </si>
  <si>
    <t>F. DOMINICANA</t>
  </si>
  <si>
    <t>Ago</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</si>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</sst>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_-;\-* #,##0_-;_-* &quot;-&quot;_-;_-@_-"/>
    <numFmt numFmtId="165" formatCode="_-* #,##0.00_-;\-* #,##0.00_-;_-* &quot;-&quot;??_-;_-@_-"/>
    <numFmt numFmtId="166" formatCode="_-* #,##0.00\ _€_-;\-* #,##0.00\ _€_-;_-* &quot;-&quot;??\ _€_-;_-@_-"/>
    <numFmt numFmtId="167" formatCode="_-* #,##0.00\ _$_-;\-* #,##0.00\ _$_-;_-* &quot;-&quot;??\ _$_-;_-@_-"/>
    <numFmt numFmtId="168" formatCode="_(* #,##0_);_(* \(#,##0\);_(* &quot;-&quot;??_);_(@_)"/>
    <numFmt numFmtId="169" formatCode="0.0%"/>
    <numFmt numFmtId="170" formatCode="_-* #,##0\ _$_-;\-* #,##0\ _$_-;_-* &quot;-&quot;??\ _$_-;_-@_-"/>
    <numFmt numFmtId="171" formatCode="_(* #,##0.000_);_(* \(#,##0.000\);_(* &quot;-&quot;??_);_(@_)"/>
    <numFmt numFmtId="172" formatCode="_-* #,##0.00\ &quot;$&quot;_-;\-* #,##0.00\ &quot;$&quot;_-;_-* &quot;-&quot;??\ &quot;$&quot;_-;_-@_-"/>
    <numFmt numFmtId="173" formatCode="#,##0.00000000000"/>
    <numFmt numFmtId="174" formatCode="_-* #,##0_-;\-* #,##0_-;_-* &quot;-&quot;??_-;_-@_-"/>
    <numFmt numFmtId="175" formatCode="0.0000%"/>
    <numFmt numFmtId="176" formatCode="0.0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u/>
      <sz val="11"/>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sz val="8"/>
      <name val="Arial"/>
      <family val="2"/>
    </font>
    <font>
      <b/>
      <sz val="9"/>
      <name val="Arial"/>
      <family val="2"/>
    </font>
    <font>
      <sz val="8"/>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9"/>
      <name val="Arial"/>
      <family val="2"/>
    </font>
    <font>
      <sz val="9"/>
      <color theme="0"/>
      <name val="Arial"/>
      <family val="2"/>
    </font>
    <font>
      <sz val="8"/>
      <name val="Arial"/>
      <family val="2"/>
    </font>
    <font>
      <i/>
      <sz val="7"/>
      <name val="Arial"/>
      <family val="2"/>
    </font>
    <font>
      <sz val="7"/>
      <name val="Arial"/>
      <family val="2"/>
    </font>
    <font>
      <sz val="8"/>
      <name val="Arial"/>
      <family val="2"/>
    </font>
    <font>
      <b/>
      <sz val="10"/>
      <name val="Arial"/>
      <family val="2"/>
    </font>
  </fonts>
  <fills count="8">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s>
  <borders count="19">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s>
  <cellStyleXfs count="16">
    <xf numFmtId="0" fontId="0" fillId="0" borderId="0"/>
    <xf numFmtId="167" fontId="4"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0" fontId="4" fillId="0" borderId="0"/>
    <xf numFmtId="167" fontId="4" fillId="0" borderId="0" applyFont="0" applyFill="0" applyBorder="0" applyAlignment="0" applyProtection="0"/>
    <xf numFmtId="167" fontId="21" fillId="0" borderId="0" applyFont="0" applyFill="0" applyBorder="0" applyAlignment="0" applyProtection="0"/>
    <xf numFmtId="9" fontId="4" fillId="0" borderId="0" applyFont="0" applyFill="0" applyBorder="0" applyAlignment="0" applyProtection="0"/>
    <xf numFmtId="167" fontId="21" fillId="0" borderId="0" applyFont="0" applyFill="0" applyBorder="0" applyAlignment="0" applyProtection="0"/>
    <xf numFmtId="172" fontId="21" fillId="0" borderId="0" applyFont="0" applyFill="0" applyBorder="0" applyAlignment="0" applyProtection="0"/>
    <xf numFmtId="9" fontId="21"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43" fontId="1" fillId="0" borderId="0" applyFont="0" applyFill="0" applyBorder="0" applyAlignment="0" applyProtection="0"/>
  </cellStyleXfs>
  <cellXfs count="355">
    <xf numFmtId="0" fontId="0" fillId="0" borderId="0" xfId="0"/>
    <xf numFmtId="0" fontId="6" fillId="0" borderId="0" xfId="0" applyFont="1"/>
    <xf numFmtId="0" fontId="7" fillId="0" borderId="0" xfId="0" applyFont="1" applyFill="1"/>
    <xf numFmtId="0" fontId="7" fillId="0" borderId="0" xfId="0" applyFont="1" applyBorder="1"/>
    <xf numFmtId="0" fontId="7" fillId="0" borderId="0" xfId="0" applyFont="1"/>
    <xf numFmtId="0" fontId="7" fillId="0" borderId="4" xfId="0" applyFont="1" applyBorder="1"/>
    <xf numFmtId="0" fontId="8" fillId="0" borderId="4" xfId="0" applyFont="1" applyFill="1" applyBorder="1" applyAlignment="1">
      <alignment horizontal="center"/>
    </xf>
    <xf numFmtId="0" fontId="7" fillId="0" borderId="0" xfId="0" applyFont="1" applyFill="1" applyBorder="1"/>
    <xf numFmtId="0" fontId="7" fillId="0" borderId="5" xfId="0" applyFont="1" applyBorder="1"/>
    <xf numFmtId="3" fontId="7" fillId="0" borderId="6" xfId="0" applyNumberFormat="1" applyFont="1" applyFill="1" applyBorder="1"/>
    <xf numFmtId="0" fontId="7" fillId="0" borderId="7" xfId="0" applyFont="1" applyBorder="1"/>
    <xf numFmtId="3" fontId="7" fillId="0" borderId="8" xfId="0" applyNumberFormat="1" applyFont="1" applyFill="1" applyBorder="1"/>
    <xf numFmtId="168" fontId="7" fillId="0" borderId="8" xfId="0" applyNumberFormat="1" applyFont="1" applyFill="1" applyBorder="1"/>
    <xf numFmtId="0" fontId="9" fillId="0" borderId="7" xfId="0" applyFont="1" applyBorder="1"/>
    <xf numFmtId="0" fontId="10" fillId="0" borderId="0" xfId="0" applyFont="1" applyBorder="1"/>
    <xf numFmtId="0" fontId="5" fillId="0" borderId="0" xfId="0" applyFont="1" applyBorder="1"/>
    <xf numFmtId="0" fontId="9" fillId="0" borderId="0" xfId="0" applyFont="1" applyBorder="1"/>
    <xf numFmtId="0" fontId="8" fillId="0" borderId="4" xfId="0" applyFont="1" applyBorder="1"/>
    <xf numFmtId="3" fontId="8" fillId="0" borderId="4" xfId="0" applyNumberFormat="1" applyFont="1" applyFill="1" applyBorder="1"/>
    <xf numFmtId="0" fontId="7" fillId="0" borderId="9" xfId="0" applyFont="1" applyBorder="1"/>
    <xf numFmtId="3" fontId="7" fillId="0" borderId="5" xfId="0" applyNumberFormat="1" applyFont="1" applyFill="1" applyBorder="1"/>
    <xf numFmtId="3" fontId="7" fillId="0" borderId="7" xfId="0" applyNumberFormat="1" applyFont="1" applyFill="1" applyBorder="1"/>
    <xf numFmtId="0" fontId="7" fillId="0" borderId="10" xfId="0" applyFont="1" applyBorder="1"/>
    <xf numFmtId="0" fontId="12" fillId="0" borderId="10" xfId="0" applyFont="1" applyBorder="1"/>
    <xf numFmtId="0" fontId="9" fillId="0" borderId="10" xfId="0" applyFont="1" applyFill="1" applyBorder="1"/>
    <xf numFmtId="168" fontId="7" fillId="0" borderId="7" xfId="0" applyNumberFormat="1" applyFont="1" applyFill="1" applyBorder="1"/>
    <xf numFmtId="0" fontId="8" fillId="0" borderId="12" xfId="0" applyFont="1" applyBorder="1"/>
    <xf numFmtId="0" fontId="8" fillId="0" borderId="5" xfId="0" applyFont="1" applyBorder="1"/>
    <xf numFmtId="0" fontId="8" fillId="0" borderId="0" xfId="0" applyFont="1" applyBorder="1"/>
    <xf numFmtId="3" fontId="8" fillId="0" borderId="2" xfId="0" applyNumberFormat="1" applyFont="1" applyFill="1" applyBorder="1"/>
    <xf numFmtId="0" fontId="7" fillId="0" borderId="11" xfId="0" applyFont="1" applyBorder="1"/>
    <xf numFmtId="3" fontId="7" fillId="0" borderId="13" xfId="0" applyNumberFormat="1" applyFont="1" applyFill="1" applyBorder="1"/>
    <xf numFmtId="168" fontId="8" fillId="0" borderId="4" xfId="0" applyNumberFormat="1" applyFont="1" applyFill="1" applyBorder="1"/>
    <xf numFmtId="168" fontId="8" fillId="0" borderId="0" xfId="0" applyNumberFormat="1" applyFont="1" applyFill="1" applyBorder="1"/>
    <xf numFmtId="168" fontId="7" fillId="0" borderId="0" xfId="0" applyNumberFormat="1" applyFont="1" applyFill="1"/>
    <xf numFmtId="10" fontId="7" fillId="0" borderId="0" xfId="0" applyNumberFormat="1" applyFont="1"/>
    <xf numFmtId="168" fontId="9" fillId="0" borderId="0" xfId="0" applyNumberFormat="1" applyFont="1" applyBorder="1"/>
    <xf numFmtId="0" fontId="8" fillId="0" borderId="11" xfId="0" applyFont="1" applyBorder="1"/>
    <xf numFmtId="10" fontId="7" fillId="0" borderId="0" xfId="0" applyNumberFormat="1" applyFont="1" applyFill="1"/>
    <xf numFmtId="10" fontId="7" fillId="0" borderId="0" xfId="0" applyNumberFormat="1" applyFont="1" applyFill="1" applyBorder="1"/>
    <xf numFmtId="10" fontId="8" fillId="0" borderId="4" xfId="0" applyNumberFormat="1" applyFont="1" applyFill="1" applyBorder="1"/>
    <xf numFmtId="10" fontId="7" fillId="0" borderId="7" xfId="0" applyNumberFormat="1" applyFont="1" applyFill="1" applyBorder="1"/>
    <xf numFmtId="10" fontId="8" fillId="0" borderId="1" xfId="0" applyNumberFormat="1" applyFont="1" applyFill="1" applyBorder="1"/>
    <xf numFmtId="0" fontId="8" fillId="0" borderId="4" xfId="0" applyFont="1" applyBorder="1" applyAlignment="1">
      <alignment horizontal="center"/>
    </xf>
    <xf numFmtId="168" fontId="9" fillId="0" borderId="7" xfId="0" applyNumberFormat="1" applyFont="1" applyFill="1" applyBorder="1"/>
    <xf numFmtId="0" fontId="8" fillId="0" borderId="4" xfId="0" applyFont="1" applyFill="1" applyBorder="1"/>
    <xf numFmtId="0" fontId="7" fillId="2" borderId="5" xfId="0" applyFont="1" applyFill="1" applyBorder="1"/>
    <xf numFmtId="10" fontId="8" fillId="0" borderId="4" xfId="3" applyNumberFormat="1" applyFont="1" applyFill="1" applyBorder="1"/>
    <xf numFmtId="10" fontId="7" fillId="0" borderId="7" xfId="3" applyNumberFormat="1" applyFont="1" applyFill="1" applyBorder="1"/>
    <xf numFmtId="0" fontId="7" fillId="0" borderId="14" xfId="0" applyFont="1" applyBorder="1"/>
    <xf numFmtId="0" fontId="13" fillId="0" borderId="0" xfId="0" applyFont="1"/>
    <xf numFmtId="10" fontId="7" fillId="0" borderId="5" xfId="0" applyNumberFormat="1" applyFont="1" applyFill="1" applyBorder="1"/>
    <xf numFmtId="10" fontId="7" fillId="0" borderId="7" xfId="3" applyNumberFormat="1" applyFont="1" applyFill="1" applyBorder="1" applyAlignment="1">
      <alignment horizontal="right"/>
    </xf>
    <xf numFmtId="10" fontId="9" fillId="0" borderId="7" xfId="3" applyNumberFormat="1" applyFont="1" applyFill="1" applyBorder="1" applyAlignment="1">
      <alignment horizontal="right"/>
    </xf>
    <xf numFmtId="168" fontId="7" fillId="0" borderId="0" xfId="0" applyNumberFormat="1" applyFont="1" applyBorder="1"/>
    <xf numFmtId="168" fontId="5" fillId="0" borderId="0" xfId="0" applyNumberFormat="1" applyFont="1" applyBorder="1"/>
    <xf numFmtId="10" fontId="11" fillId="0" borderId="7" xfId="3" applyNumberFormat="1" applyFont="1" applyFill="1" applyBorder="1"/>
    <xf numFmtId="10" fontId="7" fillId="0" borderId="5" xfId="3" applyNumberFormat="1" applyFont="1" applyFill="1" applyBorder="1"/>
    <xf numFmtId="10" fontId="9" fillId="0" borderId="7" xfId="0" applyNumberFormat="1" applyFont="1" applyFill="1" applyBorder="1"/>
    <xf numFmtId="10" fontId="7" fillId="0" borderId="11" xfId="0" applyNumberFormat="1" applyFont="1" applyFill="1" applyBorder="1"/>
    <xf numFmtId="0" fontId="10" fillId="0" borderId="0" xfId="0" applyFont="1" applyFill="1" applyBorder="1"/>
    <xf numFmtId="0" fontId="5" fillId="0" borderId="0" xfId="0" applyFont="1" applyFill="1" applyBorder="1"/>
    <xf numFmtId="167" fontId="7" fillId="0" borderId="0" xfId="0" applyNumberFormat="1" applyFont="1"/>
    <xf numFmtId="0" fontId="7" fillId="0" borderId="11" xfId="0" applyFont="1" applyFill="1" applyBorder="1"/>
    <xf numFmtId="0" fontId="8" fillId="0" borderId="11" xfId="0" applyFont="1" applyFill="1" applyBorder="1"/>
    <xf numFmtId="0" fontId="8" fillId="0" borderId="5" xfId="0" applyFont="1" applyFill="1" applyBorder="1" applyAlignment="1">
      <alignment horizontal="center"/>
    </xf>
    <xf numFmtId="0" fontId="7" fillId="0" borderId="5" xfId="0" applyFont="1" applyFill="1" applyBorder="1"/>
    <xf numFmtId="170" fontId="7" fillId="0" borderId="0" xfId="1" applyNumberFormat="1" applyFont="1" applyFill="1"/>
    <xf numFmtId="167" fontId="7" fillId="0" borderId="0" xfId="1" applyNumberFormat="1" applyFont="1" applyFill="1"/>
    <xf numFmtId="0" fontId="13" fillId="0" borderId="0" xfId="0" applyFont="1" applyFill="1"/>
    <xf numFmtId="168" fontId="7" fillId="0" borderId="10" xfId="0" applyNumberFormat="1" applyFont="1" applyFill="1" applyBorder="1"/>
    <xf numFmtId="167" fontId="7" fillId="0" borderId="0" xfId="1" applyFont="1" applyBorder="1"/>
    <xf numFmtId="10" fontId="4" fillId="0" borderId="7" xfId="3" applyNumberFormat="1" applyFont="1" applyFill="1" applyBorder="1" applyAlignment="1">
      <alignment horizontal="right"/>
    </xf>
    <xf numFmtId="4" fontId="7" fillId="0" borderId="3" xfId="0" applyNumberFormat="1" applyFont="1" applyFill="1" applyBorder="1"/>
    <xf numFmtId="3" fontId="7" fillId="0" borderId="0" xfId="0" applyNumberFormat="1" applyFont="1" applyFill="1" applyBorder="1"/>
    <xf numFmtId="0" fontId="4" fillId="0" borderId="7" xfId="0" applyFont="1" applyFill="1" applyBorder="1"/>
    <xf numFmtId="168" fontId="4" fillId="0" borderId="8" xfId="0" applyNumberFormat="1" applyFont="1" applyFill="1" applyBorder="1" applyAlignment="1"/>
    <xf numFmtId="168" fontId="5" fillId="0" borderId="7" xfId="0" applyNumberFormat="1" applyFont="1" applyFill="1" applyBorder="1" applyAlignment="1"/>
    <xf numFmtId="10" fontId="5" fillId="0" borderId="7" xfId="3" applyNumberFormat="1" applyFont="1" applyFill="1" applyBorder="1" applyAlignment="1">
      <alignment horizontal="right"/>
    </xf>
    <xf numFmtId="168" fontId="10" fillId="0" borderId="7" xfId="0" applyNumberFormat="1" applyFont="1" applyFill="1" applyBorder="1" applyAlignment="1"/>
    <xf numFmtId="0" fontId="17" fillId="0" borderId="7" xfId="0" applyFont="1" applyFill="1" applyBorder="1"/>
    <xf numFmtId="168" fontId="17" fillId="0" borderId="7" xfId="0" applyNumberFormat="1" applyFont="1" applyFill="1" applyBorder="1" applyAlignment="1"/>
    <xf numFmtId="168" fontId="10" fillId="0" borderId="7" xfId="0" applyNumberFormat="1" applyFont="1" applyFill="1" applyBorder="1"/>
    <xf numFmtId="167" fontId="7" fillId="0" borderId="3" xfId="1" applyFont="1" applyFill="1" applyBorder="1"/>
    <xf numFmtId="49" fontId="8" fillId="0" borderId="5" xfId="0" applyNumberFormat="1" applyFont="1" applyFill="1" applyBorder="1" applyAlignment="1">
      <alignment horizontal="center"/>
    </xf>
    <xf numFmtId="0" fontId="8" fillId="0" borderId="11" xfId="0" applyFont="1" applyFill="1" applyBorder="1" applyAlignment="1">
      <alignment horizontal="center"/>
    </xf>
    <xf numFmtId="170" fontId="18" fillId="0" borderId="12" xfId="2" applyNumberFormat="1" applyFont="1" applyFill="1" applyBorder="1" applyAlignment="1">
      <alignment horizontal="center"/>
    </xf>
    <xf numFmtId="170" fontId="18" fillId="0" borderId="1" xfId="2" applyNumberFormat="1" applyFont="1" applyFill="1" applyBorder="1" applyAlignment="1">
      <alignment horizontal="center"/>
    </xf>
    <xf numFmtId="170" fontId="18" fillId="0" borderId="4" xfId="2" applyNumberFormat="1" applyFont="1" applyFill="1" applyBorder="1" applyAlignment="1">
      <alignment horizontal="center"/>
    </xf>
    <xf numFmtId="0" fontId="5" fillId="0" borderId="0" xfId="2" applyFont="1"/>
    <xf numFmtId="169" fontId="5" fillId="0" borderId="0" xfId="3" applyNumberFormat="1" applyFont="1"/>
    <xf numFmtId="0" fontId="5" fillId="0" borderId="10" xfId="2" applyFont="1" applyBorder="1"/>
    <xf numFmtId="0" fontId="5" fillId="0" borderId="0" xfId="2" applyFont="1" applyBorder="1"/>
    <xf numFmtId="170" fontId="5" fillId="0" borderId="7" xfId="2" applyNumberFormat="1" applyFont="1" applyBorder="1"/>
    <xf numFmtId="170" fontId="5" fillId="0" borderId="0" xfId="2" applyNumberFormat="1" applyFont="1"/>
    <xf numFmtId="170" fontId="14" fillId="0" borderId="4" xfId="2" applyNumberFormat="1" applyFont="1" applyBorder="1"/>
    <xf numFmtId="0" fontId="5" fillId="0" borderId="4" xfId="2" applyFont="1" applyBorder="1"/>
    <xf numFmtId="169" fontId="5" fillId="3" borderId="0" xfId="3" applyNumberFormat="1" applyFont="1" applyFill="1"/>
    <xf numFmtId="170" fontId="18" fillId="0" borderId="4" xfId="2" applyNumberFormat="1" applyFont="1" applyBorder="1"/>
    <xf numFmtId="170" fontId="5" fillId="0" borderId="0" xfId="1" applyNumberFormat="1" applyFont="1"/>
    <xf numFmtId="3" fontId="8" fillId="0" borderId="12" xfId="0" applyNumberFormat="1" applyFont="1" applyFill="1" applyBorder="1"/>
    <xf numFmtId="169" fontId="5" fillId="4" borderId="0" xfId="3" applyNumberFormat="1" applyFont="1" applyFill="1"/>
    <xf numFmtId="168" fontId="4" fillId="0" borderId="8" xfId="0" applyNumberFormat="1" applyFont="1" applyFill="1" applyBorder="1"/>
    <xf numFmtId="167" fontId="5" fillId="0" borderId="0" xfId="1" applyFont="1"/>
    <xf numFmtId="10" fontId="7" fillId="0" borderId="0" xfId="3" applyNumberFormat="1" applyFont="1" applyFill="1" applyBorder="1"/>
    <xf numFmtId="0" fontId="5" fillId="0" borderId="0" xfId="2" applyFont="1" applyFill="1" applyBorder="1"/>
    <xf numFmtId="0" fontId="5" fillId="0" borderId="0" xfId="2" applyFont="1" applyFill="1"/>
    <xf numFmtId="166" fontId="7" fillId="0" borderId="0" xfId="0" applyNumberFormat="1" applyFont="1" applyBorder="1"/>
    <xf numFmtId="10" fontId="18" fillId="0" borderId="4" xfId="0" applyNumberFormat="1" applyFont="1" applyFill="1" applyBorder="1" applyAlignment="1">
      <alignment horizontal="center"/>
    </xf>
    <xf numFmtId="0" fontId="9" fillId="0" borderId="0" xfId="0" applyFont="1" applyFill="1" applyBorder="1"/>
    <xf numFmtId="167" fontId="9" fillId="0" borderId="0" xfId="1" applyFont="1" applyBorder="1"/>
    <xf numFmtId="4" fontId="8" fillId="0" borderId="0" xfId="0" applyNumberFormat="1" applyFont="1" applyFill="1" applyBorder="1"/>
    <xf numFmtId="173" fontId="7" fillId="0" borderId="0" xfId="0" applyNumberFormat="1" applyFont="1" applyBorder="1"/>
    <xf numFmtId="4" fontId="20" fillId="0" borderId="0" xfId="0" applyNumberFormat="1" applyFont="1" applyFill="1" applyBorder="1"/>
    <xf numFmtId="171" fontId="7" fillId="0" borderId="0" xfId="0" applyNumberFormat="1" applyFont="1" applyBorder="1"/>
    <xf numFmtId="165" fontId="7" fillId="0" borderId="0" xfId="0" applyNumberFormat="1" applyFont="1" applyBorder="1"/>
    <xf numFmtId="165" fontId="9" fillId="0" borderId="0" xfId="0" applyNumberFormat="1" applyFont="1" applyBorder="1"/>
    <xf numFmtId="164" fontId="8" fillId="0" borderId="4" xfId="0" applyNumberFormat="1" applyFont="1" applyFill="1" applyBorder="1"/>
    <xf numFmtId="10" fontId="10" fillId="0" borderId="0" xfId="3" applyNumberFormat="1" applyFont="1" applyBorder="1"/>
    <xf numFmtId="10" fontId="8" fillId="0" borderId="0" xfId="0" applyNumberFormat="1" applyFont="1" applyFill="1" applyBorder="1"/>
    <xf numFmtId="0" fontId="9" fillId="0" borderId="10" xfId="0" applyFont="1" applyBorder="1"/>
    <xf numFmtId="0" fontId="8" fillId="0" borderId="10" xfId="0" applyFont="1" applyBorder="1"/>
    <xf numFmtId="0" fontId="9" fillId="0" borderId="12" xfId="0" applyFont="1" applyBorder="1"/>
    <xf numFmtId="0" fontId="9" fillId="0" borderId="9" xfId="0" applyFont="1" applyBorder="1"/>
    <xf numFmtId="168" fontId="8" fillId="0" borderId="5" xfId="0" applyNumberFormat="1" applyFont="1" applyFill="1" applyBorder="1"/>
    <xf numFmtId="168" fontId="4" fillId="0" borderId="7" xfId="0" applyNumberFormat="1" applyFont="1" applyFill="1" applyBorder="1"/>
    <xf numFmtId="168" fontId="8" fillId="0" borderId="7" xfId="0" applyNumberFormat="1" applyFont="1" applyFill="1" applyBorder="1"/>
    <xf numFmtId="168" fontId="4" fillId="0" borderId="4" xfId="0" applyNumberFormat="1" applyFont="1" applyFill="1" applyBorder="1"/>
    <xf numFmtId="0" fontId="8" fillId="0" borderId="12" xfId="0" applyFont="1" applyFill="1" applyBorder="1"/>
    <xf numFmtId="0" fontId="8" fillId="0" borderId="0" xfId="0" applyFont="1" applyFill="1" applyBorder="1"/>
    <xf numFmtId="168" fontId="9" fillId="0" borderId="0" xfId="0" applyNumberFormat="1" applyFont="1" applyFill="1" applyBorder="1"/>
    <xf numFmtId="10" fontId="9" fillId="0" borderId="0" xfId="0" applyNumberFormat="1" applyFont="1" applyFill="1" applyBorder="1"/>
    <xf numFmtId="3" fontId="7" fillId="0" borderId="11" xfId="0" applyNumberFormat="1" applyFont="1" applyFill="1" applyBorder="1"/>
    <xf numFmtId="169" fontId="5" fillId="0" borderId="0" xfId="3" applyNumberFormat="1" applyFont="1" applyFill="1"/>
    <xf numFmtId="168" fontId="10" fillId="0" borderId="0" xfId="0" applyNumberFormat="1" applyFont="1" applyFill="1" applyBorder="1" applyAlignment="1"/>
    <xf numFmtId="168" fontId="17" fillId="0" borderId="0" xfId="0" applyNumberFormat="1" applyFont="1" applyFill="1" applyBorder="1" applyAlignment="1"/>
    <xf numFmtId="168" fontId="5" fillId="0" borderId="0" xfId="0" applyNumberFormat="1" applyFont="1" applyFill="1" applyBorder="1" applyAlignment="1"/>
    <xf numFmtId="43" fontId="9" fillId="0" borderId="0" xfId="0" applyNumberFormat="1" applyFont="1" applyFill="1" applyBorder="1"/>
    <xf numFmtId="168" fontId="5" fillId="0" borderId="0" xfId="0" applyNumberFormat="1" applyFont="1" applyFill="1" applyBorder="1"/>
    <xf numFmtId="10" fontId="7" fillId="0" borderId="0" xfId="3" applyNumberFormat="1" applyFont="1" applyFill="1"/>
    <xf numFmtId="168" fontId="7" fillId="0" borderId="0" xfId="3" applyNumberFormat="1" applyFont="1" applyFill="1"/>
    <xf numFmtId="168" fontId="7" fillId="0" borderId="0" xfId="0" applyNumberFormat="1" applyFont="1"/>
    <xf numFmtId="14" fontId="9" fillId="0" borderId="0" xfId="0" applyNumberFormat="1" applyFont="1" applyBorder="1"/>
    <xf numFmtId="167" fontId="10" fillId="0" borderId="0" xfId="1" applyFont="1" applyBorder="1"/>
    <xf numFmtId="165" fontId="10" fillId="0" borderId="0" xfId="0" applyNumberFormat="1" applyFont="1" applyBorder="1"/>
    <xf numFmtId="0" fontId="23" fillId="0" borderId="0" xfId="0" applyFont="1" applyBorder="1"/>
    <xf numFmtId="0" fontId="11" fillId="0" borderId="0" xfId="0" applyFont="1" applyBorder="1"/>
    <xf numFmtId="168" fontId="5" fillId="0" borderId="7" xfId="0" applyNumberFormat="1" applyFont="1" applyFill="1" applyBorder="1"/>
    <xf numFmtId="0" fontId="7" fillId="0" borderId="7" xfId="0" applyFont="1" applyFill="1" applyBorder="1"/>
    <xf numFmtId="168" fontId="10" fillId="0" borderId="10" xfId="0" applyNumberFormat="1" applyFont="1" applyFill="1" applyBorder="1"/>
    <xf numFmtId="10" fontId="7" fillId="0" borderId="7" xfId="3" applyNumberFormat="1" applyFont="1" applyBorder="1"/>
    <xf numFmtId="0" fontId="9" fillId="0" borderId="14" xfId="0" applyFont="1" applyBorder="1"/>
    <xf numFmtId="168" fontId="4" fillId="0" borderId="11" xfId="0" applyNumberFormat="1" applyFont="1" applyFill="1" applyBorder="1"/>
    <xf numFmtId="174" fontId="9" fillId="0" borderId="0" xfId="0" applyNumberFormat="1" applyFont="1" applyBorder="1"/>
    <xf numFmtId="43" fontId="10" fillId="0" borderId="7" xfId="0" applyNumberFormat="1" applyFont="1" applyFill="1" applyBorder="1"/>
    <xf numFmtId="168" fontId="10" fillId="4" borderId="7" xfId="0" applyNumberFormat="1" applyFont="1" applyFill="1" applyBorder="1" applyAlignment="1"/>
    <xf numFmtId="168" fontId="10" fillId="4" borderId="7" xfId="0" applyNumberFormat="1" applyFont="1" applyFill="1" applyBorder="1"/>
    <xf numFmtId="168" fontId="7" fillId="0" borderId="0" xfId="0" applyNumberFormat="1" applyFont="1" applyFill="1" applyBorder="1"/>
    <xf numFmtId="10" fontId="5" fillId="0" borderId="7" xfId="3" applyNumberFormat="1" applyFont="1" applyFill="1" applyBorder="1"/>
    <xf numFmtId="10" fontId="7" fillId="0" borderId="6" xfId="3" applyNumberFormat="1" applyFont="1" applyFill="1" applyBorder="1"/>
    <xf numFmtId="10" fontId="7" fillId="0" borderId="8" xfId="3" applyNumberFormat="1" applyFont="1" applyFill="1" applyBorder="1"/>
    <xf numFmtId="170" fontId="5" fillId="0" borderId="7" xfId="2" applyNumberFormat="1" applyFont="1" applyFill="1" applyBorder="1"/>
    <xf numFmtId="170" fontId="14" fillId="0" borderId="4" xfId="2" applyNumberFormat="1" applyFont="1" applyFill="1" applyBorder="1"/>
    <xf numFmtId="170" fontId="5" fillId="0" borderId="0" xfId="1" applyNumberFormat="1" applyFont="1" applyFill="1"/>
    <xf numFmtId="170" fontId="22" fillId="0" borderId="0" xfId="1" applyNumberFormat="1" applyFont="1" applyFill="1"/>
    <xf numFmtId="43" fontId="7" fillId="0" borderId="0" xfId="0" applyNumberFormat="1" applyFont="1" applyFill="1" applyBorder="1"/>
    <xf numFmtId="168" fontId="4" fillId="5" borderId="8" xfId="0" applyNumberFormat="1" applyFont="1" applyFill="1" applyBorder="1" applyAlignment="1"/>
    <xf numFmtId="168" fontId="10" fillId="0" borderId="0" xfId="0" applyNumberFormat="1" applyFont="1" applyBorder="1"/>
    <xf numFmtId="0" fontId="7" fillId="5" borderId="0" xfId="0" applyFont="1" applyFill="1"/>
    <xf numFmtId="0" fontId="8" fillId="5" borderId="4" xfId="0" applyFont="1" applyFill="1" applyBorder="1" applyAlignment="1">
      <alignment horizontal="center"/>
    </xf>
    <xf numFmtId="0" fontId="7" fillId="5" borderId="0" xfId="0" applyFont="1" applyFill="1" applyBorder="1"/>
    <xf numFmtId="3" fontId="7" fillId="5" borderId="5" xfId="0" applyNumberFormat="1" applyFont="1" applyFill="1" applyBorder="1"/>
    <xf numFmtId="3" fontId="7" fillId="5" borderId="7" xfId="0" applyNumberFormat="1" applyFont="1" applyFill="1" applyBorder="1"/>
    <xf numFmtId="168" fontId="7" fillId="5" borderId="10" xfId="0" applyNumberFormat="1" applyFont="1" applyFill="1" applyBorder="1"/>
    <xf numFmtId="168" fontId="10" fillId="5" borderId="7" xfId="0" applyNumberFormat="1" applyFont="1" applyFill="1" applyBorder="1"/>
    <xf numFmtId="168" fontId="10" fillId="5" borderId="10" xfId="0" applyNumberFormat="1" applyFont="1" applyFill="1" applyBorder="1"/>
    <xf numFmtId="168" fontId="10" fillId="5" borderId="7" xfId="0" applyNumberFormat="1" applyFont="1" applyFill="1" applyBorder="1" applyAlignment="1"/>
    <xf numFmtId="168" fontId="17" fillId="5" borderId="7" xfId="0" applyNumberFormat="1" applyFont="1" applyFill="1" applyBorder="1" applyAlignment="1"/>
    <xf numFmtId="168" fontId="5" fillId="5" borderId="7" xfId="0" applyNumberFormat="1" applyFont="1" applyFill="1" applyBorder="1" applyAlignment="1"/>
    <xf numFmtId="168" fontId="7" fillId="5" borderId="7" xfId="0" applyNumberFormat="1" applyFont="1" applyFill="1" applyBorder="1"/>
    <xf numFmtId="3" fontId="8" fillId="5" borderId="12" xfId="0" applyNumberFormat="1" applyFont="1" applyFill="1" applyBorder="1"/>
    <xf numFmtId="4" fontId="7" fillId="5" borderId="3" xfId="0" applyNumberFormat="1" applyFont="1" applyFill="1" applyBorder="1"/>
    <xf numFmtId="0" fontId="7" fillId="5" borderId="7" xfId="0" applyFont="1" applyFill="1" applyBorder="1"/>
    <xf numFmtId="168" fontId="4" fillId="5" borderId="7" xfId="0" applyNumberFormat="1" applyFont="1" applyFill="1" applyBorder="1"/>
    <xf numFmtId="168" fontId="5" fillId="5" borderId="7" xfId="0" applyNumberFormat="1" applyFont="1" applyFill="1" applyBorder="1"/>
    <xf numFmtId="3" fontId="8" fillId="5" borderId="4" xfId="0" applyNumberFormat="1" applyFont="1" applyFill="1" applyBorder="1"/>
    <xf numFmtId="3" fontId="7" fillId="5" borderId="0" xfId="0" applyNumberFormat="1" applyFont="1" applyFill="1" applyBorder="1"/>
    <xf numFmtId="3" fontId="7" fillId="5" borderId="6" xfId="0" applyNumberFormat="1" applyFont="1" applyFill="1" applyBorder="1"/>
    <xf numFmtId="3" fontId="7" fillId="5" borderId="8" xfId="0" applyNumberFormat="1" applyFont="1" applyFill="1" applyBorder="1"/>
    <xf numFmtId="168" fontId="7" fillId="5" borderId="8" xfId="0" applyNumberFormat="1" applyFont="1" applyFill="1" applyBorder="1"/>
    <xf numFmtId="168" fontId="4" fillId="5" borderId="8" xfId="0" applyNumberFormat="1" applyFont="1" applyFill="1" applyBorder="1"/>
    <xf numFmtId="168" fontId="8" fillId="5" borderId="4" xfId="0" applyNumberFormat="1" applyFont="1" applyFill="1" applyBorder="1"/>
    <xf numFmtId="3" fontId="8" fillId="5" borderId="2" xfId="0" applyNumberFormat="1" applyFont="1" applyFill="1" applyBorder="1"/>
    <xf numFmtId="0" fontId="8" fillId="5" borderId="5" xfId="0" applyFont="1" applyFill="1" applyBorder="1" applyAlignment="1">
      <alignment horizontal="center"/>
    </xf>
    <xf numFmtId="0" fontId="8" fillId="5" borderId="11" xfId="0" applyFont="1" applyFill="1" applyBorder="1"/>
    <xf numFmtId="0" fontId="7" fillId="5" borderId="5" xfId="0" applyFont="1" applyFill="1" applyBorder="1"/>
    <xf numFmtId="0" fontId="7" fillId="5" borderId="11" xfId="0" applyFont="1" applyFill="1" applyBorder="1"/>
    <xf numFmtId="168" fontId="8" fillId="5" borderId="5" xfId="0" applyNumberFormat="1" applyFont="1" applyFill="1" applyBorder="1"/>
    <xf numFmtId="168" fontId="8" fillId="5" borderId="7" xfId="0" applyNumberFormat="1" applyFont="1" applyFill="1" applyBorder="1"/>
    <xf numFmtId="168" fontId="4" fillId="5" borderId="4" xfId="0" applyNumberFormat="1" applyFont="1" applyFill="1" applyBorder="1"/>
    <xf numFmtId="168" fontId="8" fillId="5" borderId="0" xfId="0" applyNumberFormat="1" applyFont="1" applyFill="1" applyBorder="1"/>
    <xf numFmtId="4" fontId="20" fillId="5" borderId="0" xfId="0" applyNumberFormat="1" applyFont="1" applyFill="1" applyBorder="1"/>
    <xf numFmtId="3" fontId="7" fillId="5" borderId="11" xfId="0" applyNumberFormat="1" applyFont="1" applyFill="1" applyBorder="1"/>
    <xf numFmtId="168" fontId="4" fillId="5" borderId="11" xfId="0" applyNumberFormat="1" applyFont="1" applyFill="1" applyBorder="1"/>
    <xf numFmtId="168" fontId="7" fillId="5" borderId="0" xfId="0" applyNumberFormat="1" applyFont="1" applyFill="1"/>
    <xf numFmtId="167" fontId="7" fillId="5" borderId="0" xfId="1" applyNumberFormat="1" applyFont="1" applyFill="1"/>
    <xf numFmtId="10" fontId="7" fillId="5" borderId="0" xfId="3" applyNumberFormat="1" applyFont="1" applyFill="1"/>
    <xf numFmtId="168" fontId="7" fillId="5" borderId="0" xfId="3" applyNumberFormat="1" applyFont="1" applyFill="1"/>
    <xf numFmtId="10" fontId="7" fillId="5" borderId="0" xfId="0" applyNumberFormat="1" applyFont="1" applyFill="1"/>
    <xf numFmtId="168" fontId="8" fillId="6" borderId="4" xfId="0" applyNumberFormat="1" applyFont="1" applyFill="1" applyBorder="1"/>
    <xf numFmtId="168" fontId="24" fillId="0" borderId="0" xfId="0" applyNumberFormat="1" applyFont="1" applyFill="1" applyBorder="1"/>
    <xf numFmtId="10" fontId="4" fillId="0" borderId="7" xfId="3" applyNumberFormat="1" applyFont="1" applyFill="1" applyBorder="1" applyAlignment="1"/>
    <xf numFmtId="168" fontId="4" fillId="0" borderId="7" xfId="0" applyNumberFormat="1" applyFont="1" applyFill="1" applyBorder="1" applyAlignment="1"/>
    <xf numFmtId="10" fontId="4" fillId="0" borderId="8" xfId="3" applyNumberFormat="1" applyFont="1" applyFill="1" applyBorder="1"/>
    <xf numFmtId="168" fontId="7" fillId="0" borderId="0" xfId="3" applyNumberFormat="1" applyFont="1" applyFill="1" applyBorder="1"/>
    <xf numFmtId="168" fontId="7" fillId="0" borderId="4" xfId="0" applyNumberFormat="1" applyFont="1" applyFill="1" applyBorder="1"/>
    <xf numFmtId="0" fontId="4" fillId="0" borderId="4" xfId="0" applyFont="1" applyFill="1" applyBorder="1"/>
    <xf numFmtId="168" fontId="10" fillId="0" borderId="4" xfId="0" applyNumberFormat="1" applyFont="1" applyFill="1" applyBorder="1" applyAlignment="1"/>
    <xf numFmtId="168" fontId="7" fillId="0" borderId="3" xfId="0" applyNumberFormat="1" applyFont="1" applyFill="1" applyBorder="1"/>
    <xf numFmtId="168" fontId="7" fillId="0" borderId="6" xfId="0" applyNumberFormat="1" applyFont="1" applyFill="1" applyBorder="1"/>
    <xf numFmtId="168" fontId="8" fillId="0" borderId="2" xfId="0" applyNumberFormat="1" applyFont="1" applyFill="1" applyBorder="1"/>
    <xf numFmtId="168" fontId="8" fillId="0" borderId="5" xfId="0" applyNumberFormat="1" applyFont="1" applyFill="1" applyBorder="1" applyAlignment="1">
      <alignment horizontal="center"/>
    </xf>
    <xf numFmtId="168" fontId="8" fillId="0" borderId="11" xfId="0" applyNumberFormat="1" applyFont="1" applyFill="1" applyBorder="1"/>
    <xf numFmtId="168" fontId="7" fillId="0" borderId="5" xfId="0" applyNumberFormat="1" applyFont="1" applyFill="1" applyBorder="1"/>
    <xf numFmtId="168" fontId="7" fillId="0" borderId="11" xfId="0" applyNumberFormat="1" applyFont="1" applyFill="1" applyBorder="1"/>
    <xf numFmtId="0" fontId="25" fillId="0" borderId="0" xfId="0" applyFont="1"/>
    <xf numFmtId="167" fontId="25" fillId="0" borderId="0" xfId="1" applyFont="1"/>
    <xf numFmtId="10" fontId="25" fillId="0" borderId="0" xfId="3" applyNumberFormat="1" applyFont="1" applyAlignment="1">
      <alignment horizontal="center"/>
    </xf>
    <xf numFmtId="0" fontId="18" fillId="0" borderId="16" xfId="0" applyFont="1" applyBorder="1"/>
    <xf numFmtId="167" fontId="18" fillId="0" borderId="17" xfId="1" applyFont="1" applyBorder="1"/>
    <xf numFmtId="0" fontId="18" fillId="0" borderId="1" xfId="0" applyFont="1" applyBorder="1"/>
    <xf numFmtId="0" fontId="18" fillId="0" borderId="1" xfId="0" applyFont="1" applyBorder="1" applyAlignment="1">
      <alignment horizontal="center"/>
    </xf>
    <xf numFmtId="167" fontId="25" fillId="0" borderId="0" xfId="1" applyFont="1" applyAlignment="1">
      <alignment horizontal="center"/>
    </xf>
    <xf numFmtId="0" fontId="25" fillId="0" borderId="1" xfId="0" applyFont="1" applyBorder="1"/>
    <xf numFmtId="0" fontId="18" fillId="0" borderId="1" xfId="0" applyFont="1" applyBorder="1" applyAlignment="1">
      <alignment horizontal="center" wrapText="1"/>
    </xf>
    <xf numFmtId="0" fontId="26" fillId="0" borderId="0" xfId="0" applyFont="1"/>
    <xf numFmtId="17" fontId="18" fillId="0" borderId="1" xfId="0" applyNumberFormat="1" applyFont="1" applyBorder="1" applyAlignment="1">
      <alignment horizontal="center" wrapText="1"/>
    </xf>
    <xf numFmtId="43" fontId="25" fillId="0" borderId="0" xfId="0" applyNumberFormat="1" applyFont="1"/>
    <xf numFmtId="43" fontId="25" fillId="0" borderId="1" xfId="0" applyNumberFormat="1" applyFont="1" applyBorder="1"/>
    <xf numFmtId="43" fontId="25" fillId="7" borderId="0" xfId="0" applyNumberFormat="1" applyFont="1" applyFill="1"/>
    <xf numFmtId="0" fontId="9" fillId="0" borderId="7" xfId="0" applyFont="1" applyFill="1" applyBorder="1"/>
    <xf numFmtId="0" fontId="5" fillId="0" borderId="0" xfId="2" applyFont="1" applyFill="1" applyBorder="1" applyAlignment="1">
      <alignment horizontal="left"/>
    </xf>
    <xf numFmtId="0" fontId="7" fillId="0" borderId="4" xfId="0" applyFont="1" applyFill="1" applyBorder="1"/>
    <xf numFmtId="167" fontId="22" fillId="0" borderId="0" xfId="1" applyFont="1" applyFill="1"/>
    <xf numFmtId="43" fontId="10" fillId="0" borderId="0" xfId="0" applyNumberFormat="1" applyFont="1" applyFill="1" applyBorder="1"/>
    <xf numFmtId="167" fontId="7" fillId="0" borderId="0" xfId="1" applyFont="1" applyFill="1" applyBorder="1"/>
    <xf numFmtId="0" fontId="7" fillId="0" borderId="9" xfId="0" applyFont="1" applyFill="1" applyBorder="1"/>
    <xf numFmtId="0" fontId="7" fillId="0" borderId="10" xfId="0" applyFont="1" applyFill="1" applyBorder="1"/>
    <xf numFmtId="0" fontId="12" fillId="0" borderId="10" xfId="0" applyFont="1" applyFill="1" applyBorder="1"/>
    <xf numFmtId="0" fontId="11" fillId="0" borderId="0" xfId="0" applyFont="1" applyFill="1" applyBorder="1"/>
    <xf numFmtId="0" fontId="8" fillId="0" borderId="5" xfId="0" applyFont="1" applyFill="1" applyBorder="1"/>
    <xf numFmtId="10" fontId="8" fillId="0" borderId="4" xfId="3" applyNumberFormat="1" applyFont="1" applyFill="1" applyBorder="1" applyAlignment="1">
      <alignment horizontal="center" wrapText="1"/>
    </xf>
    <xf numFmtId="10" fontId="8" fillId="0" borderId="2" xfId="3" applyNumberFormat="1" applyFont="1" applyFill="1" applyBorder="1"/>
    <xf numFmtId="10" fontId="8" fillId="0" borderId="0" xfId="3" applyNumberFormat="1" applyFont="1" applyFill="1" applyBorder="1"/>
    <xf numFmtId="10" fontId="20" fillId="0" borderId="0" xfId="3" applyNumberFormat="1" applyFont="1" applyFill="1" applyBorder="1"/>
    <xf numFmtId="10" fontId="10" fillId="0" borderId="0" xfId="3" applyNumberFormat="1" applyFont="1" applyFill="1" applyBorder="1"/>
    <xf numFmtId="168" fontId="10" fillId="0" borderId="0" xfId="3" applyNumberFormat="1" applyFont="1" applyFill="1" applyBorder="1"/>
    <xf numFmtId="170" fontId="5" fillId="0" borderId="0" xfId="2" applyNumberFormat="1" applyFont="1" applyFill="1"/>
    <xf numFmtId="170" fontId="7" fillId="0" borderId="0" xfId="1" applyNumberFormat="1" applyFont="1" applyBorder="1"/>
    <xf numFmtId="168" fontId="4" fillId="0" borderId="0" xfId="3" applyNumberFormat="1" applyFont="1" applyFill="1" applyBorder="1"/>
    <xf numFmtId="167" fontId="7" fillId="0" borderId="0" xfId="1" applyFont="1" applyFill="1"/>
    <xf numFmtId="167" fontId="5" fillId="0" borderId="0" xfId="1" applyFont="1" applyFill="1"/>
    <xf numFmtId="0" fontId="5" fillId="0" borderId="10" xfId="2" applyFont="1" applyFill="1" applyBorder="1"/>
    <xf numFmtId="43" fontId="7" fillId="0" borderId="0" xfId="0" applyNumberFormat="1" applyFont="1" applyFill="1"/>
    <xf numFmtId="167" fontId="5" fillId="0" borderId="0" xfId="2" applyNumberFormat="1" applyFont="1" applyFill="1"/>
    <xf numFmtId="168" fontId="7" fillId="0" borderId="3" xfId="3" applyNumberFormat="1" applyFont="1" applyFill="1" applyBorder="1"/>
    <xf numFmtId="170" fontId="9" fillId="0" borderId="0" xfId="1" applyNumberFormat="1" applyFont="1" applyFill="1" applyBorder="1"/>
    <xf numFmtId="0" fontId="23" fillId="0" borderId="7" xfId="0" applyFont="1" applyFill="1" applyBorder="1"/>
    <xf numFmtId="168" fontId="7" fillId="0" borderId="8" xfId="0" applyNumberFormat="1" applyFont="1" applyFill="1" applyBorder="1" applyAlignment="1"/>
    <xf numFmtId="43" fontId="5" fillId="0" borderId="0" xfId="2" applyNumberFormat="1" applyFont="1" applyFill="1"/>
    <xf numFmtId="0" fontId="5" fillId="0" borderId="8" xfId="2" applyFont="1" applyFill="1" applyBorder="1"/>
    <xf numFmtId="0" fontId="5" fillId="0" borderId="13" xfId="2" applyFont="1" applyFill="1" applyBorder="1"/>
    <xf numFmtId="170" fontId="18" fillId="0" borderId="4" xfId="2" applyNumberFormat="1" applyFont="1" applyFill="1" applyBorder="1"/>
    <xf numFmtId="165" fontId="5" fillId="0" borderId="0" xfId="1" applyNumberFormat="1" applyFont="1" applyFill="1"/>
    <xf numFmtId="167" fontId="5" fillId="0" borderId="0" xfId="1" applyNumberFormat="1" applyFont="1" applyFill="1"/>
    <xf numFmtId="9" fontId="10" fillId="0" borderId="0" xfId="3" applyFont="1" applyFill="1" applyBorder="1"/>
    <xf numFmtId="4" fontId="9" fillId="0" borderId="0" xfId="0" applyNumberFormat="1" applyFont="1" applyFill="1" applyBorder="1"/>
    <xf numFmtId="0" fontId="14" fillId="0" borderId="12" xfId="2" applyFont="1" applyFill="1" applyBorder="1" applyAlignment="1">
      <alignment horizontal="right"/>
    </xf>
    <xf numFmtId="0" fontId="14" fillId="0" borderId="1" xfId="2" applyFont="1" applyFill="1" applyBorder="1" applyAlignment="1">
      <alignment horizontal="right"/>
    </xf>
    <xf numFmtId="0" fontId="4" fillId="0" borderId="0" xfId="0" applyFont="1" applyFill="1" applyBorder="1"/>
    <xf numFmtId="167" fontId="4" fillId="0" borderId="0" xfId="1" applyFont="1" applyFill="1" applyBorder="1"/>
    <xf numFmtId="0" fontId="11" fillId="0" borderId="7" xfId="0" applyFont="1" applyFill="1" applyBorder="1"/>
    <xf numFmtId="10" fontId="5" fillId="0" borderId="0" xfId="3" applyNumberFormat="1" applyFont="1" applyFill="1" applyBorder="1"/>
    <xf numFmtId="43" fontId="5" fillId="0" borderId="0" xfId="0" applyNumberFormat="1" applyFont="1" applyFill="1" applyBorder="1"/>
    <xf numFmtId="167" fontId="10" fillId="0" borderId="0" xfId="1" applyFont="1" applyFill="1" applyBorder="1"/>
    <xf numFmtId="43" fontId="10" fillId="0" borderId="0" xfId="3" applyNumberFormat="1" applyFont="1" applyFill="1" applyBorder="1"/>
    <xf numFmtId="168" fontId="9" fillId="0" borderId="10" xfId="0" applyNumberFormat="1" applyFont="1" applyFill="1" applyBorder="1"/>
    <xf numFmtId="10" fontId="9" fillId="0" borderId="7" xfId="3" applyNumberFormat="1" applyFont="1" applyFill="1" applyBorder="1"/>
    <xf numFmtId="0" fontId="28" fillId="0" borderId="7" xfId="0" applyFont="1" applyFill="1" applyBorder="1"/>
    <xf numFmtId="10" fontId="29" fillId="0" borderId="0" xfId="3" applyNumberFormat="1" applyFont="1" applyFill="1" applyBorder="1"/>
    <xf numFmtId="0" fontId="28" fillId="0" borderId="0" xfId="0" applyFont="1" applyFill="1" applyBorder="1"/>
    <xf numFmtId="168" fontId="10" fillId="0" borderId="7" xfId="3" applyNumberFormat="1" applyFont="1" applyFill="1" applyBorder="1"/>
    <xf numFmtId="168" fontId="11" fillId="0" borderId="7" xfId="0" applyNumberFormat="1" applyFont="1" applyFill="1" applyBorder="1"/>
    <xf numFmtId="168" fontId="11" fillId="0" borderId="7" xfId="3" applyNumberFormat="1" applyFont="1" applyFill="1" applyBorder="1"/>
    <xf numFmtId="168" fontId="28" fillId="0" borderId="7" xfId="0" applyNumberFormat="1" applyFont="1" applyFill="1" applyBorder="1"/>
    <xf numFmtId="9" fontId="7" fillId="0" borderId="0" xfId="3" applyFont="1" applyFill="1" applyBorder="1"/>
    <xf numFmtId="168" fontId="28" fillId="0" borderId="7" xfId="3" applyNumberFormat="1" applyFont="1" applyFill="1" applyBorder="1"/>
    <xf numFmtId="175" fontId="10" fillId="0" borderId="0" xfId="3" applyNumberFormat="1" applyFont="1" applyFill="1" applyBorder="1"/>
    <xf numFmtId="168" fontId="0" fillId="0" borderId="7" xfId="0" applyNumberFormat="1" applyFill="1" applyBorder="1"/>
    <xf numFmtId="14" fontId="7" fillId="0" borderId="0" xfId="0" applyNumberFormat="1" applyFont="1" applyFill="1" applyBorder="1"/>
    <xf numFmtId="168" fontId="8" fillId="0" borderId="12" xfId="0" applyNumberFormat="1" applyFont="1" applyFill="1" applyBorder="1"/>
    <xf numFmtId="168" fontId="0" fillId="0" borderId="8" xfId="0" applyNumberFormat="1" applyFill="1" applyBorder="1"/>
    <xf numFmtId="168" fontId="8" fillId="0" borderId="0" xfId="0" applyNumberFormat="1" applyFont="1" applyFill="1"/>
    <xf numFmtId="168" fontId="24" fillId="0" borderId="0" xfId="0" applyNumberFormat="1" applyFont="1" applyFill="1"/>
    <xf numFmtId="43" fontId="8" fillId="0" borderId="4" xfId="0" applyNumberFormat="1" applyFont="1" applyFill="1" applyBorder="1"/>
    <xf numFmtId="0" fontId="12" fillId="0" borderId="0" xfId="0" applyFont="1"/>
    <xf numFmtId="0" fontId="23" fillId="0" borderId="0" xfId="0" applyFont="1"/>
    <xf numFmtId="0" fontId="9" fillId="0" borderId="0" xfId="0" applyFont="1"/>
    <xf numFmtId="0" fontId="11" fillId="0" borderId="0" xfId="0" applyFont="1"/>
    <xf numFmtId="168" fontId="4" fillId="0" borderId="7" xfId="0" applyNumberFormat="1" applyFont="1" applyBorder="1"/>
    <xf numFmtId="168" fontId="5" fillId="0" borderId="7" xfId="0" applyNumberFormat="1" applyFont="1" applyBorder="1"/>
    <xf numFmtId="168" fontId="7" fillId="0" borderId="7" xfId="0" applyNumberFormat="1" applyFont="1" applyBorder="1"/>
    <xf numFmtId="168" fontId="8" fillId="0" borderId="4" xfId="0" applyNumberFormat="1" applyFont="1" applyBorder="1"/>
    <xf numFmtId="168" fontId="4" fillId="0" borderId="8" xfId="0" applyNumberFormat="1" applyFont="1" applyBorder="1"/>
    <xf numFmtId="168" fontId="4" fillId="0" borderId="11" xfId="0" applyNumberFormat="1" applyFont="1" applyBorder="1"/>
    <xf numFmtId="170" fontId="8" fillId="0" borderId="0" xfId="1" applyNumberFormat="1" applyFont="1" applyFill="1" applyBorder="1"/>
    <xf numFmtId="43" fontId="9" fillId="0" borderId="7" xfId="3" applyNumberFormat="1" applyFont="1" applyFill="1" applyBorder="1"/>
    <xf numFmtId="10" fontId="4" fillId="0" borderId="7" xfId="3" applyNumberFormat="1" applyFont="1" applyBorder="1"/>
    <xf numFmtId="10" fontId="5" fillId="0" borderId="7" xfId="3" applyNumberFormat="1" applyFont="1" applyBorder="1"/>
    <xf numFmtId="168" fontId="4" fillId="0" borderId="10" xfId="0" applyNumberFormat="1" applyFont="1" applyBorder="1"/>
    <xf numFmtId="168" fontId="5" fillId="0" borderId="10" xfId="0" applyNumberFormat="1" applyFont="1" applyBorder="1"/>
    <xf numFmtId="168" fontId="4" fillId="0" borderId="0" xfId="0" applyNumberFormat="1" applyFont="1" applyBorder="1"/>
    <xf numFmtId="167" fontId="9" fillId="0" borderId="0" xfId="1" applyFont="1" applyFill="1" applyBorder="1"/>
    <xf numFmtId="10" fontId="4" fillId="0" borderId="0" xfId="3" applyNumberFormat="1" applyFont="1" applyFill="1" applyBorder="1"/>
    <xf numFmtId="168" fontId="10" fillId="0" borderId="0" xfId="0" applyNumberFormat="1" applyFont="1" applyFill="1" applyBorder="1"/>
    <xf numFmtId="167" fontId="8" fillId="0" borderId="0" xfId="1" applyFont="1" applyFill="1" applyBorder="1"/>
    <xf numFmtId="43" fontId="0" fillId="0" borderId="7" xfId="0" applyNumberFormat="1" applyFill="1" applyBorder="1"/>
    <xf numFmtId="9" fontId="4" fillId="0" borderId="0" xfId="3" applyFont="1" applyFill="1" applyBorder="1"/>
    <xf numFmtId="176" fontId="10" fillId="0" borderId="0" xfId="3" applyNumberFormat="1" applyFont="1" applyFill="1" applyBorder="1"/>
    <xf numFmtId="0" fontId="12" fillId="0" borderId="0" xfId="0" applyFont="1" applyFill="1"/>
    <xf numFmtId="0" fontId="23" fillId="0" borderId="0" xfId="0" applyFont="1" applyFill="1"/>
    <xf numFmtId="10" fontId="4" fillId="0" borderId="7" xfId="3" applyNumberFormat="1" applyFont="1" applyFill="1" applyBorder="1"/>
    <xf numFmtId="168" fontId="4" fillId="0" borderId="10" xfId="0" applyNumberFormat="1" applyFont="1" applyFill="1" applyBorder="1"/>
    <xf numFmtId="168" fontId="4" fillId="0" borderId="0" xfId="0" applyNumberFormat="1" applyFont="1" applyFill="1" applyBorder="1"/>
    <xf numFmtId="0" fontId="9" fillId="0" borderId="0" xfId="0" applyFont="1" applyFill="1"/>
    <xf numFmtId="0" fontId="11" fillId="0" borderId="0" xfId="0" applyFont="1" applyFill="1"/>
    <xf numFmtId="168" fontId="5" fillId="0" borderId="10" xfId="0" applyNumberFormat="1" applyFont="1" applyFill="1" applyBorder="1"/>
    <xf numFmtId="0" fontId="18" fillId="0" borderId="12" xfId="2" applyFont="1" applyFill="1" applyBorder="1" applyAlignment="1">
      <alignment horizontal="right"/>
    </xf>
    <xf numFmtId="0" fontId="18" fillId="0" borderId="1" xfId="2" applyFont="1" applyFill="1" applyBorder="1" applyAlignment="1">
      <alignment horizontal="right"/>
    </xf>
    <xf numFmtId="0" fontId="14" fillId="0" borderId="12" xfId="2" applyFont="1" applyFill="1" applyBorder="1" applyAlignment="1">
      <alignment horizontal="right"/>
    </xf>
    <xf numFmtId="0" fontId="14" fillId="0" borderId="1" xfId="2" applyFont="1" applyFill="1" applyBorder="1" applyAlignment="1">
      <alignment horizontal="right"/>
    </xf>
    <xf numFmtId="0" fontId="14" fillId="0" borderId="15" xfId="2" applyFont="1" applyFill="1" applyBorder="1" applyAlignment="1">
      <alignment horizontal="right"/>
    </xf>
    <xf numFmtId="0" fontId="14" fillId="0" borderId="12" xfId="2" applyFont="1" applyBorder="1" applyAlignment="1">
      <alignment horizontal="right"/>
    </xf>
    <xf numFmtId="0" fontId="14" fillId="0" borderId="15" xfId="2" applyFont="1" applyBorder="1" applyAlignment="1">
      <alignment horizontal="right"/>
    </xf>
    <xf numFmtId="0" fontId="18" fillId="0" borderId="12" xfId="2" applyFont="1" applyBorder="1" applyAlignment="1">
      <alignment horizontal="right"/>
    </xf>
    <xf numFmtId="0" fontId="18" fillId="0" borderId="15" xfId="2" applyFont="1" applyBorder="1" applyAlignment="1">
      <alignment horizontal="right"/>
    </xf>
    <xf numFmtId="0" fontId="31" fillId="0" borderId="0" xfId="0" applyFont="1" applyFill="1" applyBorder="1"/>
    <xf numFmtId="0" fontId="4" fillId="0" borderId="0" xfId="0" applyFont="1"/>
    <xf numFmtId="0" fontId="31" fillId="0" borderId="0" xfId="0" applyFont="1" applyAlignment="1">
      <alignment horizontal="center"/>
    </xf>
    <xf numFmtId="0" fontId="31" fillId="0" borderId="0" xfId="0" applyFont="1"/>
    <xf numFmtId="167" fontId="4" fillId="0" borderId="0" xfId="1" applyFont="1"/>
    <xf numFmtId="167" fontId="31" fillId="0" borderId="18" xfId="1" applyFont="1" applyBorder="1"/>
    <xf numFmtId="43" fontId="0" fillId="0" borderId="0" xfId="0" applyNumberFormat="1"/>
    <xf numFmtId="14" fontId="31" fillId="0" borderId="0" xfId="0" applyNumberFormat="1" applyFont="1" applyAlignment="1">
      <alignment horizontal="left"/>
    </xf>
    <xf numFmtId="167" fontId="4" fillId="0" borderId="0" xfId="1" applyFont="1" applyFill="1"/>
  </cellXfs>
  <cellStyles count="16">
    <cellStyle name="Comma 4" xfId="15" xr:uid="{00000000-0005-0000-0000-000000000000}"/>
    <cellStyle name="Comma_~5415757" xfId="9" xr:uid="{00000000-0005-0000-0000-000001000000}"/>
    <cellStyle name="Millares" xfId="1" builtinId="3"/>
    <cellStyle name="Millares 2" xfId="6" xr:uid="{00000000-0005-0000-0000-000003000000}"/>
    <cellStyle name="Millares 3" xfId="7" xr:uid="{00000000-0005-0000-0000-000004000000}"/>
    <cellStyle name="Millares 4" xfId="13" xr:uid="{00000000-0005-0000-0000-000005000000}"/>
    <cellStyle name="Moneda 2" xfId="10" xr:uid="{00000000-0005-0000-0000-000006000000}"/>
    <cellStyle name="Normal" xfId="0" builtinId="0"/>
    <cellStyle name="Normal 2" xfId="2" xr:uid="{00000000-0005-0000-0000-000008000000}"/>
    <cellStyle name="Normal 3" xfId="5" xr:uid="{00000000-0005-0000-0000-000009000000}"/>
    <cellStyle name="Normal 4" xfId="4" xr:uid="{00000000-0005-0000-0000-00000A000000}"/>
    <cellStyle name="Normal 5" xfId="12" xr:uid="{00000000-0005-0000-0000-00000B000000}"/>
    <cellStyle name="Porcentaje" xfId="3" builtinId="5"/>
    <cellStyle name="Porcentaje 2" xfId="8" xr:uid="{00000000-0005-0000-0000-00000D000000}"/>
    <cellStyle name="Porcentaje 3" xfId="11" xr:uid="{00000000-0005-0000-0000-00000E000000}"/>
    <cellStyle name="Porcentaje 4" xfId="14" xr:uid="{00000000-0005-0000-0000-00000F000000}"/>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85"/>
  <sheetViews>
    <sheetView showGridLines="0" workbookViewId="0">
      <pane xSplit="1" ySplit="4" topLeftCell="B79" activePane="bottomRight" state="frozen"/>
      <selection activeCell="C85" sqref="C85"/>
      <selection pane="topRight" activeCell="C85" sqref="C85"/>
      <selection pane="bottomLeft" activeCell="C85" sqref="C85"/>
      <selection pane="bottomRight" activeCell="C85" sqref="C85"/>
    </sheetView>
  </sheetViews>
  <sheetFormatPr baseColWidth="10" defaultColWidth="11.42578125" defaultRowHeight="14.25" x14ac:dyDescent="0.2"/>
  <cols>
    <col min="1" max="1" width="46.140625" style="4" customWidth="1"/>
    <col min="2" max="3" width="16.140625" style="2" customWidth="1"/>
    <col min="4" max="4" width="16.7109375" style="35" customWidth="1"/>
    <col min="5" max="5" width="17.42578125" style="3" bestFit="1" customWidth="1"/>
    <col min="6" max="6" width="17.7109375" style="3" bestFit="1" customWidth="1"/>
    <col min="7" max="16384" width="11.42578125" style="3"/>
  </cols>
  <sheetData>
    <row r="1" spans="1:5" ht="15.75" x14ac:dyDescent="0.25">
      <c r="A1" s="50" t="s">
        <v>121</v>
      </c>
      <c r="D1" s="38"/>
    </row>
    <row r="2" spans="1:5" x14ac:dyDescent="0.2">
      <c r="D2" s="38"/>
    </row>
    <row r="3" spans="1:5" ht="15" x14ac:dyDescent="0.25">
      <c r="A3" s="5" t="s">
        <v>118</v>
      </c>
      <c r="B3" s="6" t="s">
        <v>0</v>
      </c>
      <c r="C3" s="6" t="s">
        <v>1</v>
      </c>
      <c r="D3" s="108" t="s">
        <v>31</v>
      </c>
    </row>
    <row r="4" spans="1:5" x14ac:dyDescent="0.2">
      <c r="A4" s="3"/>
      <c r="B4" s="7"/>
      <c r="C4" s="7"/>
      <c r="D4" s="39"/>
    </row>
    <row r="5" spans="1:5" x14ac:dyDescent="0.2">
      <c r="A5" s="8" t="s">
        <v>2</v>
      </c>
      <c r="B5" s="20"/>
      <c r="C5" s="20"/>
      <c r="D5" s="51"/>
    </row>
    <row r="6" spans="1:5" x14ac:dyDescent="0.2">
      <c r="A6" s="10"/>
      <c r="B6" s="21"/>
      <c r="C6" s="21"/>
      <c r="D6" s="41"/>
    </row>
    <row r="7" spans="1:5" x14ac:dyDescent="0.2">
      <c r="A7" s="10" t="s">
        <v>9</v>
      </c>
      <c r="B7" s="70">
        <f>+B8</f>
        <v>304930</v>
      </c>
      <c r="C7" s="70">
        <f>+C8</f>
        <v>7799684.5599999996</v>
      </c>
      <c r="D7" s="52">
        <f t="shared" ref="D7:D18" si="0">+C7/$C$18</f>
        <v>0.68142242406203801</v>
      </c>
    </row>
    <row r="8" spans="1:5" s="14" customFormat="1" ht="12.75" x14ac:dyDescent="0.2">
      <c r="A8" s="13" t="s">
        <v>25</v>
      </c>
      <c r="B8" s="82">
        <v>304930</v>
      </c>
      <c r="C8" s="82">
        <v>7799684.5599999996</v>
      </c>
      <c r="D8" s="72">
        <f t="shared" si="0"/>
        <v>0.68142242406203801</v>
      </c>
    </row>
    <row r="9" spans="1:5" x14ac:dyDescent="0.2">
      <c r="A9" s="10" t="s">
        <v>44</v>
      </c>
      <c r="B9" s="70">
        <f>+B10+B13</f>
        <v>0</v>
      </c>
      <c r="C9" s="70">
        <f>+C10+C13</f>
        <v>2826336.67</v>
      </c>
      <c r="D9" s="52">
        <f t="shared" si="0"/>
        <v>0.24692398392157905</v>
      </c>
      <c r="E9" s="107"/>
    </row>
    <row r="10" spans="1:5" s="61" customFormat="1" ht="12.75" x14ac:dyDescent="0.2">
      <c r="A10" s="75" t="s">
        <v>129</v>
      </c>
      <c r="B10" s="79">
        <f>+B11+B12</f>
        <v>0</v>
      </c>
      <c r="C10" s="79">
        <f>+C11+C12</f>
        <v>845750</v>
      </c>
      <c r="D10" s="72">
        <f t="shared" si="0"/>
        <v>7.3889272151599503E-2</v>
      </c>
    </row>
    <row r="11" spans="1:5" s="61" customFormat="1" ht="11.25" x14ac:dyDescent="0.2">
      <c r="A11" s="80" t="s">
        <v>32</v>
      </c>
      <c r="B11" s="81">
        <v>0</v>
      </c>
      <c r="C11" s="81">
        <f>850000-4250</f>
        <v>845750</v>
      </c>
      <c r="D11" s="78">
        <f t="shared" si="0"/>
        <v>7.3889272151599503E-2</v>
      </c>
    </row>
    <row r="12" spans="1:5" s="61" customFormat="1" ht="11.25" hidden="1" x14ac:dyDescent="0.2">
      <c r="A12" s="80" t="s">
        <v>22</v>
      </c>
      <c r="B12" s="81">
        <v>0</v>
      </c>
      <c r="C12" s="81">
        <v>0</v>
      </c>
      <c r="D12" s="78">
        <f t="shared" si="0"/>
        <v>0</v>
      </c>
    </row>
    <row r="13" spans="1:5" s="61" customFormat="1" ht="12.75" x14ac:dyDescent="0.2">
      <c r="A13" s="75" t="s">
        <v>112</v>
      </c>
      <c r="B13" s="79">
        <f>+B14+B15</f>
        <v>0</v>
      </c>
      <c r="C13" s="79">
        <f>+C14+C15</f>
        <v>1980586.67</v>
      </c>
      <c r="D13" s="72">
        <f t="shared" si="0"/>
        <v>0.17303471176997953</v>
      </c>
    </row>
    <row r="14" spans="1:5" s="61" customFormat="1" ht="11.25" x14ac:dyDescent="0.2">
      <c r="A14" s="80" t="s">
        <v>32</v>
      </c>
      <c r="B14" s="81">
        <v>0</v>
      </c>
      <c r="C14" s="81">
        <f>2000000-20000</f>
        <v>1980000</v>
      </c>
      <c r="D14" s="78">
        <f t="shared" si="0"/>
        <v>0.17298345712109608</v>
      </c>
    </row>
    <row r="15" spans="1:5" s="61" customFormat="1" ht="11.25" x14ac:dyDescent="0.2">
      <c r="A15" s="80" t="s">
        <v>22</v>
      </c>
      <c r="B15" s="81">
        <v>0</v>
      </c>
      <c r="C15" s="77">
        <v>586.66999999999996</v>
      </c>
      <c r="D15" s="78">
        <f t="shared" si="0"/>
        <v>5.1254648883451231E-5</v>
      </c>
    </row>
    <row r="16" spans="1:5" x14ac:dyDescent="0.2">
      <c r="A16" s="10" t="s">
        <v>19</v>
      </c>
      <c r="B16" s="25">
        <v>0</v>
      </c>
      <c r="C16" s="25">
        <v>1480</v>
      </c>
      <c r="D16" s="52">
        <f t="shared" si="0"/>
        <v>1.2930076592890011E-4</v>
      </c>
    </row>
    <row r="17" spans="1:6" x14ac:dyDescent="0.2">
      <c r="A17" s="10" t="s">
        <v>126</v>
      </c>
      <c r="B17" s="25">
        <v>0</v>
      </c>
      <c r="C17" s="25">
        <v>818680</v>
      </c>
      <c r="D17" s="52">
        <f t="shared" si="0"/>
        <v>7.1524291250454008E-2</v>
      </c>
    </row>
    <row r="18" spans="1:6" ht="15" x14ac:dyDescent="0.25">
      <c r="A18" s="17" t="s">
        <v>3</v>
      </c>
      <c r="B18" s="100">
        <f>+B9+B7+B17</f>
        <v>304930</v>
      </c>
      <c r="C18" s="100">
        <f>+C9+C7+C17+C16</f>
        <v>11446181.23</v>
      </c>
      <c r="D18" s="47">
        <f t="shared" si="0"/>
        <v>1</v>
      </c>
      <c r="E18" s="71"/>
      <c r="F18" s="112"/>
    </row>
    <row r="19" spans="1:6" x14ac:dyDescent="0.2">
      <c r="A19" s="3"/>
      <c r="B19" s="73"/>
      <c r="C19" s="73"/>
      <c r="D19" s="83"/>
      <c r="E19" s="71"/>
    </row>
    <row r="20" spans="1:6" x14ac:dyDescent="0.2">
      <c r="A20" s="19" t="s">
        <v>4</v>
      </c>
      <c r="B20" s="21"/>
      <c r="C20" s="21"/>
      <c r="D20" s="41"/>
    </row>
    <row r="21" spans="1:6" x14ac:dyDescent="0.2">
      <c r="A21" s="22"/>
      <c r="B21" s="21"/>
      <c r="C21" s="21"/>
      <c r="D21" s="41"/>
    </row>
    <row r="22" spans="1:6" x14ac:dyDescent="0.2">
      <c r="A22" s="23" t="s">
        <v>23</v>
      </c>
      <c r="B22" s="25"/>
      <c r="C22" s="25"/>
      <c r="D22" s="52"/>
    </row>
    <row r="23" spans="1:6" s="16" customFormat="1" x14ac:dyDescent="0.2">
      <c r="A23" s="22" t="s">
        <v>20</v>
      </c>
      <c r="B23" s="25">
        <f>+SUM(B24:B26)</f>
        <v>0</v>
      </c>
      <c r="C23" s="25">
        <f>+SUM(C24:C26)</f>
        <v>10206.32</v>
      </c>
      <c r="D23" s="52">
        <f>+C23/$C$44</f>
        <v>8.9167904953746737E-4</v>
      </c>
    </row>
    <row r="24" spans="1:6" s="16" customFormat="1" ht="12.75" x14ac:dyDescent="0.2">
      <c r="A24" s="24" t="s">
        <v>21</v>
      </c>
      <c r="B24" s="79">
        <v>0</v>
      </c>
      <c r="C24" s="79">
        <v>1223.32</v>
      </c>
      <c r="D24" s="53">
        <f>+C24/$C$44</f>
        <v>1.0687581957847438E-4</v>
      </c>
    </row>
    <row r="25" spans="1:6" s="16" customFormat="1" ht="12.75" x14ac:dyDescent="0.2">
      <c r="A25" s="24" t="s">
        <v>34</v>
      </c>
      <c r="B25" s="79">
        <v>0</v>
      </c>
      <c r="C25" s="79">
        <v>7483</v>
      </c>
      <c r="D25" s="53">
        <f>+C25/$C$44</f>
        <v>6.5375515638240508E-4</v>
      </c>
      <c r="E25" s="109"/>
    </row>
    <row r="26" spans="1:6" s="16" customFormat="1" ht="12.75" x14ac:dyDescent="0.2">
      <c r="A26" s="13" t="s">
        <v>124</v>
      </c>
      <c r="B26" s="79">
        <v>0</v>
      </c>
      <c r="C26" s="79">
        <v>1500</v>
      </c>
      <c r="D26" s="53">
        <f>+C26/$C$44</f>
        <v>1.3104807357658795E-4</v>
      </c>
    </row>
    <row r="27" spans="1:6" x14ac:dyDescent="0.2">
      <c r="A27" s="49"/>
      <c r="B27" s="21"/>
      <c r="C27" s="21"/>
      <c r="D27" s="56"/>
    </row>
    <row r="28" spans="1:6" ht="15" x14ac:dyDescent="0.25">
      <c r="A28" s="26" t="s">
        <v>5</v>
      </c>
      <c r="B28" s="117">
        <f>+B23</f>
        <v>0</v>
      </c>
      <c r="C28" s="18">
        <f>+C23</f>
        <v>10206.32</v>
      </c>
      <c r="D28" s="47">
        <f>+C28/$C$44</f>
        <v>8.9167904953746737E-4</v>
      </c>
    </row>
    <row r="29" spans="1:6" x14ac:dyDescent="0.2">
      <c r="A29" s="3"/>
      <c r="B29" s="74"/>
      <c r="C29" s="74"/>
      <c r="D29" s="104"/>
    </row>
    <row r="30" spans="1:6" x14ac:dyDescent="0.2">
      <c r="A30" s="8" t="s">
        <v>6</v>
      </c>
      <c r="B30" s="9"/>
      <c r="C30" s="9"/>
      <c r="D30" s="57"/>
    </row>
    <row r="31" spans="1:6" x14ac:dyDescent="0.2">
      <c r="A31" s="10"/>
      <c r="B31" s="11"/>
      <c r="C31" s="11"/>
      <c r="D31" s="48"/>
    </row>
    <row r="32" spans="1:6" s="14" customFormat="1" x14ac:dyDescent="0.2">
      <c r="A32" s="10" t="s">
        <v>42</v>
      </c>
      <c r="B32" s="12">
        <f>SUM(B33:B40)</f>
        <v>305000</v>
      </c>
      <c r="C32" s="12">
        <f>SUM(C33:C40)</f>
        <v>11904999</v>
      </c>
      <c r="D32" s="52">
        <f t="shared" ref="D32:D41" si="1">+C32/$C$44</f>
        <v>1.0400847899208039</v>
      </c>
    </row>
    <row r="33" spans="1:5" s="14" customFormat="1" ht="12.75" x14ac:dyDescent="0.2">
      <c r="A33" s="13" t="s">
        <v>16</v>
      </c>
      <c r="B33" s="102">
        <v>0</v>
      </c>
      <c r="C33" s="102">
        <v>3054428</v>
      </c>
      <c r="D33" s="53">
        <f t="shared" si="1"/>
        <v>0.26685127018559357</v>
      </c>
    </row>
    <row r="34" spans="1:5" s="14" customFormat="1" ht="12.75" x14ac:dyDescent="0.2">
      <c r="A34" s="13" t="s">
        <v>17</v>
      </c>
      <c r="B34" s="76">
        <v>0</v>
      </c>
      <c r="C34" s="102">
        <v>3054428</v>
      </c>
      <c r="D34" s="53">
        <f t="shared" si="1"/>
        <v>0.26685127018559357</v>
      </c>
    </row>
    <row r="35" spans="1:5" s="14" customFormat="1" ht="12.75" x14ac:dyDescent="0.2">
      <c r="A35" s="13" t="s">
        <v>117</v>
      </c>
      <c r="B35" s="76">
        <v>0</v>
      </c>
      <c r="C35" s="76">
        <v>50000</v>
      </c>
      <c r="D35" s="53">
        <f t="shared" si="1"/>
        <v>4.3682691192195979E-3</v>
      </c>
    </row>
    <row r="36" spans="1:5" s="14" customFormat="1" ht="12.75" x14ac:dyDescent="0.2">
      <c r="A36" s="13" t="s">
        <v>18</v>
      </c>
      <c r="B36" s="76">
        <v>0</v>
      </c>
      <c r="C36" s="102">
        <v>3054428</v>
      </c>
      <c r="D36" s="53">
        <f t="shared" si="1"/>
        <v>0.26685127018559357</v>
      </c>
    </row>
    <row r="37" spans="1:5" s="14" customFormat="1" ht="12.75" x14ac:dyDescent="0.2">
      <c r="A37" s="13" t="s">
        <v>37</v>
      </c>
      <c r="B37" s="76">
        <v>0</v>
      </c>
      <c r="C37" s="76">
        <v>1527214</v>
      </c>
      <c r="D37" s="53">
        <f t="shared" si="1"/>
        <v>0.13342563509279678</v>
      </c>
    </row>
    <row r="38" spans="1:5" s="14" customFormat="1" ht="12.75" x14ac:dyDescent="0.2">
      <c r="A38" s="13" t="s">
        <v>43</v>
      </c>
      <c r="B38" s="76">
        <v>150000</v>
      </c>
      <c r="C38" s="76">
        <v>572706</v>
      </c>
      <c r="D38" s="53">
        <f t="shared" si="1"/>
        <v>5.0034678683835584E-2</v>
      </c>
    </row>
    <row r="39" spans="1:5" s="14" customFormat="1" ht="12.75" x14ac:dyDescent="0.2">
      <c r="A39" s="13" t="s">
        <v>122</v>
      </c>
      <c r="B39" s="76">
        <v>55000</v>
      </c>
      <c r="C39" s="76">
        <v>209991</v>
      </c>
      <c r="D39" s="53">
        <f t="shared" si="1"/>
        <v>1.8345944012280853E-2</v>
      </c>
      <c r="E39" s="118"/>
    </row>
    <row r="40" spans="1:5" s="14" customFormat="1" ht="12.75" x14ac:dyDescent="0.2">
      <c r="A40" s="13" t="s">
        <v>123</v>
      </c>
      <c r="B40" s="76">
        <v>100000</v>
      </c>
      <c r="C40" s="76">
        <v>381804</v>
      </c>
      <c r="D40" s="53">
        <f t="shared" si="1"/>
        <v>3.335645245589039E-2</v>
      </c>
    </row>
    <row r="41" spans="1:5" x14ac:dyDescent="0.2">
      <c r="A41" s="10" t="s">
        <v>10</v>
      </c>
      <c r="B41" s="12">
        <f>+B81</f>
        <v>-70</v>
      </c>
      <c r="C41" s="12">
        <f>+C81</f>
        <v>-469024.09</v>
      </c>
      <c r="D41" s="52">
        <f t="shared" si="1"/>
        <v>-4.0976468970341476E-2</v>
      </c>
    </row>
    <row r="42" spans="1:5" x14ac:dyDescent="0.2">
      <c r="A42" s="10"/>
      <c r="B42" s="11"/>
      <c r="C42" s="11"/>
      <c r="D42" s="48"/>
    </row>
    <row r="43" spans="1:5" ht="15" x14ac:dyDescent="0.25">
      <c r="A43" s="27" t="s">
        <v>7</v>
      </c>
      <c r="B43" s="32">
        <f>+B32+B41</f>
        <v>304930</v>
      </c>
      <c r="C43" s="32">
        <f>+C32+C41</f>
        <v>11435974.91</v>
      </c>
      <c r="D43" s="47">
        <f>+C43/$C$44</f>
        <v>0.99910832095046254</v>
      </c>
    </row>
    <row r="44" spans="1:5" ht="15" x14ac:dyDescent="0.25">
      <c r="A44" s="17" t="s">
        <v>11</v>
      </c>
      <c r="B44" s="32">
        <f>+B28+B43</f>
        <v>304930</v>
      </c>
      <c r="C44" s="32">
        <f>+C28+C43</f>
        <v>11446181.23</v>
      </c>
      <c r="D44" s="47">
        <f>+C44/$C$44</f>
        <v>1</v>
      </c>
    </row>
    <row r="45" spans="1:5" ht="15" x14ac:dyDescent="0.25">
      <c r="A45" s="28"/>
      <c r="B45" s="29"/>
      <c r="C45" s="29"/>
      <c r="D45" s="42"/>
    </row>
    <row r="46" spans="1:5" ht="15" x14ac:dyDescent="0.25">
      <c r="A46" s="27" t="s">
        <v>29</v>
      </c>
      <c r="B46" s="65" t="str">
        <f>+B3</f>
        <v>November</v>
      </c>
      <c r="C46" s="65" t="str">
        <f>+C3</f>
        <v>December</v>
      </c>
      <c r="D46" s="84" t="s">
        <v>120</v>
      </c>
    </row>
    <row r="47" spans="1:5" ht="15" x14ac:dyDescent="0.25">
      <c r="A47" s="37"/>
      <c r="B47" s="64"/>
      <c r="C47" s="64"/>
      <c r="D47" s="85" t="s">
        <v>30</v>
      </c>
    </row>
    <row r="48" spans="1:5" s="16" customFormat="1" x14ac:dyDescent="0.2">
      <c r="A48" s="10" t="s">
        <v>12</v>
      </c>
      <c r="B48" s="66"/>
      <c r="C48" s="66"/>
      <c r="D48" s="66"/>
    </row>
    <row r="49" spans="1:6" s="16" customFormat="1" ht="12.75" x14ac:dyDescent="0.2">
      <c r="A49" s="13" t="str">
        <f>+A68</f>
        <v xml:space="preserve">Loans Interests </v>
      </c>
      <c r="B49" s="82">
        <f>+B68</f>
        <v>0</v>
      </c>
      <c r="C49" s="82">
        <f>+C68-B68</f>
        <v>586.66999999999996</v>
      </c>
      <c r="D49" s="44">
        <f>+SUM(B49:C49)</f>
        <v>586.66999999999996</v>
      </c>
    </row>
    <row r="50" spans="1:6" x14ac:dyDescent="0.2">
      <c r="A50" s="10" t="s">
        <v>8</v>
      </c>
      <c r="B50" s="25">
        <f>+B49</f>
        <v>0</v>
      </c>
      <c r="C50" s="25">
        <f>+C49</f>
        <v>586.66999999999996</v>
      </c>
      <c r="D50" s="25">
        <f>+D49</f>
        <v>586.66999999999996</v>
      </c>
      <c r="E50" s="54"/>
    </row>
    <row r="51" spans="1:6" x14ac:dyDescent="0.2">
      <c r="A51" s="10"/>
      <c r="B51" s="25"/>
      <c r="C51" s="25"/>
      <c r="D51" s="44"/>
    </row>
    <row r="52" spans="1:6" s="16" customFormat="1" x14ac:dyDescent="0.2">
      <c r="A52" s="10" t="s">
        <v>13</v>
      </c>
      <c r="B52" s="25"/>
      <c r="C52" s="25"/>
      <c r="D52" s="44"/>
    </row>
    <row r="53" spans="1:6" s="16" customFormat="1" ht="12.75" x14ac:dyDescent="0.2">
      <c r="A53" s="13" t="str">
        <f>+A72</f>
        <v>Management Fees</v>
      </c>
      <c r="B53" s="82">
        <f>+B72</f>
        <v>0</v>
      </c>
      <c r="C53" s="82">
        <f>+C72-B72</f>
        <v>-83725.48</v>
      </c>
      <c r="D53" s="44">
        <f t="shared" ref="D53:D59" si="2">+SUM(B53:C53)</f>
        <v>-83725.48</v>
      </c>
    </row>
    <row r="54" spans="1:6" s="16" customFormat="1" ht="12.75" x14ac:dyDescent="0.2">
      <c r="A54" s="13" t="str">
        <f t="shared" ref="A54:A59" si="3">+A73</f>
        <v>Preoperational expenses</v>
      </c>
      <c r="B54" s="82">
        <f t="shared" ref="B54:B59" si="4">+B73</f>
        <v>0</v>
      </c>
      <c r="C54" s="82">
        <f t="shared" ref="C54:C59" si="5">+C73-B73</f>
        <v>-125000</v>
      </c>
      <c r="D54" s="44">
        <f t="shared" si="2"/>
        <v>-125000</v>
      </c>
      <c r="E54" s="110"/>
    </row>
    <row r="55" spans="1:6" s="16" customFormat="1" ht="12.75" x14ac:dyDescent="0.2">
      <c r="A55" s="13" t="str">
        <f t="shared" si="3"/>
        <v>Preoperational Legal expenses</v>
      </c>
      <c r="B55" s="82">
        <f t="shared" si="4"/>
        <v>0</v>
      </c>
      <c r="C55" s="82">
        <f t="shared" si="5"/>
        <v>-239326.5</v>
      </c>
      <c r="D55" s="44">
        <f t="shared" si="2"/>
        <v>-239326.5</v>
      </c>
    </row>
    <row r="56" spans="1:6" s="16" customFormat="1" ht="12.75" x14ac:dyDescent="0.2">
      <c r="A56" s="13" t="str">
        <f t="shared" si="3"/>
        <v>Bank and Account Charges</v>
      </c>
      <c r="B56" s="82">
        <f t="shared" si="4"/>
        <v>-70</v>
      </c>
      <c r="C56" s="82">
        <f t="shared" si="5"/>
        <v>-809.82</v>
      </c>
      <c r="D56" s="44">
        <f t="shared" si="2"/>
        <v>-879.82</v>
      </c>
    </row>
    <row r="57" spans="1:6" s="16" customFormat="1" ht="12.75" x14ac:dyDescent="0.2">
      <c r="A57" s="13" t="str">
        <f t="shared" si="3"/>
        <v>Legal Expenses</v>
      </c>
      <c r="B57" s="82">
        <f t="shared" si="4"/>
        <v>0</v>
      </c>
      <c r="C57" s="82">
        <f t="shared" si="5"/>
        <v>-11695.96</v>
      </c>
      <c r="D57" s="44">
        <f t="shared" si="2"/>
        <v>-11695.96</v>
      </c>
    </row>
    <row r="58" spans="1:6" s="16" customFormat="1" ht="12.75" x14ac:dyDescent="0.2">
      <c r="A58" s="13" t="str">
        <f t="shared" si="3"/>
        <v>External Audit Expenses</v>
      </c>
      <c r="B58" s="82">
        <f t="shared" si="4"/>
        <v>0</v>
      </c>
      <c r="C58" s="82">
        <f t="shared" si="5"/>
        <v>-7483</v>
      </c>
      <c r="D58" s="44">
        <f t="shared" si="2"/>
        <v>-7483</v>
      </c>
      <c r="E58" s="110"/>
      <c r="F58" s="116"/>
    </row>
    <row r="59" spans="1:6" s="16" customFormat="1" ht="12.75" x14ac:dyDescent="0.2">
      <c r="A59" s="13" t="str">
        <f t="shared" si="3"/>
        <v>Credit Committee</v>
      </c>
      <c r="B59" s="82">
        <f t="shared" si="4"/>
        <v>0</v>
      </c>
      <c r="C59" s="82">
        <f t="shared" si="5"/>
        <v>-1500</v>
      </c>
      <c r="D59" s="44">
        <f t="shared" si="2"/>
        <v>-1500</v>
      </c>
    </row>
    <row r="60" spans="1:6" x14ac:dyDescent="0.2">
      <c r="A60" s="10" t="s">
        <v>15</v>
      </c>
      <c r="B60" s="25">
        <f>+SUM(B53:B59)</f>
        <v>-70</v>
      </c>
      <c r="C60" s="25">
        <f>+SUM(C53:C59)</f>
        <v>-469540.76</v>
      </c>
      <c r="D60" s="25">
        <f>SUM(D53:D59)</f>
        <v>-469610.76</v>
      </c>
      <c r="E60" s="115"/>
    </row>
    <row r="61" spans="1:6" x14ac:dyDescent="0.2">
      <c r="A61" s="30"/>
      <c r="B61" s="63"/>
      <c r="C61" s="63"/>
      <c r="D61" s="63"/>
    </row>
    <row r="62" spans="1:6" ht="15" x14ac:dyDescent="0.25">
      <c r="A62" s="45" t="s">
        <v>39</v>
      </c>
      <c r="B62" s="32">
        <f>+B50+B60</f>
        <v>-70</v>
      </c>
      <c r="C62" s="32">
        <f>+C50+C60</f>
        <v>-468954.09</v>
      </c>
      <c r="D62" s="32">
        <f>+D50+D60</f>
        <v>-469024.09</v>
      </c>
      <c r="F62" s="54"/>
    </row>
    <row r="63" spans="1:6" ht="15" x14ac:dyDescent="0.25">
      <c r="A63" s="28"/>
      <c r="B63" s="33"/>
      <c r="C63" s="33"/>
      <c r="D63" s="33"/>
    </row>
    <row r="64" spans="1:6" ht="15" x14ac:dyDescent="0.25">
      <c r="A64" s="28"/>
      <c r="B64" s="113"/>
      <c r="C64" s="113"/>
      <c r="D64" s="111"/>
    </row>
    <row r="65" spans="1:5" x14ac:dyDescent="0.2">
      <c r="A65" s="46" t="s">
        <v>106</v>
      </c>
      <c r="B65" s="9"/>
      <c r="C65" s="9"/>
      <c r="D65" s="51"/>
    </row>
    <row r="66" spans="1:5" x14ac:dyDescent="0.2">
      <c r="A66" s="10"/>
      <c r="B66" s="11"/>
      <c r="C66" s="11"/>
      <c r="D66" s="41"/>
    </row>
    <row r="67" spans="1:5" s="16" customFormat="1" x14ac:dyDescent="0.2">
      <c r="A67" s="10" t="s">
        <v>12</v>
      </c>
      <c r="B67" s="11"/>
      <c r="C67" s="11"/>
      <c r="D67" s="41"/>
    </row>
    <row r="68" spans="1:5" s="16" customFormat="1" ht="12.75" x14ac:dyDescent="0.2">
      <c r="A68" s="13" t="s">
        <v>49</v>
      </c>
      <c r="B68" s="82">
        <v>0</v>
      </c>
      <c r="C68" s="82">
        <v>586.66999999999996</v>
      </c>
      <c r="D68" s="44"/>
    </row>
    <row r="69" spans="1:5" x14ac:dyDescent="0.2">
      <c r="A69" s="10" t="s">
        <v>8</v>
      </c>
      <c r="B69" s="25">
        <f>SUM(B68:B68)</f>
        <v>0</v>
      </c>
      <c r="C69" s="25">
        <f>+C68</f>
        <v>586.66999999999996</v>
      </c>
      <c r="D69" s="41"/>
    </row>
    <row r="70" spans="1:5" x14ac:dyDescent="0.2">
      <c r="A70" s="10"/>
      <c r="B70" s="12"/>
      <c r="C70" s="12"/>
      <c r="D70" s="41"/>
    </row>
    <row r="71" spans="1:5" s="16" customFormat="1" x14ac:dyDescent="0.2">
      <c r="A71" s="10" t="s">
        <v>13</v>
      </c>
      <c r="B71" s="12"/>
      <c r="C71" s="12"/>
      <c r="D71" s="41"/>
    </row>
    <row r="72" spans="1:5" s="16" customFormat="1" ht="12.75" x14ac:dyDescent="0.2">
      <c r="A72" s="13" t="s">
        <v>14</v>
      </c>
      <c r="B72" s="82">
        <v>0</v>
      </c>
      <c r="C72" s="82">
        <f>-85205.48+1480</f>
        <v>-83725.48</v>
      </c>
      <c r="D72" s="58"/>
    </row>
    <row r="73" spans="1:5" s="16" customFormat="1" ht="12.75" x14ac:dyDescent="0.2">
      <c r="A73" s="13" t="s">
        <v>127</v>
      </c>
      <c r="B73" s="82">
        <v>0</v>
      </c>
      <c r="C73" s="82">
        <v>-125000</v>
      </c>
      <c r="D73" s="58"/>
    </row>
    <row r="74" spans="1:5" s="16" customFormat="1" ht="12.75" x14ac:dyDescent="0.2">
      <c r="A74" s="13" t="s">
        <v>128</v>
      </c>
      <c r="B74" s="82">
        <v>0</v>
      </c>
      <c r="C74" s="82">
        <v>-239326.5</v>
      </c>
      <c r="D74" s="58"/>
    </row>
    <row r="75" spans="1:5" s="16" customFormat="1" ht="12.75" x14ac:dyDescent="0.2">
      <c r="A75" s="13" t="s">
        <v>27</v>
      </c>
      <c r="B75" s="82">
        <v>-70</v>
      </c>
      <c r="C75" s="82">
        <v>-879.82</v>
      </c>
      <c r="D75" s="58"/>
    </row>
    <row r="76" spans="1:5" s="16" customFormat="1" ht="12.75" x14ac:dyDescent="0.2">
      <c r="A76" s="13" t="s">
        <v>24</v>
      </c>
      <c r="B76" s="82">
        <v>0</v>
      </c>
      <c r="C76" s="82">
        <v>-11695.96</v>
      </c>
      <c r="D76" s="58"/>
    </row>
    <row r="77" spans="1:5" s="16" customFormat="1" ht="12.75" x14ac:dyDescent="0.2">
      <c r="A77" s="13" t="s">
        <v>35</v>
      </c>
      <c r="B77" s="82">
        <v>0</v>
      </c>
      <c r="C77" s="82">
        <v>-7483</v>
      </c>
      <c r="D77" s="58"/>
      <c r="E77" s="36"/>
    </row>
    <row r="78" spans="1:5" s="16" customFormat="1" ht="12.75" x14ac:dyDescent="0.2">
      <c r="A78" s="13" t="s">
        <v>125</v>
      </c>
      <c r="B78" s="82">
        <v>0</v>
      </c>
      <c r="C78" s="82">
        <v>-1500</v>
      </c>
      <c r="D78" s="58"/>
    </row>
    <row r="79" spans="1:5" x14ac:dyDescent="0.2">
      <c r="A79" s="10" t="s">
        <v>15</v>
      </c>
      <c r="B79" s="25">
        <f>SUM(B72:B78)</f>
        <v>-70</v>
      </c>
      <c r="C79" s="25">
        <f>SUM(C72:C78)</f>
        <v>-469610.76</v>
      </c>
      <c r="D79" s="41"/>
      <c r="E79" s="114"/>
    </row>
    <row r="80" spans="1:5" x14ac:dyDescent="0.2">
      <c r="A80" s="30"/>
      <c r="B80" s="31"/>
      <c r="C80" s="31"/>
      <c r="D80" s="59"/>
    </row>
    <row r="81" spans="1:5" ht="15" x14ac:dyDescent="0.25">
      <c r="A81" s="26" t="s">
        <v>39</v>
      </c>
      <c r="B81" s="32">
        <f>+B69+B79</f>
        <v>-70</v>
      </c>
      <c r="C81" s="32">
        <f>+C69+C79</f>
        <v>-469024.09</v>
      </c>
      <c r="D81" s="40"/>
      <c r="E81" s="54"/>
    </row>
    <row r="82" spans="1:5" x14ac:dyDescent="0.2">
      <c r="B82" s="34"/>
      <c r="C82" s="34"/>
    </row>
    <row r="83" spans="1:5" x14ac:dyDescent="0.2">
      <c r="B83" s="68">
        <f>+B18-B44</f>
        <v>0</v>
      </c>
      <c r="C83" s="68">
        <f>+C18-C44</f>
        <v>0</v>
      </c>
      <c r="D83" s="62"/>
    </row>
    <row r="84" spans="1:5" x14ac:dyDescent="0.2">
      <c r="D84" s="67"/>
    </row>
    <row r="85" spans="1:5" x14ac:dyDescent="0.2">
      <c r="A85" s="4" t="s">
        <v>157</v>
      </c>
      <c r="B85" s="34">
        <f>+B11+B14</f>
        <v>0</v>
      </c>
      <c r="C85" s="34">
        <f>+C11+C14</f>
        <v>2825750</v>
      </c>
    </row>
  </sheetData>
  <pageMargins left="0.70866141732283472" right="0.70866141732283472" top="0.74803149606299213" bottom="0.74803149606299213" header="0.31496062992125984" footer="0.31496062992125984"/>
  <pageSetup scale="44"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247"/>
  <sheetViews>
    <sheetView showGridLines="0" topLeftCell="A216" zoomScale="95" zoomScaleNormal="95" workbookViewId="0">
      <pane xSplit="1" topLeftCell="G1" activePane="topRight" state="frozen"/>
      <selection activeCell="C85" sqref="C85"/>
      <selection pane="topRight" activeCell="C85" sqref="C85"/>
    </sheetView>
  </sheetViews>
  <sheetFormatPr baseColWidth="10" defaultColWidth="11.42578125" defaultRowHeight="14.25" x14ac:dyDescent="0.2"/>
  <cols>
    <col min="1" max="1" width="38.85546875" style="4" customWidth="1"/>
    <col min="2" max="4" width="16.140625" style="2" customWidth="1"/>
    <col min="5" max="7" width="16.140625" style="168" customWidth="1"/>
    <col min="8" max="13" width="16.140625" style="2" customWidth="1"/>
    <col min="14" max="14" width="18.42578125" style="35" customWidth="1"/>
    <col min="15" max="15" width="17.42578125" style="3" bestFit="1" customWidth="1"/>
    <col min="16" max="16" width="24.7109375" style="3" bestFit="1" customWidth="1"/>
    <col min="17" max="17" width="14" style="3" bestFit="1" customWidth="1"/>
    <col min="18" max="16384" width="11.42578125" style="3"/>
  </cols>
  <sheetData>
    <row r="1" spans="1:16" ht="15.75" x14ac:dyDescent="0.25">
      <c r="A1" s="50" t="s">
        <v>130</v>
      </c>
      <c r="N1" s="38"/>
    </row>
    <row r="2" spans="1:16" x14ac:dyDescent="0.2">
      <c r="N2" s="38"/>
    </row>
    <row r="3" spans="1:16" ht="15" x14ac:dyDescent="0.25">
      <c r="A3" s="5" t="s">
        <v>131</v>
      </c>
      <c r="B3" s="6" t="s">
        <v>132</v>
      </c>
      <c r="C3" s="6" t="s">
        <v>144</v>
      </c>
      <c r="D3" s="6" t="s">
        <v>162</v>
      </c>
      <c r="E3" s="169" t="s">
        <v>169</v>
      </c>
      <c r="F3" s="169" t="s">
        <v>179</v>
      </c>
      <c r="G3" s="169" t="s">
        <v>181</v>
      </c>
      <c r="H3" s="6" t="s">
        <v>188</v>
      </c>
      <c r="I3" s="6" t="s">
        <v>194</v>
      </c>
      <c r="J3" s="6" t="s">
        <v>200</v>
      </c>
      <c r="K3" s="6" t="s">
        <v>208</v>
      </c>
      <c r="L3" s="6" t="s">
        <v>0</v>
      </c>
      <c r="M3" s="6" t="s">
        <v>1</v>
      </c>
      <c r="N3" s="108" t="s">
        <v>31</v>
      </c>
    </row>
    <row r="4" spans="1:16" x14ac:dyDescent="0.2">
      <c r="A4" s="3"/>
      <c r="B4" s="7"/>
      <c r="C4" s="7"/>
      <c r="D4" s="7"/>
      <c r="E4" s="170"/>
      <c r="F4" s="170"/>
      <c r="G4" s="170"/>
      <c r="H4" s="7"/>
      <c r="I4" s="7"/>
      <c r="J4" s="7"/>
      <c r="K4" s="7"/>
      <c r="L4" s="7"/>
      <c r="M4" s="7"/>
      <c r="N4" s="39"/>
    </row>
    <row r="5" spans="1:16" x14ac:dyDescent="0.2">
      <c r="A5" s="8" t="s">
        <v>2</v>
      </c>
      <c r="B5" s="20"/>
      <c r="C5" s="20"/>
      <c r="D5" s="20"/>
      <c r="E5" s="171"/>
      <c r="F5" s="171"/>
      <c r="G5" s="171"/>
      <c r="H5" s="20"/>
      <c r="I5" s="20"/>
      <c r="J5" s="20"/>
      <c r="K5" s="20"/>
      <c r="L5" s="20"/>
      <c r="M5" s="20"/>
      <c r="N5" s="51"/>
    </row>
    <row r="6" spans="1:16" x14ac:dyDescent="0.2">
      <c r="A6" s="10"/>
      <c r="B6" s="21"/>
      <c r="C6" s="21"/>
      <c r="D6" s="21"/>
      <c r="E6" s="172"/>
      <c r="F6" s="172"/>
      <c r="G6" s="172"/>
      <c r="H6" s="21"/>
      <c r="I6" s="21"/>
      <c r="J6" s="21"/>
      <c r="K6" s="21"/>
      <c r="L6" s="21"/>
      <c r="M6" s="21"/>
      <c r="N6" s="41"/>
    </row>
    <row r="7" spans="1:16" x14ac:dyDescent="0.2">
      <c r="A7" s="10" t="s">
        <v>9</v>
      </c>
      <c r="B7" s="70">
        <f t="shared" ref="B7:I7" si="0">+B8</f>
        <v>4486342.2</v>
      </c>
      <c r="C7" s="70">
        <f t="shared" si="0"/>
        <v>4466382.2</v>
      </c>
      <c r="D7" s="70">
        <f t="shared" si="0"/>
        <v>488627.78</v>
      </c>
      <c r="E7" s="173">
        <f t="shared" si="0"/>
        <v>2916519.15</v>
      </c>
      <c r="F7" s="173">
        <f t="shared" si="0"/>
        <v>4931321.68</v>
      </c>
      <c r="G7" s="173">
        <f t="shared" si="0"/>
        <v>6636467.2199999997</v>
      </c>
      <c r="H7" s="70">
        <f t="shared" si="0"/>
        <v>5399348.7999999998</v>
      </c>
      <c r="I7" s="70">
        <f t="shared" si="0"/>
        <v>2512855.04</v>
      </c>
      <c r="J7" s="70">
        <f>+J8+J9</f>
        <v>1929984.94</v>
      </c>
      <c r="K7" s="70">
        <f>+K8+K9</f>
        <v>4559282.03</v>
      </c>
      <c r="L7" s="70">
        <f>+L8+L9</f>
        <v>4739194.6300000008</v>
      </c>
      <c r="M7" s="70">
        <f>+M8+M9</f>
        <v>4631120.6499999994</v>
      </c>
      <c r="N7" s="52">
        <f t="shared" ref="N7:N38" si="1">+M7/$M$100</f>
        <v>0.13563459761495328</v>
      </c>
    </row>
    <row r="8" spans="1:16" s="14" customFormat="1" ht="12.75" x14ac:dyDescent="0.2">
      <c r="A8" s="13" t="s">
        <v>25</v>
      </c>
      <c r="B8" s="82">
        <v>4486342.2</v>
      </c>
      <c r="C8" s="82">
        <v>4466382.2</v>
      </c>
      <c r="D8" s="82">
        <v>488627.78</v>
      </c>
      <c r="E8" s="174">
        <v>2916519.15</v>
      </c>
      <c r="F8" s="174">
        <v>4931321.68</v>
      </c>
      <c r="G8" s="174">
        <v>6636467.2199999997</v>
      </c>
      <c r="H8" s="82">
        <v>5399348.7999999998</v>
      </c>
      <c r="I8" s="82">
        <v>2512855.04</v>
      </c>
      <c r="J8" s="82">
        <v>1676832.66</v>
      </c>
      <c r="K8" s="82">
        <v>4242576.38</v>
      </c>
      <c r="L8" s="82">
        <v>4422488.9800000004</v>
      </c>
      <c r="M8" s="82">
        <v>4338578.0599999996</v>
      </c>
      <c r="N8" s="72">
        <f t="shared" si="1"/>
        <v>0.12706671535088696</v>
      </c>
    </row>
    <row r="9" spans="1:16" s="14" customFormat="1" ht="12.75" x14ac:dyDescent="0.2">
      <c r="A9" s="13" t="s">
        <v>203</v>
      </c>
      <c r="B9" s="149">
        <v>0</v>
      </c>
      <c r="C9" s="149">
        <v>0</v>
      </c>
      <c r="D9" s="149">
        <v>0</v>
      </c>
      <c r="E9" s="175">
        <v>0</v>
      </c>
      <c r="F9" s="175">
        <v>0</v>
      </c>
      <c r="G9" s="175">
        <v>0</v>
      </c>
      <c r="H9" s="149">
        <v>0</v>
      </c>
      <c r="I9" s="149">
        <v>0</v>
      </c>
      <c r="J9" s="149">
        <v>253152.28</v>
      </c>
      <c r="K9" s="149">
        <v>316705.65000000002</v>
      </c>
      <c r="L9" s="149">
        <v>316705.65000000002</v>
      </c>
      <c r="M9" s="149">
        <v>292542.59000000003</v>
      </c>
      <c r="N9" s="72">
        <f t="shared" si="1"/>
        <v>8.5678822640663146E-3</v>
      </c>
    </row>
    <row r="10" spans="1:16" x14ac:dyDescent="0.2">
      <c r="A10" s="10" t="s">
        <v>44</v>
      </c>
      <c r="B10" s="70">
        <f>+B11+B14+B17+B20+B23</f>
        <v>6833148.0566666666</v>
      </c>
      <c r="C10" s="70">
        <f>+C11+C14+C17+C20+C23</f>
        <v>6884820.5033333329</v>
      </c>
      <c r="D10" s="70">
        <f>+D11+D14+D17+D20+D23+D26+D29+D32</f>
        <v>10867048.030000001</v>
      </c>
      <c r="E10" s="173">
        <f>+E11+E14+E17+E20+E23+E26+E29+E32+E35+E38</f>
        <v>11907386.819999998</v>
      </c>
      <c r="F10" s="173">
        <f>+F11+F14+F17+F20+F23+F26+F29+F32+F35+F38</f>
        <v>11983066.420000002</v>
      </c>
      <c r="G10" s="173">
        <f>+G11+G14+G17+G20+G23+G26+G29+G32+G35+G38+G41+G44</f>
        <v>13609444.469999999</v>
      </c>
      <c r="H10" s="70">
        <f>+H11+H14+H17+H20+H23+H26+H29+H32+H35+H38+H41+H44+H47+H50+H53</f>
        <v>16729995.709999999</v>
      </c>
      <c r="I10" s="70">
        <f>+I11+I14+I17+I20+I23+I26+I29+I32+I35+I38+I41+I44+I47+I50+I53+I56+I59</f>
        <v>19756141.110000007</v>
      </c>
      <c r="J10" s="70">
        <f>+J11+J14+J17+J20+J23+J26+J29+J32+J35+J38+J41+J44+J47+J50+J53+J56+J59+J62+J65</f>
        <v>21689542.330000002</v>
      </c>
      <c r="K10" s="70">
        <f>+K11+K14+K17+K20+K23+K26+K29+K32+K35+K38+K41+K44+K47+K50+K53+K56+K59+K62+K65+K68+K71</f>
        <v>22433308.5</v>
      </c>
      <c r="L10" s="70">
        <f>+L11+L14+L17+L20+L23+L26+L29+L32+L35+L38+L41+L44+L47+L50+L53+L56+L59+L62+L65+L68+L71+L74</f>
        <v>23543854.59</v>
      </c>
      <c r="M10" s="70">
        <f>+M11+M14+M17+M20+M23+M26+M29+M32+M35+M38+M41+M44+M47+M50+M53+M56+M59+M62+M65+M68+M71+M74+M77+M80+M86+M89+M92+M83</f>
        <v>29394895.860000007</v>
      </c>
      <c r="N10" s="52">
        <f t="shared" si="1"/>
        <v>0.86090714823086223</v>
      </c>
      <c r="O10" s="107"/>
      <c r="P10" s="134"/>
    </row>
    <row r="11" spans="1:16" s="61" customFormat="1" ht="12.75" x14ac:dyDescent="0.2">
      <c r="A11" s="75" t="s">
        <v>145</v>
      </c>
      <c r="B11" s="79">
        <f t="shared" ref="B11:G11" si="2">+B12+B13</f>
        <v>852867.21666666667</v>
      </c>
      <c r="C11" s="79">
        <f t="shared" si="2"/>
        <v>859295.67333333334</v>
      </c>
      <c r="D11" s="79">
        <f t="shared" si="2"/>
        <v>866412.9</v>
      </c>
      <c r="E11" s="176">
        <f t="shared" si="2"/>
        <v>873300.53</v>
      </c>
      <c r="F11" s="176">
        <f t="shared" si="2"/>
        <v>880417.75</v>
      </c>
      <c r="G11" s="176">
        <f t="shared" si="2"/>
        <v>846505.38</v>
      </c>
      <c r="H11" s="79">
        <f t="shared" ref="H11:M11" si="3">+H12+H13</f>
        <v>852942.58</v>
      </c>
      <c r="I11" s="79">
        <f t="shared" si="3"/>
        <v>860059.8</v>
      </c>
      <c r="J11" s="79">
        <f t="shared" si="3"/>
        <v>866947.43</v>
      </c>
      <c r="K11" s="79">
        <f t="shared" si="3"/>
        <v>863111.32000000007</v>
      </c>
      <c r="L11" s="79">
        <f t="shared" si="3"/>
        <v>880952.27</v>
      </c>
      <c r="M11" s="79">
        <f t="shared" si="3"/>
        <v>847269.48</v>
      </c>
      <c r="N11" s="72">
        <f t="shared" si="1"/>
        <v>2.4814524102547555E-2</v>
      </c>
      <c r="P11" s="135"/>
    </row>
    <row r="12" spans="1:16" s="61" customFormat="1" ht="11.25" x14ac:dyDescent="0.2">
      <c r="A12" s="80" t="s">
        <v>32</v>
      </c>
      <c r="B12" s="81">
        <f>850000-4159.45</f>
        <v>845840.55</v>
      </c>
      <c r="C12" s="81">
        <f>850000-4077.66</f>
        <v>845922.34</v>
      </c>
      <c r="D12" s="81">
        <f>850000-3987.11</f>
        <v>846012.89</v>
      </c>
      <c r="E12" s="177">
        <f>850000-3899.48</f>
        <v>846100.52</v>
      </c>
      <c r="F12" s="177">
        <f>850000-3808.93</f>
        <v>846191.07</v>
      </c>
      <c r="G12" s="177">
        <f>850000-3721.3</f>
        <v>846278.7</v>
      </c>
      <c r="H12" s="81">
        <f>850000-3630.75</f>
        <v>846369.25</v>
      </c>
      <c r="I12" s="81">
        <f>850000-3540.2</f>
        <v>846459.8</v>
      </c>
      <c r="J12" s="81">
        <f>850000-3452.57</f>
        <v>846547.43</v>
      </c>
      <c r="K12" s="81">
        <f>850000-3452.57</f>
        <v>846547.43</v>
      </c>
      <c r="L12" s="81">
        <f>850000-3274.4</f>
        <v>846725.6</v>
      </c>
      <c r="M12" s="81">
        <f>850000-3183.85</f>
        <v>846816.15</v>
      </c>
      <c r="N12" s="78">
        <f t="shared" si="1"/>
        <v>2.4801247136391043E-2</v>
      </c>
      <c r="P12" s="135"/>
    </row>
    <row r="13" spans="1:16" s="61" customFormat="1" ht="11.25" x14ac:dyDescent="0.2">
      <c r="A13" s="80" t="s">
        <v>22</v>
      </c>
      <c r="B13" s="81">
        <v>7026.6666666666697</v>
      </c>
      <c r="C13" s="81">
        <v>13373.333333333336</v>
      </c>
      <c r="D13" s="81">
        <v>20400.009999999998</v>
      </c>
      <c r="E13" s="177">
        <v>27200.01</v>
      </c>
      <c r="F13" s="177">
        <v>34226.68</v>
      </c>
      <c r="G13" s="177">
        <v>226.68</v>
      </c>
      <c r="H13" s="81">
        <v>6573.33</v>
      </c>
      <c r="I13" s="81">
        <v>13600</v>
      </c>
      <c r="J13" s="81">
        <v>20400</v>
      </c>
      <c r="K13" s="81">
        <v>16563.89</v>
      </c>
      <c r="L13" s="81">
        <v>34226.67</v>
      </c>
      <c r="M13" s="81">
        <v>453.33</v>
      </c>
      <c r="N13" s="78">
        <f t="shared" si="1"/>
        <v>1.3276966156514789E-5</v>
      </c>
      <c r="O13" s="138"/>
      <c r="P13" s="138"/>
    </row>
    <row r="14" spans="1:16" s="61" customFormat="1" ht="12.75" x14ac:dyDescent="0.2">
      <c r="A14" s="75" t="s">
        <v>112</v>
      </c>
      <c r="B14" s="79">
        <f t="shared" ref="B14:G14" si="4">+B15+B16</f>
        <v>1999203.8900000001</v>
      </c>
      <c r="C14" s="79">
        <f t="shared" si="4"/>
        <v>2016019.45</v>
      </c>
      <c r="D14" s="79">
        <f t="shared" si="4"/>
        <v>1981726.68</v>
      </c>
      <c r="E14" s="176">
        <f t="shared" si="4"/>
        <v>1996443.3499999999</v>
      </c>
      <c r="F14" s="176">
        <f t="shared" si="4"/>
        <v>2011650.57</v>
      </c>
      <c r="G14" s="176">
        <f t="shared" si="4"/>
        <v>1983467.24</v>
      </c>
      <c r="H14" s="79">
        <f t="shared" ref="H14:M14" si="5">+H15+H16</f>
        <v>1998674.47</v>
      </c>
      <c r="I14" s="79">
        <f t="shared" si="5"/>
        <v>2013881.71</v>
      </c>
      <c r="J14" s="79">
        <f t="shared" si="5"/>
        <v>1985698.3599999999</v>
      </c>
      <c r="K14" s="79">
        <f t="shared" si="5"/>
        <v>2005831.14</v>
      </c>
      <c r="L14" s="79">
        <f t="shared" si="5"/>
        <v>2026175.56</v>
      </c>
      <c r="M14" s="79">
        <f t="shared" si="5"/>
        <v>1834427.9500000002</v>
      </c>
      <c r="N14" s="72">
        <f t="shared" si="1"/>
        <v>5.3726066681478848E-2</v>
      </c>
    </row>
    <row r="15" spans="1:16" s="61" customFormat="1" ht="11.25" x14ac:dyDescent="0.2">
      <c r="A15" s="80" t="s">
        <v>32</v>
      </c>
      <c r="B15" s="81">
        <f>2000000-19569.44</f>
        <v>1980430.56</v>
      </c>
      <c r="C15" s="81">
        <f>2000000-19180.55</f>
        <v>1980819.45</v>
      </c>
      <c r="D15" s="81">
        <f>2000000-18749.99</f>
        <v>1981250.01</v>
      </c>
      <c r="E15" s="177">
        <f>2000000-18333.32</f>
        <v>1981666.68</v>
      </c>
      <c r="F15" s="177">
        <f>2000000-17902.76</f>
        <v>1982097.24</v>
      </c>
      <c r="G15" s="177">
        <f>2000000-17486.09</f>
        <v>1982513.91</v>
      </c>
      <c r="H15" s="81">
        <f>2000000-17055.53</f>
        <v>1982944.47</v>
      </c>
      <c r="I15" s="81">
        <f>2000000-16624.97</f>
        <v>1983375.03</v>
      </c>
      <c r="J15" s="81">
        <f>2000000-16208.3</f>
        <v>1983791.7</v>
      </c>
      <c r="K15" s="81">
        <f>2000000-16208.3</f>
        <v>1983791.7</v>
      </c>
      <c r="L15" s="81">
        <f>2000000-15347.22</f>
        <v>1984652.78</v>
      </c>
      <c r="M15" s="81">
        <f>1846153.85-14916.67</f>
        <v>1831237.1800000002</v>
      </c>
      <c r="N15" s="78">
        <f t="shared" si="1"/>
        <v>5.3632616556176696E-2</v>
      </c>
    </row>
    <row r="16" spans="1:16" s="61" customFormat="1" ht="11.25" x14ac:dyDescent="0.2">
      <c r="A16" s="80" t="s">
        <v>22</v>
      </c>
      <c r="B16" s="77">
        <v>18773.330000000002</v>
      </c>
      <c r="C16" s="77">
        <v>35200</v>
      </c>
      <c r="D16" s="77">
        <v>476.67</v>
      </c>
      <c r="E16" s="178">
        <v>14776.67</v>
      </c>
      <c r="F16" s="178">
        <v>29553.33</v>
      </c>
      <c r="G16" s="178">
        <v>953.33</v>
      </c>
      <c r="H16" s="77">
        <v>15730</v>
      </c>
      <c r="I16" s="77">
        <v>30506.68</v>
      </c>
      <c r="J16" s="77">
        <v>1906.66</v>
      </c>
      <c r="K16" s="81">
        <v>22039.439999999999</v>
      </c>
      <c r="L16" s="81">
        <v>41522.78</v>
      </c>
      <c r="M16" s="81">
        <v>3190.77</v>
      </c>
      <c r="N16" s="78">
        <f t="shared" si="1"/>
        <v>9.345012530214787E-5</v>
      </c>
    </row>
    <row r="17" spans="1:16" s="61" customFormat="1" ht="12.75" x14ac:dyDescent="0.2">
      <c r="A17" s="75" t="s">
        <v>133</v>
      </c>
      <c r="B17" s="79">
        <f t="shared" ref="B17:G17" si="6">+B18+B19</f>
        <v>2001496.2999999998</v>
      </c>
      <c r="C17" s="79">
        <f t="shared" si="6"/>
        <v>2016824.69</v>
      </c>
      <c r="D17" s="79">
        <f t="shared" si="6"/>
        <v>2033795.41</v>
      </c>
      <c r="E17" s="176">
        <f t="shared" si="6"/>
        <v>1999635.36</v>
      </c>
      <c r="F17" s="176">
        <f t="shared" si="6"/>
        <v>2013609.4100000001</v>
      </c>
      <c r="G17" s="176">
        <f t="shared" si="6"/>
        <v>1991177.69</v>
      </c>
      <c r="H17" s="79">
        <f t="shared" ref="H17:M17" si="7">+H18+H19</f>
        <v>2001120.0799999998</v>
      </c>
      <c r="I17" s="79">
        <f t="shared" si="7"/>
        <v>2015042.42</v>
      </c>
      <c r="J17" s="79">
        <f t="shared" si="7"/>
        <v>2028515.74</v>
      </c>
      <c r="K17" s="79">
        <f t="shared" si="7"/>
        <v>2005957.97</v>
      </c>
      <c r="L17" s="79">
        <f t="shared" si="7"/>
        <v>2024061.4</v>
      </c>
      <c r="M17" s="79">
        <f t="shared" si="7"/>
        <v>2042547.68</v>
      </c>
      <c r="N17" s="72">
        <f t="shared" si="1"/>
        <v>5.9821402555374228E-2</v>
      </c>
    </row>
    <row r="18" spans="1:16" s="61" customFormat="1" ht="11.25" x14ac:dyDescent="0.2">
      <c r="A18" s="80" t="s">
        <v>32</v>
      </c>
      <c r="B18" s="81">
        <f>2000000-9855.37</f>
        <v>1990144.63</v>
      </c>
      <c r="C18" s="81">
        <f>2000000-9662.53</f>
        <v>1990337.47</v>
      </c>
      <c r="D18" s="81">
        <f>2000000-9449.03</f>
        <v>1990550.97</v>
      </c>
      <c r="E18" s="177">
        <f>2000000-9242.42</f>
        <v>1990757.58</v>
      </c>
      <c r="F18" s="177">
        <f>2000000-9028.92</f>
        <v>1990971.08</v>
      </c>
      <c r="G18" s="177">
        <f>2000000-8822.31</f>
        <v>1991177.69</v>
      </c>
      <c r="H18" s="81">
        <f>2000000-8608.81</f>
        <v>1991391.19</v>
      </c>
      <c r="I18" s="81">
        <f>2000000-8395.31</f>
        <v>1991604.69</v>
      </c>
      <c r="J18" s="81">
        <f>2000000-8188.7</f>
        <v>1991811.3</v>
      </c>
      <c r="K18" s="81">
        <f>2000000-8188.7</f>
        <v>1991811.3</v>
      </c>
      <c r="L18" s="81">
        <f>2000000-7768.6</f>
        <v>1992231.4</v>
      </c>
      <c r="M18" s="81">
        <f>2000000-7555.1</f>
        <v>1992444.9</v>
      </c>
      <c r="N18" s="78">
        <f t="shared" si="1"/>
        <v>5.8354010336885913E-2</v>
      </c>
    </row>
    <row r="19" spans="1:16" s="61" customFormat="1" ht="11.25" x14ac:dyDescent="0.2">
      <c r="A19" s="80" t="s">
        <v>22</v>
      </c>
      <c r="B19" s="77">
        <v>11351.67</v>
      </c>
      <c r="C19" s="77">
        <v>26487.22</v>
      </c>
      <c r="D19" s="77">
        <v>43244.44</v>
      </c>
      <c r="E19" s="178">
        <v>8877.7800000000007</v>
      </c>
      <c r="F19" s="178">
        <v>22638.33</v>
      </c>
      <c r="G19" s="178">
        <v>0</v>
      </c>
      <c r="H19" s="77">
        <v>9728.89</v>
      </c>
      <c r="I19" s="77">
        <v>23437.73</v>
      </c>
      <c r="J19" s="77">
        <v>36704.44</v>
      </c>
      <c r="K19" s="81">
        <v>14146.67</v>
      </c>
      <c r="L19" s="81">
        <v>31830</v>
      </c>
      <c r="M19" s="81">
        <v>50102.78</v>
      </c>
      <c r="N19" s="78">
        <f t="shared" si="1"/>
        <v>1.4673922184883111E-3</v>
      </c>
    </row>
    <row r="20" spans="1:16" s="61" customFormat="1" ht="12.75" x14ac:dyDescent="0.2">
      <c r="A20" s="75" t="s">
        <v>134</v>
      </c>
      <c r="B20" s="79">
        <f t="shared" ref="B20:G20" si="8">+B21+B22</f>
        <v>989580.65</v>
      </c>
      <c r="C20" s="79">
        <f t="shared" si="8"/>
        <v>996523.98</v>
      </c>
      <c r="D20" s="79">
        <f t="shared" si="8"/>
        <v>1004129.36</v>
      </c>
      <c r="E20" s="176">
        <f t="shared" si="8"/>
        <v>1011417.7699999999</v>
      </c>
      <c r="F20" s="176">
        <f t="shared" si="8"/>
        <v>983738.28999999992</v>
      </c>
      <c r="G20" s="176">
        <f t="shared" si="8"/>
        <v>991283.13</v>
      </c>
      <c r="H20" s="79">
        <f t="shared" ref="H20:M20" si="9">+H21+H22</f>
        <v>999222.55</v>
      </c>
      <c r="I20" s="79">
        <f t="shared" si="9"/>
        <v>972455.51</v>
      </c>
      <c r="J20" s="79">
        <f t="shared" si="9"/>
        <v>979905.39</v>
      </c>
      <c r="K20" s="79">
        <f t="shared" si="9"/>
        <v>987316.73</v>
      </c>
      <c r="L20" s="79">
        <f t="shared" si="9"/>
        <v>960984.74</v>
      </c>
      <c r="M20" s="79">
        <f t="shared" si="9"/>
        <v>968766.53999999992</v>
      </c>
      <c r="N20" s="72">
        <f t="shared" si="1"/>
        <v>2.8372886341393531E-2</v>
      </c>
      <c r="P20" s="134"/>
    </row>
    <row r="21" spans="1:16" s="61" customFormat="1" ht="11.25" x14ac:dyDescent="0.2">
      <c r="A21" s="80" t="s">
        <v>32</v>
      </c>
      <c r="B21" s="81">
        <f>999198.02-9993.18</f>
        <v>989204.84</v>
      </c>
      <c r="C21" s="77">
        <f>995468.49-9802.31</f>
        <v>985666.17999999993</v>
      </c>
      <c r="D21" s="77">
        <f>991348.91-9590.99</f>
        <v>981757.92</v>
      </c>
      <c r="E21" s="178">
        <f>987382.19-9387.31</f>
        <v>977994.87999999989</v>
      </c>
      <c r="F21" s="178">
        <f>983298.71-9175.99</f>
        <v>974122.72</v>
      </c>
      <c r="G21" s="178">
        <f>979365.83-8971.49</f>
        <v>970394.34</v>
      </c>
      <c r="H21" s="77">
        <f>975314.56-8760.17</f>
        <v>966554.39</v>
      </c>
      <c r="I21" s="77">
        <f>971281.83-8548.85</f>
        <v>962732.98</v>
      </c>
      <c r="J21" s="77">
        <f>967392.75-8344.35</f>
        <v>959048.4</v>
      </c>
      <c r="K21" s="81">
        <f>963392.26-8344.35</f>
        <v>955047.91</v>
      </c>
      <c r="L21" s="81">
        <f>959537-7927.74</f>
        <v>951609.26</v>
      </c>
      <c r="M21" s="81">
        <f>955568.76-7716.43</f>
        <v>947852.33</v>
      </c>
      <c r="N21" s="78">
        <f t="shared" si="1"/>
        <v>2.7760358473482204E-2</v>
      </c>
      <c r="P21" s="135"/>
    </row>
    <row r="22" spans="1:16" s="61" customFormat="1" ht="11.25" x14ac:dyDescent="0.2">
      <c r="A22" s="80" t="s">
        <v>22</v>
      </c>
      <c r="B22" s="77">
        <v>375.81</v>
      </c>
      <c r="C22" s="77">
        <v>10857.8</v>
      </c>
      <c r="D22" s="77">
        <v>22371.439999999999</v>
      </c>
      <c r="E22" s="178">
        <v>33422.89</v>
      </c>
      <c r="F22" s="178">
        <v>9615.57</v>
      </c>
      <c r="G22" s="178">
        <v>20888.79</v>
      </c>
      <c r="H22" s="77">
        <v>32668.16</v>
      </c>
      <c r="I22" s="77">
        <v>9722.5300000000007</v>
      </c>
      <c r="J22" s="77">
        <v>20856.990000000002</v>
      </c>
      <c r="K22" s="81">
        <v>32268.82</v>
      </c>
      <c r="L22" s="81">
        <v>9375.48</v>
      </c>
      <c r="M22" s="81">
        <v>20914.21</v>
      </c>
      <c r="N22" s="78">
        <f t="shared" si="1"/>
        <v>6.125278679113298E-4</v>
      </c>
      <c r="P22" s="136"/>
    </row>
    <row r="23" spans="1:16" s="61" customFormat="1" ht="12.75" x14ac:dyDescent="0.2">
      <c r="A23" s="75" t="s">
        <v>135</v>
      </c>
      <c r="B23" s="79">
        <f t="shared" ref="B23:G23" si="10">+B24+B25</f>
        <v>990000</v>
      </c>
      <c r="C23" s="79">
        <f t="shared" si="10"/>
        <v>996156.71</v>
      </c>
      <c r="D23" s="79">
        <f t="shared" si="10"/>
        <v>1002973.06</v>
      </c>
      <c r="E23" s="176">
        <f t="shared" si="10"/>
        <v>1009569.54</v>
      </c>
      <c r="F23" s="176">
        <f t="shared" si="10"/>
        <v>1016899.8999999999</v>
      </c>
      <c r="G23" s="176">
        <f t="shared" si="10"/>
        <v>1023993.81</v>
      </c>
      <c r="H23" s="79">
        <f t="shared" ref="H23:M23" si="11">+H24+H25</f>
        <v>1032799.88</v>
      </c>
      <c r="I23" s="79">
        <f t="shared" si="11"/>
        <v>997379.56</v>
      </c>
      <c r="J23" s="79">
        <f t="shared" si="11"/>
        <v>1004473.47</v>
      </c>
      <c r="K23" s="79">
        <f t="shared" si="11"/>
        <v>1011522.79</v>
      </c>
      <c r="L23" s="79">
        <f t="shared" si="11"/>
        <v>998049.83000000007</v>
      </c>
      <c r="M23" s="79">
        <f t="shared" si="11"/>
        <v>1005478.11</v>
      </c>
      <c r="N23" s="72">
        <f t="shared" si="1"/>
        <v>2.9448081612923154E-2</v>
      </c>
    </row>
    <row r="24" spans="1:16" s="61" customFormat="1" ht="11.25" x14ac:dyDescent="0.2">
      <c r="A24" s="80" t="s">
        <v>32</v>
      </c>
      <c r="B24" s="81">
        <f>1000000-10000</f>
        <v>990000</v>
      </c>
      <c r="C24" s="81">
        <f>1000000-9746.15</f>
        <v>990253.85</v>
      </c>
      <c r="D24" s="81">
        <f>1000000-9465.1</f>
        <v>990534.9</v>
      </c>
      <c r="E24" s="177">
        <f>1000000-9193.11</f>
        <v>990806.89</v>
      </c>
      <c r="F24" s="177">
        <f>1000000-8912.06</f>
        <v>991087.94</v>
      </c>
      <c r="G24" s="177">
        <f>1000000-8640.07</f>
        <v>991359.93</v>
      </c>
      <c r="H24" s="81">
        <f>1000000-8359.02</f>
        <v>991640.98</v>
      </c>
      <c r="I24" s="81">
        <f>1000000-8077.97</f>
        <v>991922.03</v>
      </c>
      <c r="J24" s="81">
        <f>1000000-7805.98</f>
        <v>992194.02</v>
      </c>
      <c r="K24" s="81">
        <f>1000000-7805.98</f>
        <v>992194.02</v>
      </c>
      <c r="L24" s="81">
        <f>1000000-7252.95</f>
        <v>992747.05</v>
      </c>
      <c r="M24" s="81">
        <f>1000000-6971.89</f>
        <v>993028.11</v>
      </c>
      <c r="N24" s="78">
        <f t="shared" si="1"/>
        <v>2.9083450486263526E-2</v>
      </c>
    </row>
    <row r="25" spans="1:16" s="61" customFormat="1" ht="11.25" x14ac:dyDescent="0.2">
      <c r="A25" s="80" t="s">
        <v>22</v>
      </c>
      <c r="B25" s="77">
        <v>0</v>
      </c>
      <c r="C25" s="77">
        <v>5902.86</v>
      </c>
      <c r="D25" s="77">
        <v>12438.16</v>
      </c>
      <c r="E25" s="178">
        <v>18762.650000000001</v>
      </c>
      <c r="F25" s="178">
        <v>25811.96</v>
      </c>
      <c r="G25" s="178">
        <v>32633.88</v>
      </c>
      <c r="H25" s="77">
        <v>41158.9</v>
      </c>
      <c r="I25" s="77">
        <v>5457.53</v>
      </c>
      <c r="J25" s="77">
        <v>12279.45</v>
      </c>
      <c r="K25" s="81">
        <v>19328.77</v>
      </c>
      <c r="L25" s="81">
        <v>5302.78</v>
      </c>
      <c r="M25" s="81">
        <v>12450</v>
      </c>
      <c r="N25" s="78">
        <f t="shared" si="1"/>
        <v>3.6463112665962791E-4</v>
      </c>
    </row>
    <row r="26" spans="1:16" s="61" customFormat="1" ht="12.75" x14ac:dyDescent="0.2">
      <c r="A26" s="75" t="s">
        <v>163</v>
      </c>
      <c r="B26" s="79">
        <f t="shared" ref="B26:G26" si="12">+B27+B28</f>
        <v>0</v>
      </c>
      <c r="C26" s="79">
        <f t="shared" si="12"/>
        <v>0</v>
      </c>
      <c r="D26" s="79">
        <f t="shared" si="12"/>
        <v>994590.40000000014</v>
      </c>
      <c r="E26" s="176">
        <f t="shared" si="12"/>
        <v>1002812</v>
      </c>
      <c r="F26" s="176">
        <f t="shared" si="12"/>
        <v>1011222.95</v>
      </c>
      <c r="G26" s="176">
        <f t="shared" si="12"/>
        <v>982404.7300000001</v>
      </c>
      <c r="H26" s="79">
        <f t="shared" ref="H26:M26" si="13">+H27+H28</f>
        <v>990386.81</v>
      </c>
      <c r="I26" s="79">
        <f t="shared" si="13"/>
        <v>998289.49</v>
      </c>
      <c r="J26" s="79">
        <f t="shared" si="13"/>
        <v>970910.78999999992</v>
      </c>
      <c r="K26" s="79">
        <f t="shared" si="13"/>
        <v>978587.13</v>
      </c>
      <c r="L26" s="79">
        <f t="shared" si="13"/>
        <v>986357.94000000006</v>
      </c>
      <c r="M26" s="79">
        <f t="shared" si="13"/>
        <v>959831.82</v>
      </c>
      <c r="N26" s="72">
        <f t="shared" si="1"/>
        <v>2.8111209472318165E-2</v>
      </c>
    </row>
    <row r="27" spans="1:16" s="61" customFormat="1" ht="11.25" x14ac:dyDescent="0.2">
      <c r="A27" s="80" t="s">
        <v>32</v>
      </c>
      <c r="B27" s="81">
        <v>0</v>
      </c>
      <c r="C27" s="81">
        <v>0</v>
      </c>
      <c r="D27" s="81">
        <f>995994.29-9863.2</f>
        <v>986131.09000000008</v>
      </c>
      <c r="E27" s="178">
        <f>992008.98-9658.82</f>
        <v>982350.16</v>
      </c>
      <c r="F27" s="178">
        <f>987906.36-9446.78</f>
        <v>978459.58</v>
      </c>
      <c r="G27" s="178">
        <f>983955.06-9241.58</f>
        <v>974713.4800000001</v>
      </c>
      <c r="H27" s="77">
        <f>979884.8-9029.54</f>
        <v>970855.26</v>
      </c>
      <c r="I27" s="77">
        <f>975833.17-8817.5</f>
        <v>967015.67</v>
      </c>
      <c r="J27" s="77">
        <f>971925.87-8612.3</f>
        <v>963313.57</v>
      </c>
      <c r="K27" s="81">
        <f>967906.63-8612.3</f>
        <v>959294.33</v>
      </c>
      <c r="L27" s="81">
        <f>964033.31-8194.25</f>
        <v>955839.06</v>
      </c>
      <c r="M27" s="81">
        <f>960046.47-7982.22</f>
        <v>952064.25</v>
      </c>
      <c r="N27" s="78">
        <f t="shared" si="1"/>
        <v>2.7883715673080615E-2</v>
      </c>
    </row>
    <row r="28" spans="1:16" s="61" customFormat="1" ht="11.25" x14ac:dyDescent="0.2">
      <c r="A28" s="80" t="s">
        <v>22</v>
      </c>
      <c r="B28" s="77">
        <v>0</v>
      </c>
      <c r="C28" s="77">
        <v>0</v>
      </c>
      <c r="D28" s="77">
        <v>8459.31</v>
      </c>
      <c r="E28" s="178">
        <v>20461.84</v>
      </c>
      <c r="F28" s="178">
        <v>32763.37</v>
      </c>
      <c r="G28" s="178">
        <v>7691.25</v>
      </c>
      <c r="H28" s="77">
        <v>19531.55</v>
      </c>
      <c r="I28" s="77">
        <v>31273.82</v>
      </c>
      <c r="J28" s="77">
        <v>7597.22</v>
      </c>
      <c r="K28" s="81">
        <v>19292.8</v>
      </c>
      <c r="L28" s="81">
        <v>30518.880000000001</v>
      </c>
      <c r="M28" s="81">
        <v>7767.57</v>
      </c>
      <c r="N28" s="78">
        <f t="shared" si="1"/>
        <v>2.2749379923755228E-4</v>
      </c>
    </row>
    <row r="29" spans="1:16" s="61" customFormat="1" ht="12.75" x14ac:dyDescent="0.2">
      <c r="A29" s="75" t="s">
        <v>164</v>
      </c>
      <c r="B29" s="79">
        <f t="shared" ref="B29:G29" si="14">+B30+B31</f>
        <v>0</v>
      </c>
      <c r="C29" s="79">
        <f t="shared" si="14"/>
        <v>0</v>
      </c>
      <c r="D29" s="79">
        <f t="shared" si="14"/>
        <v>1993420.2200000002</v>
      </c>
      <c r="E29" s="176">
        <f t="shared" si="14"/>
        <v>2017151.42</v>
      </c>
      <c r="F29" s="176">
        <f t="shared" si="14"/>
        <v>2041455.43</v>
      </c>
      <c r="G29" s="176">
        <f t="shared" si="14"/>
        <v>1973890.22</v>
      </c>
      <c r="H29" s="79">
        <f t="shared" ref="H29:M29" si="15">+H30+H31</f>
        <v>2002794.3599999999</v>
      </c>
      <c r="I29" s="79">
        <f t="shared" si="15"/>
        <v>2020176.3900000001</v>
      </c>
      <c r="J29" s="79">
        <f t="shared" si="15"/>
        <v>1951823.68</v>
      </c>
      <c r="K29" s="79">
        <f t="shared" si="15"/>
        <v>1973198.8699999999</v>
      </c>
      <c r="L29" s="79">
        <f t="shared" si="15"/>
        <v>1990105.17</v>
      </c>
      <c r="M29" s="79">
        <f t="shared" si="15"/>
        <v>1928533.16</v>
      </c>
      <c r="N29" s="72">
        <f t="shared" si="1"/>
        <v>5.6482186259538346E-2</v>
      </c>
    </row>
    <row r="30" spans="1:16" s="61" customFormat="1" ht="11.25" x14ac:dyDescent="0.2">
      <c r="A30" s="80" t="s">
        <v>32</v>
      </c>
      <c r="B30" s="81">
        <v>0</v>
      </c>
      <c r="C30" s="81">
        <v>0</v>
      </c>
      <c r="D30" s="81">
        <f>1994120.85-19633.7</f>
        <v>1974487.1500000001</v>
      </c>
      <c r="E30" s="177">
        <f>1989021.61-19081.83</f>
        <v>1969939.78</v>
      </c>
      <c r="F30" s="177">
        <f>1983691.59-18514.06</f>
        <v>1965177.53</v>
      </c>
      <c r="G30" s="177">
        <f>1973088.57-17964.61</f>
        <v>1955123.96</v>
      </c>
      <c r="H30" s="81">
        <f>1972355.02-17396.84</f>
        <v>1954958.18</v>
      </c>
      <c r="I30" s="81">
        <f>1960552.62-16829.07</f>
        <v>1943723.55</v>
      </c>
      <c r="J30" s="81">
        <f>1948642.85-16279.62</f>
        <v>1932363.23</v>
      </c>
      <c r="K30" s="81">
        <f>1942267.89-16279.62</f>
        <v>1925988.2699999998</v>
      </c>
      <c r="L30" s="81">
        <f>1931551.8-15164.84</f>
        <v>1916386.96</v>
      </c>
      <c r="M30" s="81">
        <f>1923569.66-14597.07</f>
        <v>1908972.5899999999</v>
      </c>
      <c r="N30" s="78">
        <f t="shared" si="1"/>
        <v>5.5909303313578143E-2</v>
      </c>
    </row>
    <row r="31" spans="1:16" s="61" customFormat="1" ht="11.25" x14ac:dyDescent="0.2">
      <c r="A31" s="80" t="s">
        <v>22</v>
      </c>
      <c r="B31" s="77">
        <v>0</v>
      </c>
      <c r="C31" s="77">
        <v>0</v>
      </c>
      <c r="D31" s="77">
        <v>18933.07</v>
      </c>
      <c r="E31" s="178">
        <v>47211.64</v>
      </c>
      <c r="F31" s="178">
        <v>76277.899999999994</v>
      </c>
      <c r="G31" s="178">
        <v>18766.259999999998</v>
      </c>
      <c r="H31" s="77">
        <v>47836.18</v>
      </c>
      <c r="I31" s="77">
        <v>76452.84</v>
      </c>
      <c r="J31" s="77">
        <v>19460.45</v>
      </c>
      <c r="K31" s="81">
        <v>47210.6</v>
      </c>
      <c r="L31" s="81">
        <v>73718.210000000006</v>
      </c>
      <c r="M31" s="81">
        <v>19560.57</v>
      </c>
      <c r="N31" s="78">
        <f t="shared" si="1"/>
        <v>5.7288294596020224E-4</v>
      </c>
    </row>
    <row r="32" spans="1:16" s="61" customFormat="1" ht="12.75" x14ac:dyDescent="0.2">
      <c r="A32" s="75" t="s">
        <v>165</v>
      </c>
      <c r="B32" s="79">
        <f t="shared" ref="B32:G32" si="16">+B33+B34</f>
        <v>0</v>
      </c>
      <c r="C32" s="79">
        <f t="shared" si="16"/>
        <v>0</v>
      </c>
      <c r="D32" s="79">
        <f t="shared" si="16"/>
        <v>990000</v>
      </c>
      <c r="E32" s="176">
        <f t="shared" si="16"/>
        <v>996482.17</v>
      </c>
      <c r="F32" s="176">
        <f t="shared" si="16"/>
        <v>1003180.4199999999</v>
      </c>
      <c r="G32" s="176">
        <f t="shared" si="16"/>
        <v>1009662.59</v>
      </c>
      <c r="H32" s="79">
        <f t="shared" ref="H32:M32" si="17">+H33+H34</f>
        <v>1018938.88</v>
      </c>
      <c r="I32" s="79">
        <f t="shared" si="17"/>
        <v>1026292.2100000001</v>
      </c>
      <c r="J32" s="79">
        <f t="shared" si="17"/>
        <v>1033408.33</v>
      </c>
      <c r="K32" s="79">
        <f t="shared" si="17"/>
        <v>1040479.83</v>
      </c>
      <c r="L32" s="79">
        <f t="shared" si="17"/>
        <v>1047871.27</v>
      </c>
      <c r="M32" s="79">
        <f t="shared" si="17"/>
        <v>1055221.3</v>
      </c>
      <c r="N32" s="72">
        <f t="shared" si="1"/>
        <v>3.0904942288693754E-2</v>
      </c>
    </row>
    <row r="33" spans="1:14" s="61" customFormat="1" ht="11.25" x14ac:dyDescent="0.2">
      <c r="A33" s="80" t="s">
        <v>32</v>
      </c>
      <c r="B33" s="81">
        <v>0</v>
      </c>
      <c r="C33" s="81">
        <v>0</v>
      </c>
      <c r="D33" s="81">
        <f>1000000-10000</f>
        <v>990000</v>
      </c>
      <c r="E33" s="177">
        <f>1000000-9730.46</f>
        <v>990269.54</v>
      </c>
      <c r="F33" s="177">
        <f>1000000-9451.93</f>
        <v>990548.07</v>
      </c>
      <c r="G33" s="177">
        <f>1000000-9182.39</f>
        <v>990817.61</v>
      </c>
      <c r="H33" s="81">
        <f>1000000-8903.86</f>
        <v>991096.14</v>
      </c>
      <c r="I33" s="81">
        <f>1000000-8625.33</f>
        <v>991374.67</v>
      </c>
      <c r="J33" s="81">
        <f>1000000-8355.79</f>
        <v>991644.21</v>
      </c>
      <c r="K33" s="81">
        <f>1000000-8355.79</f>
        <v>991644.21</v>
      </c>
      <c r="L33" s="81">
        <f>1000000-7807.73</f>
        <v>992192.27</v>
      </c>
      <c r="M33" s="81">
        <f>1000000-7529.2</f>
        <v>992470.8</v>
      </c>
      <c r="N33" s="78">
        <f t="shared" si="1"/>
        <v>2.906712819122749E-2</v>
      </c>
    </row>
    <row r="34" spans="1:14" s="61" customFormat="1" ht="11.25" x14ac:dyDescent="0.2">
      <c r="A34" s="80" t="s">
        <v>22</v>
      </c>
      <c r="B34" s="77">
        <v>0</v>
      </c>
      <c r="C34" s="77">
        <v>0</v>
      </c>
      <c r="D34" s="77">
        <v>0</v>
      </c>
      <c r="E34" s="178">
        <v>6212.63</v>
      </c>
      <c r="F34" s="178">
        <v>12632.35</v>
      </c>
      <c r="G34" s="178">
        <v>18844.98</v>
      </c>
      <c r="H34" s="77">
        <v>27842.74</v>
      </c>
      <c r="I34" s="77">
        <v>34917.54</v>
      </c>
      <c r="J34" s="77">
        <v>41764.120000000003</v>
      </c>
      <c r="K34" s="81">
        <v>48835.62</v>
      </c>
      <c r="L34" s="81">
        <v>55679</v>
      </c>
      <c r="M34" s="81">
        <v>62750.5</v>
      </c>
      <c r="N34" s="78">
        <f t="shared" si="1"/>
        <v>1.8378140974662635E-3</v>
      </c>
    </row>
    <row r="35" spans="1:14" s="61" customFormat="1" ht="12.75" x14ac:dyDescent="0.2">
      <c r="A35" s="75" t="s">
        <v>170</v>
      </c>
      <c r="B35" s="79">
        <f t="shared" ref="B35:G35" si="18">+B36+B37</f>
        <v>0</v>
      </c>
      <c r="C35" s="79">
        <f t="shared" si="18"/>
        <v>0</v>
      </c>
      <c r="D35" s="79">
        <f t="shared" si="18"/>
        <v>0</v>
      </c>
      <c r="E35" s="176">
        <f t="shared" si="18"/>
        <v>504031.95</v>
      </c>
      <c r="F35" s="176">
        <f t="shared" si="18"/>
        <v>520670.15</v>
      </c>
      <c r="G35" s="176">
        <f t="shared" si="18"/>
        <v>520595.11</v>
      </c>
      <c r="H35" s="79">
        <f t="shared" ref="H35:M35" si="19">+H36+H37</f>
        <v>504812.02</v>
      </c>
      <c r="I35" s="79">
        <f t="shared" si="19"/>
        <v>511909.44</v>
      </c>
      <c r="J35" s="79">
        <f t="shared" si="19"/>
        <v>503366.57999999996</v>
      </c>
      <c r="K35" s="79">
        <f t="shared" si="19"/>
        <v>494098.73000000004</v>
      </c>
      <c r="L35" s="79">
        <f t="shared" si="19"/>
        <v>488087.33</v>
      </c>
      <c r="M35" s="79">
        <f t="shared" si="19"/>
        <v>445476.55</v>
      </c>
      <c r="N35" s="72">
        <f t="shared" si="1"/>
        <v>1.3046957134694302E-2</v>
      </c>
    </row>
    <row r="36" spans="1:14" s="61" customFormat="1" ht="11.25" x14ac:dyDescent="0.2">
      <c r="A36" s="80" t="s">
        <v>32</v>
      </c>
      <c r="B36" s="81">
        <v>0</v>
      </c>
      <c r="C36" s="81">
        <v>0</v>
      </c>
      <c r="D36" s="81">
        <v>0</v>
      </c>
      <c r="E36" s="177">
        <f>504964.17-4907.41</f>
        <v>500056.76</v>
      </c>
      <c r="F36" s="177">
        <f>515093.96-4763.89</f>
        <v>510330.07</v>
      </c>
      <c r="G36" s="177">
        <f>508992.17-4625</f>
        <v>504367.17</v>
      </c>
      <c r="H36" s="81">
        <f>503741.71-4481.48</f>
        <v>499260.23000000004</v>
      </c>
      <c r="I36" s="81">
        <f>504694.57-4337.96</f>
        <v>500356.61</v>
      </c>
      <c r="J36" s="81">
        <f>490544.22-4199.07</f>
        <v>486345.14999999997</v>
      </c>
      <c r="K36" s="81">
        <f>492644.21-4199.07</f>
        <v>488445.14</v>
      </c>
      <c r="L36" s="81">
        <f>480652.59-3916.67</f>
        <v>476735.92000000004</v>
      </c>
      <c r="M36" s="81">
        <f>449072.94-3773.15</f>
        <v>445299.79</v>
      </c>
      <c r="N36" s="78">
        <f t="shared" si="1"/>
        <v>1.3041780251324957E-2</v>
      </c>
    </row>
    <row r="37" spans="1:14" s="61" customFormat="1" ht="11.25" x14ac:dyDescent="0.2">
      <c r="A37" s="80" t="s">
        <v>22</v>
      </c>
      <c r="B37" s="77">
        <v>0</v>
      </c>
      <c r="C37" s="77">
        <v>0</v>
      </c>
      <c r="D37" s="77">
        <v>0</v>
      </c>
      <c r="E37" s="178">
        <v>3975.19</v>
      </c>
      <c r="F37" s="178">
        <v>10340.08</v>
      </c>
      <c r="G37" s="178">
        <v>16227.94</v>
      </c>
      <c r="H37" s="77">
        <v>5551.79</v>
      </c>
      <c r="I37" s="77">
        <v>11552.83</v>
      </c>
      <c r="J37" s="77">
        <v>17021.43</v>
      </c>
      <c r="K37" s="81">
        <v>5653.59</v>
      </c>
      <c r="L37" s="81">
        <v>11351.41</v>
      </c>
      <c r="M37" s="81">
        <v>176.76</v>
      </c>
      <c r="N37" s="78">
        <f t="shared" si="1"/>
        <v>5.17688336934585E-6</v>
      </c>
    </row>
    <row r="38" spans="1:14" s="61" customFormat="1" ht="12.75" x14ac:dyDescent="0.2">
      <c r="A38" s="75" t="s">
        <v>171</v>
      </c>
      <c r="B38" s="79">
        <f t="shared" ref="B38:G38" si="20">+B39+B40</f>
        <v>0</v>
      </c>
      <c r="C38" s="79">
        <f t="shared" si="20"/>
        <v>0</v>
      </c>
      <c r="D38" s="79">
        <f t="shared" si="20"/>
        <v>0</v>
      </c>
      <c r="E38" s="176">
        <f t="shared" si="20"/>
        <v>496542.73</v>
      </c>
      <c r="F38" s="176">
        <f t="shared" si="20"/>
        <v>500221.55</v>
      </c>
      <c r="G38" s="176">
        <f t="shared" si="20"/>
        <v>503781.7</v>
      </c>
      <c r="H38" s="79">
        <f t="shared" ref="H38:M38" si="21">+H39+H40</f>
        <v>507460.52</v>
      </c>
      <c r="I38" s="79">
        <f t="shared" si="21"/>
        <v>511139.33999999997</v>
      </c>
      <c r="J38" s="79">
        <f t="shared" si="21"/>
        <v>514699.49</v>
      </c>
      <c r="K38" s="79">
        <f t="shared" si="21"/>
        <v>518233.58999999997</v>
      </c>
      <c r="L38" s="79">
        <f t="shared" si="21"/>
        <v>521931.98000000004</v>
      </c>
      <c r="M38" s="79">
        <f t="shared" si="21"/>
        <v>525607.51</v>
      </c>
      <c r="N38" s="72">
        <f t="shared" si="1"/>
        <v>1.5393803899763988E-2</v>
      </c>
    </row>
    <row r="39" spans="1:14" s="61" customFormat="1" ht="11.25" x14ac:dyDescent="0.2">
      <c r="A39" s="80" t="s">
        <v>32</v>
      </c>
      <c r="B39" s="81">
        <v>0</v>
      </c>
      <c r="C39" s="81">
        <v>0</v>
      </c>
      <c r="D39" s="81">
        <v>0</v>
      </c>
      <c r="E39" s="177">
        <f>500000-4940.69</f>
        <v>495059.31</v>
      </c>
      <c r="F39" s="177">
        <f>500000-4799.27</f>
        <v>495200.73</v>
      </c>
      <c r="G39" s="177">
        <f>500000-4662.41</f>
        <v>495337.59</v>
      </c>
      <c r="H39" s="81">
        <f>500000-4520.99</f>
        <v>495479.01</v>
      </c>
      <c r="I39" s="81">
        <f>500000-4379.57</f>
        <v>495620.43</v>
      </c>
      <c r="J39" s="81">
        <f>500000-4242.71</f>
        <v>495757.29</v>
      </c>
      <c r="K39" s="81">
        <f>500000-4242.71</f>
        <v>495757.29</v>
      </c>
      <c r="L39" s="81">
        <f>500000-3964.42</f>
        <v>496035.58</v>
      </c>
      <c r="M39" s="81">
        <f>500000-3822.99</f>
        <v>496177.01</v>
      </c>
      <c r="N39" s="78">
        <f t="shared" ref="N39:N70" si="22">+M39/$M$100</f>
        <v>1.4531853990273532E-2</v>
      </c>
    </row>
    <row r="40" spans="1:14" s="61" customFormat="1" ht="11.25" x14ac:dyDescent="0.2">
      <c r="A40" s="80" t="s">
        <v>22</v>
      </c>
      <c r="B40" s="77">
        <v>0</v>
      </c>
      <c r="C40" s="77">
        <v>0</v>
      </c>
      <c r="D40" s="77">
        <v>0</v>
      </c>
      <c r="E40" s="178">
        <v>1483.42</v>
      </c>
      <c r="F40" s="178">
        <v>5020.82</v>
      </c>
      <c r="G40" s="178">
        <v>8444.11</v>
      </c>
      <c r="H40" s="77">
        <v>11981.51</v>
      </c>
      <c r="I40" s="77">
        <v>15518.91</v>
      </c>
      <c r="J40" s="77">
        <v>18942.2</v>
      </c>
      <c r="K40" s="81">
        <v>22476.3</v>
      </c>
      <c r="L40" s="81">
        <v>25896.400000000001</v>
      </c>
      <c r="M40" s="81">
        <v>29430.5</v>
      </c>
      <c r="N40" s="78">
        <f t="shared" si="22"/>
        <v>8.6194990949045613E-4</v>
      </c>
    </row>
    <row r="41" spans="1:14" s="61" customFormat="1" ht="12.75" x14ac:dyDescent="0.2">
      <c r="A41" s="75" t="s">
        <v>182</v>
      </c>
      <c r="B41" s="79">
        <f t="shared" ref="B41:G41" si="23">+B42+B43</f>
        <v>0</v>
      </c>
      <c r="C41" s="79">
        <f t="shared" si="23"/>
        <v>0</v>
      </c>
      <c r="D41" s="79">
        <f t="shared" si="23"/>
        <v>0</v>
      </c>
      <c r="E41" s="176">
        <f t="shared" si="23"/>
        <v>0</v>
      </c>
      <c r="F41" s="176">
        <f t="shared" si="23"/>
        <v>0</v>
      </c>
      <c r="G41" s="176">
        <f t="shared" si="23"/>
        <v>793484.35</v>
      </c>
      <c r="H41" s="79">
        <f t="shared" ref="H41:M41" si="24">+H42+H43</f>
        <v>800130.82000000007</v>
      </c>
      <c r="I41" s="79">
        <f t="shared" si="24"/>
        <v>806777.89</v>
      </c>
      <c r="J41" s="79">
        <f t="shared" si="24"/>
        <v>813210.54</v>
      </c>
      <c r="K41" s="79">
        <f t="shared" si="24"/>
        <v>819686.1</v>
      </c>
      <c r="L41" s="79">
        <f t="shared" si="24"/>
        <v>826290.24</v>
      </c>
      <c r="M41" s="79">
        <f t="shared" si="24"/>
        <v>795546.17999999993</v>
      </c>
      <c r="N41" s="72">
        <f t="shared" si="22"/>
        <v>2.3299670676559286E-2</v>
      </c>
    </row>
    <row r="42" spans="1:14" s="61" customFormat="1" ht="11.25" x14ac:dyDescent="0.2">
      <c r="A42" s="80" t="s">
        <v>32</v>
      </c>
      <c r="B42" s="81">
        <v>0</v>
      </c>
      <c r="C42" s="81">
        <v>0</v>
      </c>
      <c r="D42" s="81">
        <v>0</v>
      </c>
      <c r="E42" s="177">
        <v>0</v>
      </c>
      <c r="F42" s="177">
        <v>0</v>
      </c>
      <c r="G42" s="177">
        <f>800000-7977.87</f>
        <v>792022.13</v>
      </c>
      <c r="H42" s="81">
        <f>800000-7806.36</f>
        <v>792193.64</v>
      </c>
      <c r="I42" s="81">
        <f>800000-7634.85</f>
        <v>792365.15</v>
      </c>
      <c r="J42" s="81">
        <f>800000-7468.87</f>
        <v>792531.13</v>
      </c>
      <c r="K42" s="81">
        <f>800000-7468.87</f>
        <v>792531.13</v>
      </c>
      <c r="L42" s="81">
        <f>800000-7131.4</f>
        <v>792868.6</v>
      </c>
      <c r="M42" s="81">
        <f>800000-6959.89</f>
        <v>793040.11</v>
      </c>
      <c r="N42" s="78">
        <f t="shared" si="22"/>
        <v>2.3226273798841384E-2</v>
      </c>
    </row>
    <row r="43" spans="1:14" s="61" customFormat="1" ht="11.25" x14ac:dyDescent="0.2">
      <c r="A43" s="80" t="s">
        <v>22</v>
      </c>
      <c r="B43" s="77">
        <v>0</v>
      </c>
      <c r="C43" s="77">
        <v>0</v>
      </c>
      <c r="D43" s="77">
        <v>0</v>
      </c>
      <c r="E43" s="178">
        <v>0</v>
      </c>
      <c r="F43" s="178">
        <v>0</v>
      </c>
      <c r="G43" s="178">
        <v>1462.22</v>
      </c>
      <c r="H43" s="77">
        <v>7937.18</v>
      </c>
      <c r="I43" s="77">
        <v>14412.74</v>
      </c>
      <c r="J43" s="77">
        <v>20679.41</v>
      </c>
      <c r="K43" s="81">
        <v>27154.97</v>
      </c>
      <c r="L43" s="81">
        <v>33421.64</v>
      </c>
      <c r="M43" s="81">
        <v>2506.0700000000002</v>
      </c>
      <c r="N43" s="78">
        <f t="shared" si="22"/>
        <v>7.3396877717903119E-5</v>
      </c>
    </row>
    <row r="44" spans="1:14" s="61" customFormat="1" ht="12.75" x14ac:dyDescent="0.2">
      <c r="A44" s="75" t="s">
        <v>183</v>
      </c>
      <c r="B44" s="79">
        <f t="shared" ref="B44:G44" si="25">+B45+B46</f>
        <v>0</v>
      </c>
      <c r="C44" s="79">
        <f t="shared" si="25"/>
        <v>0</v>
      </c>
      <c r="D44" s="79">
        <f t="shared" si="25"/>
        <v>0</v>
      </c>
      <c r="E44" s="176">
        <f t="shared" si="25"/>
        <v>0</v>
      </c>
      <c r="F44" s="176">
        <f t="shared" si="25"/>
        <v>0</v>
      </c>
      <c r="G44" s="176">
        <f t="shared" si="25"/>
        <v>989198.52</v>
      </c>
      <c r="H44" s="79">
        <f t="shared" ref="H44:M44" si="26">+H45+H46</f>
        <v>994743.46</v>
      </c>
      <c r="I44" s="79">
        <f t="shared" si="26"/>
        <v>1001816.81</v>
      </c>
      <c r="J44" s="79">
        <f t="shared" si="26"/>
        <v>998761.07</v>
      </c>
      <c r="K44" s="79">
        <f t="shared" si="26"/>
        <v>985511.29999999993</v>
      </c>
      <c r="L44" s="79">
        <f t="shared" si="26"/>
        <v>992742.01</v>
      </c>
      <c r="M44" s="79">
        <f t="shared" si="26"/>
        <v>968036.87</v>
      </c>
      <c r="N44" s="72">
        <f t="shared" si="22"/>
        <v>2.8351516028607211E-2</v>
      </c>
    </row>
    <row r="45" spans="1:14" s="61" customFormat="1" ht="11.25" x14ac:dyDescent="0.2">
      <c r="A45" s="80" t="s">
        <v>32</v>
      </c>
      <c r="B45" s="81">
        <v>0</v>
      </c>
      <c r="C45" s="81">
        <v>0</v>
      </c>
      <c r="D45" s="81">
        <v>0</v>
      </c>
      <c r="E45" s="177">
        <v>0</v>
      </c>
      <c r="F45" s="177">
        <v>0</v>
      </c>
      <c r="G45" s="177">
        <f>999198.52-10000</f>
        <v>989198.52</v>
      </c>
      <c r="H45" s="81">
        <f>995065.22-9712.96</f>
        <v>985352.26</v>
      </c>
      <c r="I45" s="81">
        <f>990950.81-9425.92</f>
        <v>981524.89</v>
      </c>
      <c r="J45" s="81">
        <f>986982.98-9148.14</f>
        <v>977834.84</v>
      </c>
      <c r="K45" s="81">
        <f>982901.48-9148.14</f>
        <v>973753.34</v>
      </c>
      <c r="L45" s="81">
        <f>978968.15-8583.33</f>
        <v>970384.82000000007</v>
      </c>
      <c r="M45" s="81">
        <f>974919.54-8296.3</f>
        <v>966623.24</v>
      </c>
      <c r="N45" s="78">
        <f t="shared" si="22"/>
        <v>2.8310114141090754E-2</v>
      </c>
    </row>
    <row r="46" spans="1:14" s="61" customFormat="1" ht="11.25" x14ac:dyDescent="0.2">
      <c r="A46" s="80" t="s">
        <v>22</v>
      </c>
      <c r="B46" s="77">
        <v>0</v>
      </c>
      <c r="C46" s="77">
        <v>0</v>
      </c>
      <c r="D46" s="77">
        <v>0</v>
      </c>
      <c r="E46" s="178">
        <v>0</v>
      </c>
      <c r="F46" s="178">
        <v>0</v>
      </c>
      <c r="G46" s="178">
        <v>0</v>
      </c>
      <c r="H46" s="77">
        <v>9391.2000000000007</v>
      </c>
      <c r="I46" s="77">
        <v>20291.919999999998</v>
      </c>
      <c r="J46" s="77">
        <v>20926.23</v>
      </c>
      <c r="K46" s="81">
        <v>11757.96</v>
      </c>
      <c r="L46" s="81">
        <v>22357.19</v>
      </c>
      <c r="M46" s="81">
        <v>1413.63</v>
      </c>
      <c r="N46" s="78">
        <f t="shared" si="22"/>
        <v>4.1401887516453801E-5</v>
      </c>
    </row>
    <row r="47" spans="1:14" s="61" customFormat="1" ht="12.75" x14ac:dyDescent="0.2">
      <c r="A47" s="75" t="s">
        <v>189</v>
      </c>
      <c r="B47" s="79">
        <f t="shared" ref="B47:H47" si="27">+B48+B49</f>
        <v>0</v>
      </c>
      <c r="C47" s="79">
        <f t="shared" si="27"/>
        <v>0</v>
      </c>
      <c r="D47" s="79">
        <f t="shared" si="27"/>
        <v>0</v>
      </c>
      <c r="E47" s="176">
        <f t="shared" si="27"/>
        <v>0</v>
      </c>
      <c r="F47" s="176">
        <f t="shared" si="27"/>
        <v>0</v>
      </c>
      <c r="G47" s="176">
        <f t="shared" si="27"/>
        <v>0</v>
      </c>
      <c r="H47" s="79">
        <f t="shared" si="27"/>
        <v>499055.62</v>
      </c>
      <c r="I47" s="79">
        <f>+I48+I49</f>
        <v>502815.83</v>
      </c>
      <c r="J47" s="79">
        <f>+J48+J49</f>
        <v>506416.31</v>
      </c>
      <c r="K47" s="79">
        <f>+K48+K49</f>
        <v>493316.50000000006</v>
      </c>
      <c r="L47" s="79">
        <f>+L48+L49</f>
        <v>497100.84</v>
      </c>
      <c r="M47" s="79">
        <f>+M48+M49</f>
        <v>500898.63000000006</v>
      </c>
      <c r="N47" s="72">
        <f t="shared" si="22"/>
        <v>1.4670139100334467E-2</v>
      </c>
    </row>
    <row r="48" spans="1:14" s="61" customFormat="1" ht="11.25" x14ac:dyDescent="0.2">
      <c r="A48" s="80" t="s">
        <v>32</v>
      </c>
      <c r="B48" s="81">
        <v>0</v>
      </c>
      <c r="C48" s="81">
        <v>0</v>
      </c>
      <c r="D48" s="81">
        <v>0</v>
      </c>
      <c r="E48" s="177">
        <v>0</v>
      </c>
      <c r="F48" s="177">
        <v>0</v>
      </c>
      <c r="G48" s="177">
        <v>0</v>
      </c>
      <c r="H48" s="81">
        <f>498532.23-2463.37</f>
        <v>496068.86</v>
      </c>
      <c r="I48" s="81">
        <f>496470.89-2392.4</f>
        <v>494078.49</v>
      </c>
      <c r="J48" s="81">
        <f>494482.99-2323.72</f>
        <v>492159.27</v>
      </c>
      <c r="K48" s="81">
        <f>492438.14-2323.72</f>
        <v>490114.42000000004</v>
      </c>
      <c r="L48" s="81">
        <f>490467.53-2184.07</f>
        <v>488283.46</v>
      </c>
      <c r="M48" s="81">
        <f>488439.15-2113.1</f>
        <v>486326.05000000005</v>
      </c>
      <c r="N48" s="78">
        <f t="shared" si="22"/>
        <v>1.4243342613287274E-2</v>
      </c>
    </row>
    <row r="49" spans="1:14" s="61" customFormat="1" ht="11.25" x14ac:dyDescent="0.2">
      <c r="A49" s="80" t="s">
        <v>22</v>
      </c>
      <c r="B49" s="77">
        <v>0</v>
      </c>
      <c r="C49" s="77">
        <v>0</v>
      </c>
      <c r="D49" s="77">
        <v>0</v>
      </c>
      <c r="E49" s="178">
        <v>0</v>
      </c>
      <c r="F49" s="178">
        <v>0</v>
      </c>
      <c r="G49" s="178">
        <v>0</v>
      </c>
      <c r="H49" s="77">
        <v>2986.76</v>
      </c>
      <c r="I49" s="77">
        <v>8737.34</v>
      </c>
      <c r="J49" s="77">
        <v>14257.04</v>
      </c>
      <c r="K49" s="81">
        <v>3202.08</v>
      </c>
      <c r="L49" s="81">
        <v>8817.3799999999992</v>
      </c>
      <c r="M49" s="81">
        <v>14572.58</v>
      </c>
      <c r="N49" s="78">
        <f t="shared" si="22"/>
        <v>4.267964870471936E-4</v>
      </c>
    </row>
    <row r="50" spans="1:14" s="61" customFormat="1" ht="12.75" x14ac:dyDescent="0.2">
      <c r="A50" s="75" t="s">
        <v>190</v>
      </c>
      <c r="B50" s="79">
        <f t="shared" ref="B50:H50" si="28">+B51+B52</f>
        <v>0</v>
      </c>
      <c r="C50" s="79">
        <f t="shared" si="28"/>
        <v>0</v>
      </c>
      <c r="D50" s="79">
        <f t="shared" si="28"/>
        <v>0</v>
      </c>
      <c r="E50" s="176">
        <f t="shared" si="28"/>
        <v>0</v>
      </c>
      <c r="F50" s="176">
        <f t="shared" si="28"/>
        <v>0</v>
      </c>
      <c r="G50" s="176">
        <f t="shared" si="28"/>
        <v>0</v>
      </c>
      <c r="H50" s="79">
        <f t="shared" si="28"/>
        <v>1734270.0199999998</v>
      </c>
      <c r="I50" s="79">
        <f>+I51+I52</f>
        <v>1736356.3900000001</v>
      </c>
      <c r="J50" s="79">
        <f>+J51+J52</f>
        <v>1762276.1700000002</v>
      </c>
      <c r="K50" s="79">
        <f>+K51+K52</f>
        <v>1713606.1</v>
      </c>
      <c r="L50" s="79">
        <f>+L51+L52</f>
        <v>1730797.6800000002</v>
      </c>
      <c r="M50" s="79">
        <f>+M51+M52</f>
        <v>1750580.22</v>
      </c>
      <c r="N50" s="72">
        <f t="shared" si="22"/>
        <v>5.127036449210115E-2</v>
      </c>
    </row>
    <row r="51" spans="1:14" s="61" customFormat="1" ht="11.25" x14ac:dyDescent="0.2">
      <c r="A51" s="80" t="s">
        <v>32</v>
      </c>
      <c r="B51" s="81">
        <v>0</v>
      </c>
      <c r="C51" s="81">
        <v>0</v>
      </c>
      <c r="D51" s="81">
        <v>0</v>
      </c>
      <c r="E51" s="177">
        <v>0</v>
      </c>
      <c r="F51" s="177">
        <v>0</v>
      </c>
      <c r="G51" s="177">
        <v>0</v>
      </c>
      <c r="H51" s="81">
        <f>1748915.65-17386.57</f>
        <v>1731529.0799999998</v>
      </c>
      <c r="I51" s="81">
        <f>1738450.3-16884.26</f>
        <v>1721566.04</v>
      </c>
      <c r="J51" s="81">
        <f>1727889.72-16398.15</f>
        <v>1711491.57</v>
      </c>
      <c r="K51" s="81">
        <f>1722236.96-16398.15</f>
        <v>1705838.81</v>
      </c>
      <c r="L51" s="81">
        <f>1712734.85-15409.72</f>
        <v>1697325.1300000001</v>
      </c>
      <c r="M51" s="81">
        <f>1705656.97-14907.41</f>
        <v>1690749.56</v>
      </c>
      <c r="N51" s="78">
        <f t="shared" si="22"/>
        <v>4.9518065619443385E-2</v>
      </c>
    </row>
    <row r="52" spans="1:14" s="61" customFormat="1" ht="11.25" x14ac:dyDescent="0.2">
      <c r="A52" s="80" t="s">
        <v>22</v>
      </c>
      <c r="B52" s="77">
        <v>0</v>
      </c>
      <c r="C52" s="77">
        <v>0</v>
      </c>
      <c r="D52" s="77">
        <v>0</v>
      </c>
      <c r="E52" s="178">
        <v>0</v>
      </c>
      <c r="F52" s="178">
        <v>0</v>
      </c>
      <c r="G52" s="178">
        <v>0</v>
      </c>
      <c r="H52" s="77">
        <v>2740.94</v>
      </c>
      <c r="I52" s="77">
        <v>14790.35</v>
      </c>
      <c r="J52" s="77">
        <v>50784.6</v>
      </c>
      <c r="K52" s="81">
        <v>7767.29</v>
      </c>
      <c r="L52" s="81">
        <v>33472.550000000003</v>
      </c>
      <c r="M52" s="81">
        <v>59830.66</v>
      </c>
      <c r="N52" s="78">
        <f t="shared" si="22"/>
        <v>1.7522988726577618E-3</v>
      </c>
    </row>
    <row r="53" spans="1:14" s="61" customFormat="1" ht="12.75" x14ac:dyDescent="0.2">
      <c r="A53" s="75" t="s">
        <v>191</v>
      </c>
      <c r="B53" s="79">
        <f t="shared" ref="B53:H53" si="29">+B54+B55</f>
        <v>0</v>
      </c>
      <c r="C53" s="79">
        <f t="shared" si="29"/>
        <v>0</v>
      </c>
      <c r="D53" s="79">
        <f t="shared" si="29"/>
        <v>0</v>
      </c>
      <c r="E53" s="176">
        <f t="shared" si="29"/>
        <v>0</v>
      </c>
      <c r="F53" s="176">
        <f t="shared" si="29"/>
        <v>0</v>
      </c>
      <c r="G53" s="176">
        <f t="shared" si="29"/>
        <v>0</v>
      </c>
      <c r="H53" s="79">
        <f t="shared" si="29"/>
        <v>792643.64</v>
      </c>
      <c r="I53" s="79">
        <f>+I54+I55</f>
        <v>799294.55999999994</v>
      </c>
      <c r="J53" s="79">
        <f>+J54+J55</f>
        <v>805730.99</v>
      </c>
      <c r="K53" s="79">
        <f>+K54+K55</f>
        <v>812206.54999999993</v>
      </c>
      <c r="L53" s="79">
        <f>+L54+L55</f>
        <v>818818.34</v>
      </c>
      <c r="M53" s="79">
        <f>+M54+M55</f>
        <v>825469.28999999992</v>
      </c>
      <c r="N53" s="72">
        <f t="shared" si="22"/>
        <v>2.4176047970732778E-2</v>
      </c>
    </row>
    <row r="54" spans="1:14" s="61" customFormat="1" ht="11.25" x14ac:dyDescent="0.2">
      <c r="A54" s="80" t="s">
        <v>32</v>
      </c>
      <c r="B54" s="81">
        <v>0</v>
      </c>
      <c r="C54" s="81">
        <v>0</v>
      </c>
      <c r="D54" s="81">
        <v>0</v>
      </c>
      <c r="E54" s="177">
        <v>0</v>
      </c>
      <c r="F54" s="177">
        <v>0</v>
      </c>
      <c r="G54" s="177">
        <v>0</v>
      </c>
      <c r="H54" s="81">
        <f>800000-7983.03</f>
        <v>792016.97</v>
      </c>
      <c r="I54" s="81">
        <f>800000-7807.67</f>
        <v>792192.33</v>
      </c>
      <c r="J54" s="81">
        <f>800000-7637.91</f>
        <v>792362.09</v>
      </c>
      <c r="K54" s="81">
        <f>800000-7637.91</f>
        <v>792362.09</v>
      </c>
      <c r="L54" s="81">
        <f>800000-7292.79</f>
        <v>792707.21</v>
      </c>
      <c r="M54" s="81">
        <f>800000-7117.4</f>
        <v>792882.6</v>
      </c>
      <c r="N54" s="78">
        <f t="shared" si="22"/>
        <v>2.3221660702555429E-2</v>
      </c>
    </row>
    <row r="55" spans="1:14" s="61" customFormat="1" ht="11.25" x14ac:dyDescent="0.2">
      <c r="A55" s="80" t="s">
        <v>22</v>
      </c>
      <c r="B55" s="77">
        <v>0</v>
      </c>
      <c r="C55" s="77">
        <v>0</v>
      </c>
      <c r="D55" s="77">
        <v>0</v>
      </c>
      <c r="E55" s="178">
        <v>0</v>
      </c>
      <c r="F55" s="178">
        <v>0</v>
      </c>
      <c r="G55" s="178">
        <v>0</v>
      </c>
      <c r="H55" s="77">
        <v>626.66999999999996</v>
      </c>
      <c r="I55" s="77">
        <v>7102.23</v>
      </c>
      <c r="J55" s="77">
        <v>13368.9</v>
      </c>
      <c r="K55" s="81">
        <v>19844.46</v>
      </c>
      <c r="L55" s="81">
        <v>26111.13</v>
      </c>
      <c r="M55" s="81">
        <v>32586.69</v>
      </c>
      <c r="N55" s="78">
        <f t="shared" si="22"/>
        <v>9.5438726817735175E-4</v>
      </c>
    </row>
    <row r="56" spans="1:14" s="61" customFormat="1" ht="12.75" x14ac:dyDescent="0.2">
      <c r="A56" s="75" t="s">
        <v>195</v>
      </c>
      <c r="B56" s="79">
        <f t="shared" ref="B56:I56" si="30">+B57+B58</f>
        <v>0</v>
      </c>
      <c r="C56" s="79">
        <f t="shared" si="30"/>
        <v>0</v>
      </c>
      <c r="D56" s="79">
        <f t="shared" si="30"/>
        <v>0</v>
      </c>
      <c r="E56" s="176">
        <f t="shared" si="30"/>
        <v>0</v>
      </c>
      <c r="F56" s="176">
        <f t="shared" si="30"/>
        <v>0</v>
      </c>
      <c r="G56" s="176">
        <f t="shared" si="30"/>
        <v>0</v>
      </c>
      <c r="H56" s="79">
        <f t="shared" si="30"/>
        <v>0</v>
      </c>
      <c r="I56" s="79">
        <f t="shared" si="30"/>
        <v>1985956.6600000001</v>
      </c>
      <c r="J56" s="79">
        <f>+J57+J58</f>
        <v>2002353.18</v>
      </c>
      <c r="K56" s="79">
        <f>+K57+K58</f>
        <v>2018714.29</v>
      </c>
      <c r="L56" s="79">
        <f>+L57+L58</f>
        <v>2035234.4300000002</v>
      </c>
      <c r="M56" s="79">
        <f>+M57+M58</f>
        <v>2052021.3599999999</v>
      </c>
      <c r="N56" s="72">
        <f t="shared" si="22"/>
        <v>6.0098864291278864E-2</v>
      </c>
    </row>
    <row r="57" spans="1:14" s="61" customFormat="1" ht="11.25" x14ac:dyDescent="0.2">
      <c r="A57" s="80" t="s">
        <v>32</v>
      </c>
      <c r="B57" s="81">
        <v>0</v>
      </c>
      <c r="C57" s="81">
        <v>0</v>
      </c>
      <c r="D57" s="81">
        <v>0</v>
      </c>
      <c r="E57" s="177">
        <v>0</v>
      </c>
      <c r="F57" s="177">
        <v>0</v>
      </c>
      <c r="G57" s="177">
        <v>0</v>
      </c>
      <c r="H57" s="81">
        <v>0</v>
      </c>
      <c r="I57" s="81">
        <f>2000000-19848.9</f>
        <v>1980151.1</v>
      </c>
      <c r="J57" s="81">
        <f>2000000-19285.71</f>
        <v>1980714.29</v>
      </c>
      <c r="K57" s="81">
        <f>2000000-19285.71</f>
        <v>1980714.29</v>
      </c>
      <c r="L57" s="81">
        <f>2000000-18598.9</f>
        <v>1981401.1</v>
      </c>
      <c r="M57" s="81">
        <f>2000000-18173.08</f>
        <v>1981826.92</v>
      </c>
      <c r="N57" s="78">
        <f t="shared" si="22"/>
        <v>5.8043034753733354E-2</v>
      </c>
    </row>
    <row r="58" spans="1:14" s="61" customFormat="1" ht="11.25" x14ac:dyDescent="0.2">
      <c r="A58" s="80" t="s">
        <v>22</v>
      </c>
      <c r="B58" s="77">
        <v>0</v>
      </c>
      <c r="C58" s="77">
        <v>0</v>
      </c>
      <c r="D58" s="77">
        <v>0</v>
      </c>
      <c r="E58" s="178">
        <v>0</v>
      </c>
      <c r="F58" s="178">
        <v>0</v>
      </c>
      <c r="G58" s="178">
        <v>0</v>
      </c>
      <c r="H58" s="77">
        <v>0</v>
      </c>
      <c r="I58" s="77">
        <v>5805.56</v>
      </c>
      <c r="J58" s="77">
        <v>21638.89</v>
      </c>
      <c r="K58" s="81">
        <v>38000</v>
      </c>
      <c r="L58" s="81">
        <v>53833.33</v>
      </c>
      <c r="M58" s="81">
        <v>70194.44</v>
      </c>
      <c r="N58" s="78">
        <f t="shared" si="22"/>
        <v>2.0558295375455141E-3</v>
      </c>
    </row>
    <row r="59" spans="1:14" s="61" customFormat="1" ht="12.75" x14ac:dyDescent="0.2">
      <c r="A59" s="75" t="s">
        <v>196</v>
      </c>
      <c r="B59" s="79">
        <f t="shared" ref="B59:I59" si="31">+B60+B61</f>
        <v>0</v>
      </c>
      <c r="C59" s="79">
        <f t="shared" si="31"/>
        <v>0</v>
      </c>
      <c r="D59" s="79">
        <f t="shared" si="31"/>
        <v>0</v>
      </c>
      <c r="E59" s="176">
        <f t="shared" si="31"/>
        <v>0</v>
      </c>
      <c r="F59" s="176">
        <f t="shared" si="31"/>
        <v>0</v>
      </c>
      <c r="G59" s="176">
        <f t="shared" si="31"/>
        <v>0</v>
      </c>
      <c r="H59" s="79">
        <f t="shared" si="31"/>
        <v>0</v>
      </c>
      <c r="I59" s="79">
        <f t="shared" si="31"/>
        <v>996497.1</v>
      </c>
      <c r="J59" s="79">
        <f>+J60+J61</f>
        <v>1004065.29</v>
      </c>
      <c r="K59" s="79">
        <f>+K60+K61</f>
        <v>1022591.9600000001</v>
      </c>
      <c r="L59" s="79">
        <f>+L60+L61</f>
        <v>1019412.15</v>
      </c>
      <c r="M59" s="79">
        <f>+M60+M61</f>
        <v>1027218.37</v>
      </c>
      <c r="N59" s="72">
        <f t="shared" si="22"/>
        <v>3.0084802536431046E-2</v>
      </c>
    </row>
    <row r="60" spans="1:14" s="61" customFormat="1" ht="11.25" x14ac:dyDescent="0.2">
      <c r="A60" s="80" t="s">
        <v>32</v>
      </c>
      <c r="B60" s="81">
        <v>0</v>
      </c>
      <c r="C60" s="81">
        <v>0</v>
      </c>
      <c r="D60" s="81">
        <v>0</v>
      </c>
      <c r="E60" s="177">
        <v>0</v>
      </c>
      <c r="F60" s="177">
        <v>0</v>
      </c>
      <c r="G60" s="177">
        <v>0</v>
      </c>
      <c r="H60" s="81">
        <v>0</v>
      </c>
      <c r="I60" s="81">
        <f>1000000-4986.23</f>
        <v>995013.77</v>
      </c>
      <c r="J60" s="81">
        <f>1000000-4834.71</f>
        <v>995165.29</v>
      </c>
      <c r="K60" s="81">
        <f>1000000-4834.71</f>
        <v>995165.29</v>
      </c>
      <c r="L60" s="81">
        <f>1000000-4568.41</f>
        <v>995431.59</v>
      </c>
      <c r="M60" s="81">
        <f>1000000-4426.08</f>
        <v>995573.92</v>
      </c>
      <c r="N60" s="78">
        <f t="shared" si="22"/>
        <v>2.9158011254822674E-2</v>
      </c>
    </row>
    <row r="61" spans="1:14" s="61" customFormat="1" ht="11.25" x14ac:dyDescent="0.2">
      <c r="A61" s="80" t="s">
        <v>22</v>
      </c>
      <c r="B61" s="77">
        <v>0</v>
      </c>
      <c r="C61" s="77">
        <v>0</v>
      </c>
      <c r="D61" s="77">
        <v>0</v>
      </c>
      <c r="E61" s="178">
        <v>0</v>
      </c>
      <c r="F61" s="178">
        <v>0</v>
      </c>
      <c r="G61" s="178">
        <v>0</v>
      </c>
      <c r="H61" s="77">
        <v>0</v>
      </c>
      <c r="I61" s="77">
        <v>1483.33</v>
      </c>
      <c r="J61" s="77">
        <v>8900</v>
      </c>
      <c r="K61" s="81">
        <v>27426.67</v>
      </c>
      <c r="L61" s="81">
        <v>23980.560000000001</v>
      </c>
      <c r="M61" s="81">
        <v>31644.45</v>
      </c>
      <c r="N61" s="78">
        <f t="shared" si="22"/>
        <v>9.2679128160837447E-4</v>
      </c>
    </row>
    <row r="62" spans="1:14" s="61" customFormat="1" ht="12.75" x14ac:dyDescent="0.2">
      <c r="A62" s="75" t="s">
        <v>201</v>
      </c>
      <c r="B62" s="79">
        <f t="shared" ref="B62:J62" si="32">+B63+B64</f>
        <v>0</v>
      </c>
      <c r="C62" s="79">
        <f t="shared" si="32"/>
        <v>0</v>
      </c>
      <c r="D62" s="79">
        <f t="shared" si="32"/>
        <v>0</v>
      </c>
      <c r="E62" s="176">
        <f t="shared" si="32"/>
        <v>0</v>
      </c>
      <c r="F62" s="176">
        <f t="shared" si="32"/>
        <v>0</v>
      </c>
      <c r="G62" s="176">
        <f t="shared" si="32"/>
        <v>0</v>
      </c>
      <c r="H62" s="79">
        <f t="shared" si="32"/>
        <v>0</v>
      </c>
      <c r="I62" s="79">
        <f t="shared" si="32"/>
        <v>0</v>
      </c>
      <c r="J62" s="79">
        <f t="shared" si="32"/>
        <v>990630.62</v>
      </c>
      <c r="K62" s="79">
        <f>+K63+K64</f>
        <v>997827.63</v>
      </c>
      <c r="L62" s="79">
        <f>+L63+L64</f>
        <v>1005282.71</v>
      </c>
      <c r="M62" s="79">
        <f>+M63+M64</f>
        <v>978835.41999999993</v>
      </c>
      <c r="N62" s="72">
        <f t="shared" si="22"/>
        <v>2.8667780081040165E-2</v>
      </c>
    </row>
    <row r="63" spans="1:14" s="61" customFormat="1" ht="11.25" x14ac:dyDescent="0.2">
      <c r="A63" s="80" t="s">
        <v>32</v>
      </c>
      <c r="B63" s="81">
        <v>0</v>
      </c>
      <c r="C63" s="81">
        <v>0</v>
      </c>
      <c r="D63" s="81">
        <v>0</v>
      </c>
      <c r="E63" s="177">
        <v>0</v>
      </c>
      <c r="F63" s="177">
        <v>0</v>
      </c>
      <c r="G63" s="177">
        <v>0</v>
      </c>
      <c r="H63" s="81">
        <v>0</v>
      </c>
      <c r="I63" s="81">
        <v>0</v>
      </c>
      <c r="J63" s="81">
        <f>999063.69-9953.87</f>
        <v>989109.82</v>
      </c>
      <c r="K63" s="81">
        <f>994932.23-9953.87</f>
        <v>984978.36</v>
      </c>
      <c r="L63" s="81">
        <f>990950.76-9391.14</f>
        <v>981559.62</v>
      </c>
      <c r="M63" s="81">
        <f>986852.59-9105.17</f>
        <v>977747.41999999993</v>
      </c>
      <c r="N63" s="78">
        <f t="shared" si="22"/>
        <v>2.8635915127963405E-2</v>
      </c>
    </row>
    <row r="64" spans="1:14" s="61" customFormat="1" ht="11.25" x14ac:dyDescent="0.2">
      <c r="A64" s="80" t="s">
        <v>22</v>
      </c>
      <c r="B64" s="77">
        <v>0</v>
      </c>
      <c r="C64" s="77">
        <v>0</v>
      </c>
      <c r="D64" s="77">
        <v>0</v>
      </c>
      <c r="E64" s="178">
        <v>0</v>
      </c>
      <c r="F64" s="178">
        <v>0</v>
      </c>
      <c r="G64" s="178">
        <v>0</v>
      </c>
      <c r="H64" s="77">
        <v>0</v>
      </c>
      <c r="I64" s="77">
        <v>0</v>
      </c>
      <c r="J64" s="77">
        <v>1520.8</v>
      </c>
      <c r="K64" s="81">
        <v>12849.27</v>
      </c>
      <c r="L64" s="81">
        <v>23723.09</v>
      </c>
      <c r="M64" s="81">
        <v>1088</v>
      </c>
      <c r="N64" s="78">
        <f t="shared" si="22"/>
        <v>3.1864953076761059E-5</v>
      </c>
    </row>
    <row r="65" spans="1:14" s="61" customFormat="1" ht="12.75" x14ac:dyDescent="0.2">
      <c r="A65" s="75" t="s">
        <v>202</v>
      </c>
      <c r="B65" s="79">
        <f t="shared" ref="B65:J65" si="33">+B66+B67</f>
        <v>0</v>
      </c>
      <c r="C65" s="79">
        <f t="shared" si="33"/>
        <v>0</v>
      </c>
      <c r="D65" s="79">
        <f t="shared" si="33"/>
        <v>0</v>
      </c>
      <c r="E65" s="176">
        <f t="shared" si="33"/>
        <v>0</v>
      </c>
      <c r="F65" s="176">
        <f t="shared" si="33"/>
        <v>0</v>
      </c>
      <c r="G65" s="176">
        <f t="shared" si="33"/>
        <v>0</v>
      </c>
      <c r="H65" s="79">
        <f t="shared" si="33"/>
        <v>0</v>
      </c>
      <c r="I65" s="79">
        <f t="shared" si="33"/>
        <v>0</v>
      </c>
      <c r="J65" s="79">
        <f t="shared" si="33"/>
        <v>966348.9</v>
      </c>
      <c r="K65" s="79">
        <f>+K66+K67</f>
        <v>944235.63</v>
      </c>
      <c r="L65" s="79">
        <f>+L66+L67</f>
        <v>950646.12</v>
      </c>
      <c r="M65" s="79">
        <f>+M66+M67</f>
        <v>934834.12</v>
      </c>
      <c r="N65" s="72">
        <f t="shared" si="22"/>
        <v>2.7379085816502956E-2</v>
      </c>
    </row>
    <row r="66" spans="1:14" s="61" customFormat="1" ht="11.25" x14ac:dyDescent="0.2">
      <c r="A66" s="80" t="s">
        <v>32</v>
      </c>
      <c r="B66" s="81">
        <v>0</v>
      </c>
      <c r="C66" s="81">
        <v>0</v>
      </c>
      <c r="D66" s="81">
        <v>0</v>
      </c>
      <c r="E66" s="177">
        <v>0</v>
      </c>
      <c r="F66" s="177">
        <v>0</v>
      </c>
      <c r="G66" s="177">
        <v>0</v>
      </c>
      <c r="H66" s="81">
        <v>0</v>
      </c>
      <c r="I66" s="81">
        <v>0</v>
      </c>
      <c r="J66" s="81">
        <f>973848.9-7500</f>
        <v>966348.9</v>
      </c>
      <c r="K66" s="81">
        <f>942869.51-7500</f>
        <v>935369.51</v>
      </c>
      <c r="L66" s="81">
        <f>940427.37-7182.29</f>
        <v>933245.08</v>
      </c>
      <c r="M66" s="81">
        <f>941240.01-7020.83</f>
        <v>934219.18</v>
      </c>
      <c r="N66" s="78">
        <f t="shared" si="22"/>
        <v>2.7361075674733636E-2</v>
      </c>
    </row>
    <row r="67" spans="1:14" s="61" customFormat="1" ht="11.25" x14ac:dyDescent="0.2">
      <c r="A67" s="80" t="s">
        <v>22</v>
      </c>
      <c r="B67" s="77">
        <v>0</v>
      </c>
      <c r="C67" s="77">
        <v>0</v>
      </c>
      <c r="D67" s="77">
        <v>0</v>
      </c>
      <c r="E67" s="178">
        <v>0</v>
      </c>
      <c r="F67" s="178">
        <v>0</v>
      </c>
      <c r="G67" s="178">
        <v>0</v>
      </c>
      <c r="H67" s="77">
        <v>0</v>
      </c>
      <c r="I67" s="77">
        <v>0</v>
      </c>
      <c r="J67" s="77">
        <v>0</v>
      </c>
      <c r="K67" s="81">
        <v>8866.1200000000008</v>
      </c>
      <c r="L67" s="81">
        <v>17401.04</v>
      </c>
      <c r="M67" s="81">
        <v>614.94000000000005</v>
      </c>
      <c r="N67" s="78">
        <f t="shared" si="22"/>
        <v>1.8010141769323022E-5</v>
      </c>
    </row>
    <row r="68" spans="1:14" s="61" customFormat="1" ht="12.75" x14ac:dyDescent="0.2">
      <c r="A68" s="75" t="s">
        <v>209</v>
      </c>
      <c r="B68" s="79">
        <f t="shared" ref="B68:K68" si="34">+B69+B70</f>
        <v>0</v>
      </c>
      <c r="C68" s="79">
        <f t="shared" si="34"/>
        <v>0</v>
      </c>
      <c r="D68" s="79">
        <f t="shared" si="34"/>
        <v>0</v>
      </c>
      <c r="E68" s="176">
        <f t="shared" si="34"/>
        <v>0</v>
      </c>
      <c r="F68" s="176">
        <f t="shared" si="34"/>
        <v>0</v>
      </c>
      <c r="G68" s="176">
        <f t="shared" si="34"/>
        <v>0</v>
      </c>
      <c r="H68" s="79">
        <f t="shared" si="34"/>
        <v>0</v>
      </c>
      <c r="I68" s="79">
        <f t="shared" si="34"/>
        <v>0</v>
      </c>
      <c r="J68" s="79">
        <f t="shared" si="34"/>
        <v>0</v>
      </c>
      <c r="K68" s="79">
        <f t="shared" si="34"/>
        <v>499774.33999999997</v>
      </c>
      <c r="L68" s="79">
        <f>+L69+L70</f>
        <v>503534.76999999996</v>
      </c>
      <c r="M68" s="79">
        <f>+M69+M70</f>
        <v>507380.70999999996</v>
      </c>
      <c r="N68" s="72">
        <f t="shared" si="22"/>
        <v>1.4859983930334291E-2</v>
      </c>
    </row>
    <row r="69" spans="1:14" s="61" customFormat="1" ht="11.25" x14ac:dyDescent="0.2">
      <c r="A69" s="80" t="s">
        <v>32</v>
      </c>
      <c r="B69" s="81">
        <v>0</v>
      </c>
      <c r="C69" s="81">
        <v>0</v>
      </c>
      <c r="D69" s="81">
        <v>0</v>
      </c>
      <c r="E69" s="177">
        <v>0</v>
      </c>
      <c r="F69" s="177">
        <v>0</v>
      </c>
      <c r="G69" s="177">
        <v>0</v>
      </c>
      <c r="H69" s="81">
        <v>0</v>
      </c>
      <c r="I69" s="81">
        <v>0</v>
      </c>
      <c r="J69" s="81">
        <v>0</v>
      </c>
      <c r="K69" s="81">
        <f>498798.44-2458.33</f>
        <v>496340.11</v>
      </c>
      <c r="L69" s="81">
        <f>496802.37-2388.89</f>
        <v>494413.48</v>
      </c>
      <c r="M69" s="81">
        <f>494747.8-2317.13</f>
        <v>492430.67</v>
      </c>
      <c r="N69" s="78">
        <f t="shared" si="22"/>
        <v>1.4422132530430155E-2</v>
      </c>
    </row>
    <row r="70" spans="1:14" s="61" customFormat="1" ht="11.25" x14ac:dyDescent="0.2">
      <c r="A70" s="80" t="s">
        <v>22</v>
      </c>
      <c r="B70" s="77">
        <v>0</v>
      </c>
      <c r="C70" s="77">
        <v>0</v>
      </c>
      <c r="D70" s="77">
        <v>0</v>
      </c>
      <c r="E70" s="178">
        <v>0</v>
      </c>
      <c r="F70" s="178">
        <v>0</v>
      </c>
      <c r="G70" s="178">
        <v>0</v>
      </c>
      <c r="H70" s="77">
        <v>0</v>
      </c>
      <c r="I70" s="77">
        <v>0</v>
      </c>
      <c r="J70" s="77">
        <v>0</v>
      </c>
      <c r="K70" s="81">
        <v>3434.23</v>
      </c>
      <c r="L70" s="81">
        <v>9121.2900000000009</v>
      </c>
      <c r="M70" s="81">
        <v>14950.04</v>
      </c>
      <c r="N70" s="78">
        <f t="shared" si="22"/>
        <v>4.3785139990413688E-4</v>
      </c>
    </row>
    <row r="71" spans="1:14" s="61" customFormat="1" ht="12.75" x14ac:dyDescent="0.2">
      <c r="A71" s="75" t="s">
        <v>210</v>
      </c>
      <c r="B71" s="79">
        <f t="shared" ref="B71:K71" si="35">+B72+B73</f>
        <v>0</v>
      </c>
      <c r="C71" s="79">
        <f t="shared" si="35"/>
        <v>0</v>
      </c>
      <c r="D71" s="79">
        <f t="shared" si="35"/>
        <v>0</v>
      </c>
      <c r="E71" s="176">
        <f t="shared" si="35"/>
        <v>0</v>
      </c>
      <c r="F71" s="176">
        <f t="shared" si="35"/>
        <v>0</v>
      </c>
      <c r="G71" s="176">
        <f t="shared" si="35"/>
        <v>0</v>
      </c>
      <c r="H71" s="79">
        <f t="shared" si="35"/>
        <v>0</v>
      </c>
      <c r="I71" s="79">
        <f t="shared" si="35"/>
        <v>0</v>
      </c>
      <c r="J71" s="79">
        <f t="shared" si="35"/>
        <v>0</v>
      </c>
      <c r="K71" s="79">
        <f t="shared" si="35"/>
        <v>247500</v>
      </c>
      <c r="L71" s="79">
        <f>+L72+L73</f>
        <v>249417.81</v>
      </c>
      <c r="M71" s="79">
        <f>+M72+M73</f>
        <v>251399.55</v>
      </c>
      <c r="N71" s="72">
        <f t="shared" ref="N71:N97" si="36">+M71/$M$100</f>
        <v>7.3628996914235712E-3</v>
      </c>
    </row>
    <row r="72" spans="1:14" s="61" customFormat="1" ht="11.25" x14ac:dyDescent="0.2">
      <c r="A72" s="80" t="s">
        <v>32</v>
      </c>
      <c r="B72" s="81">
        <v>0</v>
      </c>
      <c r="C72" s="81">
        <v>0</v>
      </c>
      <c r="D72" s="81">
        <v>0</v>
      </c>
      <c r="E72" s="177">
        <v>0</v>
      </c>
      <c r="F72" s="177">
        <v>0</v>
      </c>
      <c r="G72" s="177">
        <v>0</v>
      </c>
      <c r="H72" s="81">
        <v>0</v>
      </c>
      <c r="I72" s="81">
        <v>0</v>
      </c>
      <c r="J72" s="81">
        <v>0</v>
      </c>
      <c r="K72" s="81">
        <f>250000-2500</f>
        <v>247500</v>
      </c>
      <c r="L72" s="81">
        <f>250000-2431.51</f>
        <v>247568.49</v>
      </c>
      <c r="M72" s="81">
        <f>250000-2360.73</f>
        <v>247639.27</v>
      </c>
      <c r="N72" s="78">
        <f t="shared" si="36"/>
        <v>7.2527699618688988E-3</v>
      </c>
    </row>
    <row r="73" spans="1:14" s="61" customFormat="1" ht="11.25" x14ac:dyDescent="0.2">
      <c r="A73" s="80" t="s">
        <v>22</v>
      </c>
      <c r="B73" s="77">
        <v>0</v>
      </c>
      <c r="C73" s="77">
        <v>0</v>
      </c>
      <c r="D73" s="77">
        <v>0</v>
      </c>
      <c r="E73" s="178">
        <v>0</v>
      </c>
      <c r="F73" s="178">
        <v>0</v>
      </c>
      <c r="G73" s="178">
        <v>0</v>
      </c>
      <c r="H73" s="77">
        <v>0</v>
      </c>
      <c r="I73" s="77">
        <v>0</v>
      </c>
      <c r="J73" s="77">
        <v>0</v>
      </c>
      <c r="K73" s="81">
        <v>0</v>
      </c>
      <c r="L73" s="81">
        <v>1849.32</v>
      </c>
      <c r="M73" s="81">
        <v>3760.28</v>
      </c>
      <c r="N73" s="78">
        <f t="shared" si="36"/>
        <v>1.1012972955467195E-4</v>
      </c>
    </row>
    <row r="74" spans="1:14" s="61" customFormat="1" ht="12.75" x14ac:dyDescent="0.2">
      <c r="A74" s="75" t="s">
        <v>211</v>
      </c>
      <c r="B74" s="79">
        <f t="shared" ref="B74:L74" si="37">+B75+B76</f>
        <v>0</v>
      </c>
      <c r="C74" s="79">
        <f t="shared" si="37"/>
        <v>0</v>
      </c>
      <c r="D74" s="79">
        <f t="shared" si="37"/>
        <v>0</v>
      </c>
      <c r="E74" s="176">
        <f t="shared" si="37"/>
        <v>0</v>
      </c>
      <c r="F74" s="176">
        <f t="shared" si="37"/>
        <v>0</v>
      </c>
      <c r="G74" s="176">
        <f t="shared" si="37"/>
        <v>0</v>
      </c>
      <c r="H74" s="79">
        <f t="shared" si="37"/>
        <v>0</v>
      </c>
      <c r="I74" s="79">
        <f t="shared" si="37"/>
        <v>0</v>
      </c>
      <c r="J74" s="79">
        <f t="shared" si="37"/>
        <v>0</v>
      </c>
      <c r="K74" s="79">
        <f t="shared" si="37"/>
        <v>0</v>
      </c>
      <c r="L74" s="79">
        <f t="shared" si="37"/>
        <v>990000</v>
      </c>
      <c r="M74" s="79">
        <f>+M75+M76</f>
        <v>998068.49</v>
      </c>
      <c r="N74" s="72">
        <f t="shared" si="36"/>
        <v>2.9231071324672578E-2</v>
      </c>
    </row>
    <row r="75" spans="1:14" s="61" customFormat="1" ht="11.25" x14ac:dyDescent="0.2">
      <c r="A75" s="80" t="s">
        <v>32</v>
      </c>
      <c r="B75" s="81">
        <v>0</v>
      </c>
      <c r="C75" s="81">
        <v>0</v>
      </c>
      <c r="D75" s="81">
        <v>0</v>
      </c>
      <c r="E75" s="177">
        <v>0</v>
      </c>
      <c r="F75" s="177">
        <v>0</v>
      </c>
      <c r="G75" s="177">
        <v>0</v>
      </c>
      <c r="H75" s="81">
        <v>0</v>
      </c>
      <c r="I75" s="81">
        <v>0</v>
      </c>
      <c r="J75" s="81">
        <v>0</v>
      </c>
      <c r="K75" s="81">
        <v>0</v>
      </c>
      <c r="L75" s="81">
        <f>1000000-10000</f>
        <v>990000</v>
      </c>
      <c r="M75" s="81">
        <f>1000000-10000</f>
        <v>990000</v>
      </c>
      <c r="N75" s="78">
        <f t="shared" si="36"/>
        <v>2.899476428859692E-2</v>
      </c>
    </row>
    <row r="76" spans="1:14" s="61" customFormat="1" ht="11.25" x14ac:dyDescent="0.2">
      <c r="A76" s="80" t="s">
        <v>22</v>
      </c>
      <c r="B76" s="77">
        <v>0</v>
      </c>
      <c r="C76" s="77">
        <v>0</v>
      </c>
      <c r="D76" s="77">
        <v>0</v>
      </c>
      <c r="E76" s="178">
        <v>0</v>
      </c>
      <c r="F76" s="178">
        <v>0</v>
      </c>
      <c r="G76" s="178">
        <v>0</v>
      </c>
      <c r="H76" s="77">
        <v>0</v>
      </c>
      <c r="I76" s="77">
        <v>0</v>
      </c>
      <c r="J76" s="77">
        <v>0</v>
      </c>
      <c r="K76" s="81">
        <v>0</v>
      </c>
      <c r="L76" s="81">
        <v>0</v>
      </c>
      <c r="M76" s="81">
        <v>8068.49</v>
      </c>
      <c r="N76" s="78">
        <f t="shared" si="36"/>
        <v>2.3630703607565792E-4</v>
      </c>
    </row>
    <row r="77" spans="1:14" s="61" customFormat="1" ht="12.75" x14ac:dyDescent="0.2">
      <c r="A77" s="75" t="s">
        <v>213</v>
      </c>
      <c r="B77" s="79">
        <f t="shared" ref="B77:M77" si="38">+B78+B79</f>
        <v>0</v>
      </c>
      <c r="C77" s="79">
        <f t="shared" si="38"/>
        <v>0</v>
      </c>
      <c r="D77" s="79">
        <f t="shared" si="38"/>
        <v>0</v>
      </c>
      <c r="E77" s="176">
        <f t="shared" si="38"/>
        <v>0</v>
      </c>
      <c r="F77" s="176">
        <f t="shared" si="38"/>
        <v>0</v>
      </c>
      <c r="G77" s="176">
        <f t="shared" si="38"/>
        <v>0</v>
      </c>
      <c r="H77" s="79">
        <f t="shared" si="38"/>
        <v>0</v>
      </c>
      <c r="I77" s="79">
        <f t="shared" si="38"/>
        <v>0</v>
      </c>
      <c r="J77" s="79">
        <f t="shared" si="38"/>
        <v>0</v>
      </c>
      <c r="K77" s="79">
        <f t="shared" si="38"/>
        <v>0</v>
      </c>
      <c r="L77" s="79">
        <f t="shared" si="38"/>
        <v>0</v>
      </c>
      <c r="M77" s="79">
        <f t="shared" si="38"/>
        <v>997799.88</v>
      </c>
      <c r="N77" s="72">
        <f t="shared" si="36"/>
        <v>2.9223204371505343E-2</v>
      </c>
    </row>
    <row r="78" spans="1:14" s="61" customFormat="1" ht="11.25" x14ac:dyDescent="0.2">
      <c r="A78" s="80" t="s">
        <v>32</v>
      </c>
      <c r="B78" s="81">
        <v>0</v>
      </c>
      <c r="C78" s="81">
        <v>0</v>
      </c>
      <c r="D78" s="81">
        <v>0</v>
      </c>
      <c r="E78" s="177">
        <v>0</v>
      </c>
      <c r="F78" s="177">
        <v>0</v>
      </c>
      <c r="G78" s="177">
        <v>0</v>
      </c>
      <c r="H78" s="81">
        <v>0</v>
      </c>
      <c r="I78" s="81">
        <v>0</v>
      </c>
      <c r="J78" s="81">
        <v>0</v>
      </c>
      <c r="K78" s="81">
        <v>0</v>
      </c>
      <c r="L78" s="81">
        <v>0</v>
      </c>
      <c r="M78" s="81">
        <f>1000000-9812.63</f>
        <v>990187.37</v>
      </c>
      <c r="N78" s="78">
        <f t="shared" si="36"/>
        <v>2.9000251913834044E-2</v>
      </c>
    </row>
    <row r="79" spans="1:14" s="61" customFormat="1" ht="11.25" x14ac:dyDescent="0.2">
      <c r="A79" s="80" t="s">
        <v>22</v>
      </c>
      <c r="B79" s="77">
        <v>0</v>
      </c>
      <c r="C79" s="77">
        <v>0</v>
      </c>
      <c r="D79" s="77">
        <v>0</v>
      </c>
      <c r="E79" s="178">
        <v>0</v>
      </c>
      <c r="F79" s="178">
        <v>0</v>
      </c>
      <c r="G79" s="178">
        <v>0</v>
      </c>
      <c r="H79" s="77">
        <v>0</v>
      </c>
      <c r="I79" s="77">
        <v>0</v>
      </c>
      <c r="J79" s="77">
        <v>0</v>
      </c>
      <c r="K79" s="81">
        <v>0</v>
      </c>
      <c r="L79" s="81">
        <v>0</v>
      </c>
      <c r="M79" s="81">
        <v>7612.51</v>
      </c>
      <c r="N79" s="78">
        <f t="shared" si="36"/>
        <v>2.2295245767129992E-4</v>
      </c>
    </row>
    <row r="80" spans="1:14" s="61" customFormat="1" ht="12.75" x14ac:dyDescent="0.2">
      <c r="A80" s="75" t="s">
        <v>214</v>
      </c>
      <c r="B80" s="79">
        <f t="shared" ref="B80:M80" si="39">+B81+B82</f>
        <v>0</v>
      </c>
      <c r="C80" s="79">
        <f t="shared" si="39"/>
        <v>0</v>
      </c>
      <c r="D80" s="79">
        <f t="shared" si="39"/>
        <v>0</v>
      </c>
      <c r="E80" s="176">
        <f t="shared" si="39"/>
        <v>0</v>
      </c>
      <c r="F80" s="176">
        <f t="shared" si="39"/>
        <v>0</v>
      </c>
      <c r="G80" s="176">
        <f t="shared" si="39"/>
        <v>0</v>
      </c>
      <c r="H80" s="79">
        <f t="shared" si="39"/>
        <v>0</v>
      </c>
      <c r="I80" s="79">
        <f t="shared" si="39"/>
        <v>0</v>
      </c>
      <c r="J80" s="79">
        <f t="shared" si="39"/>
        <v>0</v>
      </c>
      <c r="K80" s="79">
        <f t="shared" si="39"/>
        <v>0</v>
      </c>
      <c r="L80" s="79">
        <f t="shared" si="39"/>
        <v>0</v>
      </c>
      <c r="M80" s="79">
        <f t="shared" si="39"/>
        <v>249685.35</v>
      </c>
      <c r="N80" s="72">
        <f t="shared" si="36"/>
        <v>7.3126948177432557E-3</v>
      </c>
    </row>
    <row r="81" spans="1:16" s="61" customFormat="1" ht="11.25" x14ac:dyDescent="0.2">
      <c r="A81" s="80" t="s">
        <v>32</v>
      </c>
      <c r="B81" s="81">
        <v>0</v>
      </c>
      <c r="C81" s="81">
        <v>0</v>
      </c>
      <c r="D81" s="81">
        <v>0</v>
      </c>
      <c r="E81" s="177">
        <v>0</v>
      </c>
      <c r="F81" s="177">
        <v>0</v>
      </c>
      <c r="G81" s="177">
        <v>0</v>
      </c>
      <c r="H81" s="81">
        <v>0</v>
      </c>
      <c r="I81" s="81">
        <v>0</v>
      </c>
      <c r="J81" s="81">
        <v>0</v>
      </c>
      <c r="K81" s="81">
        <v>0</v>
      </c>
      <c r="L81" s="81">
        <v>0</v>
      </c>
      <c r="M81" s="81">
        <f>249232.1-1231.77</f>
        <v>248000.33000000002</v>
      </c>
      <c r="N81" s="78">
        <f t="shared" si="36"/>
        <v>7.2633445574184358E-3</v>
      </c>
    </row>
    <row r="82" spans="1:16" s="61" customFormat="1" ht="11.25" x14ac:dyDescent="0.2">
      <c r="A82" s="80" t="s">
        <v>22</v>
      </c>
      <c r="B82" s="77">
        <v>0</v>
      </c>
      <c r="C82" s="77">
        <v>0</v>
      </c>
      <c r="D82" s="77">
        <v>0</v>
      </c>
      <c r="E82" s="178">
        <v>0</v>
      </c>
      <c r="F82" s="178">
        <v>0</v>
      </c>
      <c r="G82" s="178">
        <v>0</v>
      </c>
      <c r="H82" s="77">
        <v>0</v>
      </c>
      <c r="I82" s="77">
        <v>0</v>
      </c>
      <c r="J82" s="77">
        <v>0</v>
      </c>
      <c r="K82" s="81">
        <v>0</v>
      </c>
      <c r="L82" s="81">
        <v>0</v>
      </c>
      <c r="M82" s="81">
        <v>1685.02</v>
      </c>
      <c r="N82" s="78">
        <f t="shared" si="36"/>
        <v>4.9350260324819779E-5</v>
      </c>
    </row>
    <row r="83" spans="1:16" s="61" customFormat="1" ht="12.75" x14ac:dyDescent="0.2">
      <c r="A83" s="75" t="s">
        <v>218</v>
      </c>
      <c r="B83" s="79">
        <f t="shared" ref="B83:M83" si="40">+B84+B85</f>
        <v>0</v>
      </c>
      <c r="C83" s="79">
        <f t="shared" si="40"/>
        <v>0</v>
      </c>
      <c r="D83" s="79">
        <f t="shared" si="40"/>
        <v>0</v>
      </c>
      <c r="E83" s="176">
        <f t="shared" si="40"/>
        <v>0</v>
      </c>
      <c r="F83" s="176">
        <f t="shared" si="40"/>
        <v>0</v>
      </c>
      <c r="G83" s="176">
        <f t="shared" si="40"/>
        <v>0</v>
      </c>
      <c r="H83" s="79">
        <f t="shared" si="40"/>
        <v>0</v>
      </c>
      <c r="I83" s="79">
        <f t="shared" si="40"/>
        <v>0</v>
      </c>
      <c r="J83" s="79">
        <f t="shared" si="40"/>
        <v>0</v>
      </c>
      <c r="K83" s="79">
        <f t="shared" si="40"/>
        <v>0</v>
      </c>
      <c r="L83" s="79">
        <f t="shared" si="40"/>
        <v>0</v>
      </c>
      <c r="M83" s="79">
        <f t="shared" si="40"/>
        <v>967101.32000000007</v>
      </c>
      <c r="N83" s="72">
        <f t="shared" si="36"/>
        <v>2.8324115976354487E-2</v>
      </c>
    </row>
    <row r="84" spans="1:16" s="61" customFormat="1" ht="11.25" x14ac:dyDescent="0.2">
      <c r="A84" s="80" t="s">
        <v>32</v>
      </c>
      <c r="B84" s="81">
        <v>0</v>
      </c>
      <c r="C84" s="81">
        <v>0</v>
      </c>
      <c r="D84" s="81">
        <v>0</v>
      </c>
      <c r="E84" s="177">
        <v>0</v>
      </c>
      <c r="F84" s="177">
        <v>0</v>
      </c>
      <c r="G84" s="177">
        <v>0</v>
      </c>
      <c r="H84" s="81">
        <v>0</v>
      </c>
      <c r="I84" s="81">
        <v>0</v>
      </c>
      <c r="J84" s="81">
        <v>0</v>
      </c>
      <c r="K84" s="81">
        <v>0</v>
      </c>
      <c r="L84" s="81">
        <v>0</v>
      </c>
      <c r="M84" s="81">
        <v>963075.66</v>
      </c>
      <c r="N84" s="78">
        <f t="shared" si="36"/>
        <v>2.820621389271203E-2</v>
      </c>
    </row>
    <row r="85" spans="1:16" s="61" customFormat="1" ht="11.25" x14ac:dyDescent="0.2">
      <c r="A85" s="80" t="s">
        <v>22</v>
      </c>
      <c r="B85" s="77">
        <v>0</v>
      </c>
      <c r="C85" s="77">
        <v>0</v>
      </c>
      <c r="D85" s="77">
        <v>0</v>
      </c>
      <c r="E85" s="178">
        <v>0</v>
      </c>
      <c r="F85" s="178">
        <v>0</v>
      </c>
      <c r="G85" s="178">
        <v>0</v>
      </c>
      <c r="H85" s="77">
        <v>0</v>
      </c>
      <c r="I85" s="77">
        <v>0</v>
      </c>
      <c r="J85" s="77">
        <v>0</v>
      </c>
      <c r="K85" s="81">
        <v>0</v>
      </c>
      <c r="L85" s="81">
        <v>0</v>
      </c>
      <c r="M85" s="81">
        <v>4025.66</v>
      </c>
      <c r="N85" s="78">
        <f t="shared" si="36"/>
        <v>1.1790208364245765E-4</v>
      </c>
    </row>
    <row r="86" spans="1:16" s="61" customFormat="1" ht="12.75" x14ac:dyDescent="0.2">
      <c r="A86" s="75" t="s">
        <v>215</v>
      </c>
      <c r="B86" s="79">
        <f t="shared" ref="B86:M86" si="41">+B87+B88</f>
        <v>0</v>
      </c>
      <c r="C86" s="79">
        <f t="shared" si="41"/>
        <v>0</v>
      </c>
      <c r="D86" s="79">
        <f t="shared" si="41"/>
        <v>0</v>
      </c>
      <c r="E86" s="176">
        <f t="shared" si="41"/>
        <v>0</v>
      </c>
      <c r="F86" s="176">
        <f t="shared" si="41"/>
        <v>0</v>
      </c>
      <c r="G86" s="176">
        <f t="shared" si="41"/>
        <v>0</v>
      </c>
      <c r="H86" s="79">
        <f t="shared" si="41"/>
        <v>0</v>
      </c>
      <c r="I86" s="79">
        <f t="shared" si="41"/>
        <v>0</v>
      </c>
      <c r="J86" s="79">
        <f t="shared" si="41"/>
        <v>0</v>
      </c>
      <c r="K86" s="79">
        <f t="shared" si="41"/>
        <v>0</v>
      </c>
      <c r="L86" s="79">
        <f t="shared" si="41"/>
        <v>0</v>
      </c>
      <c r="M86" s="79">
        <f t="shared" si="41"/>
        <v>2000861.4700000002</v>
      </c>
      <c r="N86" s="72">
        <f t="shared" si="36"/>
        <v>5.8600511814934891E-2</v>
      </c>
    </row>
    <row r="87" spans="1:16" s="61" customFormat="1" ht="11.25" x14ac:dyDescent="0.2">
      <c r="A87" s="80" t="s">
        <v>32</v>
      </c>
      <c r="B87" s="81">
        <v>0</v>
      </c>
      <c r="C87" s="81">
        <v>0</v>
      </c>
      <c r="D87" s="81">
        <v>0</v>
      </c>
      <c r="E87" s="177">
        <v>0</v>
      </c>
      <c r="F87" s="177">
        <v>0</v>
      </c>
      <c r="G87" s="177">
        <v>0</v>
      </c>
      <c r="H87" s="81">
        <v>0</v>
      </c>
      <c r="I87" s="81">
        <v>0</v>
      </c>
      <c r="J87" s="81">
        <v>0</v>
      </c>
      <c r="K87" s="81">
        <v>0</v>
      </c>
      <c r="L87" s="81">
        <v>0</v>
      </c>
      <c r="M87" s="81">
        <f>1994719.32-4935.19</f>
        <v>1989784.1300000001</v>
      </c>
      <c r="N87" s="78">
        <f t="shared" si="36"/>
        <v>5.8276082661152417E-2</v>
      </c>
    </row>
    <row r="88" spans="1:16" s="61" customFormat="1" ht="11.25" x14ac:dyDescent="0.2">
      <c r="A88" s="80" t="s">
        <v>22</v>
      </c>
      <c r="B88" s="77">
        <v>0</v>
      </c>
      <c r="C88" s="77">
        <v>0</v>
      </c>
      <c r="D88" s="77">
        <v>0</v>
      </c>
      <c r="E88" s="178">
        <v>0</v>
      </c>
      <c r="F88" s="178">
        <v>0</v>
      </c>
      <c r="G88" s="178">
        <v>0</v>
      </c>
      <c r="H88" s="77">
        <v>0</v>
      </c>
      <c r="I88" s="77">
        <v>0</v>
      </c>
      <c r="J88" s="77">
        <v>0</v>
      </c>
      <c r="K88" s="81">
        <v>0</v>
      </c>
      <c r="L88" s="81">
        <v>0</v>
      </c>
      <c r="M88" s="81">
        <v>11077.34</v>
      </c>
      <c r="N88" s="78">
        <f t="shared" si="36"/>
        <v>3.2442915378247091E-4</v>
      </c>
    </row>
    <row r="89" spans="1:16" s="61" customFormat="1" ht="12.75" x14ac:dyDescent="0.2">
      <c r="A89" s="75" t="s">
        <v>216</v>
      </c>
      <c r="B89" s="79">
        <f t="shared" ref="B89:M89" si="42">+B90+B91</f>
        <v>0</v>
      </c>
      <c r="C89" s="79">
        <f t="shared" si="42"/>
        <v>0</v>
      </c>
      <c r="D89" s="79">
        <f t="shared" si="42"/>
        <v>0</v>
      </c>
      <c r="E89" s="176">
        <f t="shared" si="42"/>
        <v>0</v>
      </c>
      <c r="F89" s="176">
        <f t="shared" si="42"/>
        <v>0</v>
      </c>
      <c r="G89" s="176">
        <f t="shared" si="42"/>
        <v>0</v>
      </c>
      <c r="H89" s="79">
        <f t="shared" si="42"/>
        <v>0</v>
      </c>
      <c r="I89" s="79">
        <f t="shared" si="42"/>
        <v>0</v>
      </c>
      <c r="J89" s="79">
        <f t="shared" si="42"/>
        <v>0</v>
      </c>
      <c r="K89" s="79">
        <f t="shared" si="42"/>
        <v>0</v>
      </c>
      <c r="L89" s="79">
        <f t="shared" si="42"/>
        <v>0</v>
      </c>
      <c r="M89" s="79">
        <f t="shared" si="42"/>
        <v>494233.64</v>
      </c>
      <c r="N89" s="72">
        <f t="shared" si="36"/>
        <v>1.4474937267975016E-2</v>
      </c>
    </row>
    <row r="90" spans="1:16" s="61" customFormat="1" ht="11.25" x14ac:dyDescent="0.2">
      <c r="A90" s="80" t="s">
        <v>32</v>
      </c>
      <c r="B90" s="81">
        <v>0</v>
      </c>
      <c r="C90" s="81">
        <v>0</v>
      </c>
      <c r="D90" s="81">
        <v>0</v>
      </c>
      <c r="E90" s="177">
        <v>0</v>
      </c>
      <c r="F90" s="177">
        <v>0</v>
      </c>
      <c r="G90" s="177">
        <v>0</v>
      </c>
      <c r="H90" s="81">
        <v>0</v>
      </c>
      <c r="I90" s="81">
        <v>0</v>
      </c>
      <c r="J90" s="81">
        <v>0</v>
      </c>
      <c r="K90" s="81">
        <v>0</v>
      </c>
      <c r="L90" s="81">
        <v>0</v>
      </c>
      <c r="M90" s="81">
        <f>496550.09-4916.67</f>
        <v>491633.42000000004</v>
      </c>
      <c r="N90" s="78">
        <f t="shared" si="36"/>
        <v>1.4398782958885628E-2</v>
      </c>
    </row>
    <row r="91" spans="1:16" s="61" customFormat="1" ht="11.25" x14ac:dyDescent="0.2">
      <c r="A91" s="80" t="s">
        <v>22</v>
      </c>
      <c r="B91" s="77">
        <v>0</v>
      </c>
      <c r="C91" s="77">
        <v>0</v>
      </c>
      <c r="D91" s="77">
        <v>0</v>
      </c>
      <c r="E91" s="178">
        <v>0</v>
      </c>
      <c r="F91" s="178">
        <v>0</v>
      </c>
      <c r="G91" s="178">
        <v>0</v>
      </c>
      <c r="H91" s="77">
        <v>0</v>
      </c>
      <c r="I91" s="77">
        <v>0</v>
      </c>
      <c r="J91" s="77">
        <v>0</v>
      </c>
      <c r="K91" s="81">
        <v>0</v>
      </c>
      <c r="L91" s="81">
        <v>0</v>
      </c>
      <c r="M91" s="81">
        <v>2600.2199999999998</v>
      </c>
      <c r="N91" s="78">
        <f t="shared" si="36"/>
        <v>7.6154309089389367E-5</v>
      </c>
    </row>
    <row r="92" spans="1:16" s="61" customFormat="1" ht="12.75" x14ac:dyDescent="0.2">
      <c r="A92" s="75" t="s">
        <v>217</v>
      </c>
      <c r="B92" s="79">
        <f t="shared" ref="B92:M92" si="43">+B93+B94</f>
        <v>0</v>
      </c>
      <c r="C92" s="79">
        <f t="shared" si="43"/>
        <v>0</v>
      </c>
      <c r="D92" s="79">
        <f t="shared" si="43"/>
        <v>0</v>
      </c>
      <c r="E92" s="176">
        <f t="shared" si="43"/>
        <v>0</v>
      </c>
      <c r="F92" s="176">
        <f t="shared" si="43"/>
        <v>0</v>
      </c>
      <c r="G92" s="176">
        <f t="shared" si="43"/>
        <v>0</v>
      </c>
      <c r="H92" s="79">
        <f t="shared" si="43"/>
        <v>0</v>
      </c>
      <c r="I92" s="79">
        <f t="shared" si="43"/>
        <v>0</v>
      </c>
      <c r="J92" s="79">
        <f t="shared" si="43"/>
        <v>0</v>
      </c>
      <c r="K92" s="79">
        <f t="shared" si="43"/>
        <v>0</v>
      </c>
      <c r="L92" s="79">
        <f t="shared" si="43"/>
        <v>0</v>
      </c>
      <c r="M92" s="79">
        <f t="shared" si="43"/>
        <v>1481764.8900000001</v>
      </c>
      <c r="N92" s="72">
        <f t="shared" si="36"/>
        <v>4.3397397693604796E-2</v>
      </c>
    </row>
    <row r="93" spans="1:16" s="61" customFormat="1" ht="11.25" x14ac:dyDescent="0.2">
      <c r="A93" s="80" t="s">
        <v>32</v>
      </c>
      <c r="B93" s="81">
        <v>0</v>
      </c>
      <c r="C93" s="81">
        <v>0</v>
      </c>
      <c r="D93" s="81">
        <v>0</v>
      </c>
      <c r="E93" s="177">
        <v>0</v>
      </c>
      <c r="F93" s="177">
        <v>0</v>
      </c>
      <c r="G93" s="177">
        <v>0</v>
      </c>
      <c r="H93" s="81">
        <v>0</v>
      </c>
      <c r="I93" s="81">
        <v>0</v>
      </c>
      <c r="J93" s="81">
        <v>0</v>
      </c>
      <c r="K93" s="81">
        <v>0</v>
      </c>
      <c r="L93" s="81">
        <v>0</v>
      </c>
      <c r="M93" s="81">
        <f>1495974.51-14979.22</f>
        <v>1480995.29</v>
      </c>
      <c r="N93" s="78">
        <f t="shared" si="36"/>
        <v>4.3374857925325493E-2</v>
      </c>
    </row>
    <row r="94" spans="1:16" s="61" customFormat="1" ht="11.25" x14ac:dyDescent="0.2">
      <c r="A94" s="80" t="s">
        <v>22</v>
      </c>
      <c r="B94" s="77">
        <v>0</v>
      </c>
      <c r="C94" s="77">
        <v>0</v>
      </c>
      <c r="D94" s="77">
        <v>0</v>
      </c>
      <c r="E94" s="178">
        <v>0</v>
      </c>
      <c r="F94" s="178">
        <v>0</v>
      </c>
      <c r="G94" s="178">
        <v>0</v>
      </c>
      <c r="H94" s="77">
        <v>0</v>
      </c>
      <c r="I94" s="77">
        <v>0</v>
      </c>
      <c r="J94" s="77">
        <v>0</v>
      </c>
      <c r="K94" s="81">
        <v>0</v>
      </c>
      <c r="L94" s="81">
        <v>0</v>
      </c>
      <c r="M94" s="81">
        <v>769.6</v>
      </c>
      <c r="N94" s="78">
        <f t="shared" si="36"/>
        <v>2.2539768279297161E-5</v>
      </c>
    </row>
    <row r="95" spans="1:16" s="15" customFormat="1" x14ac:dyDescent="0.2">
      <c r="A95" s="10" t="s">
        <v>192</v>
      </c>
      <c r="B95" s="25">
        <v>0</v>
      </c>
      <c r="C95" s="25">
        <v>0</v>
      </c>
      <c r="D95" s="25">
        <v>0</v>
      </c>
      <c r="E95" s="179">
        <v>0</v>
      </c>
      <c r="F95" s="179">
        <v>0</v>
      </c>
      <c r="G95" s="179">
        <v>0</v>
      </c>
      <c r="H95" s="25">
        <v>-104115.89</v>
      </c>
      <c r="I95" s="25">
        <v>-100545.75</v>
      </c>
      <c r="J95" s="25">
        <v>0</v>
      </c>
      <c r="K95" s="25">
        <v>0</v>
      </c>
      <c r="L95" s="25">
        <v>0</v>
      </c>
      <c r="M95" s="25">
        <v>0</v>
      </c>
      <c r="N95" s="52">
        <f t="shared" si="36"/>
        <v>0</v>
      </c>
      <c r="O95" s="55"/>
      <c r="P95" s="55"/>
    </row>
    <row r="96" spans="1:16" s="15" customFormat="1" x14ac:dyDescent="0.2">
      <c r="A96" s="10" t="s">
        <v>19</v>
      </c>
      <c r="B96" s="25">
        <v>100542.465753425</v>
      </c>
      <c r="C96" s="25">
        <f>52927.39-5041.1</f>
        <v>47886.29</v>
      </c>
      <c r="D96" s="25">
        <v>0</v>
      </c>
      <c r="E96" s="179">
        <f>122334.24+2000</f>
        <v>124334.24</v>
      </c>
      <c r="F96" s="179">
        <f>60164.38+2000+1200</f>
        <v>63364.38</v>
      </c>
      <c r="G96" s="179">
        <v>0</v>
      </c>
      <c r="H96" s="25">
        <v>132361.65</v>
      </c>
      <c r="I96" s="25">
        <f>65095.9+800</f>
        <v>65895.899999999994</v>
      </c>
      <c r="J96" s="25">
        <f>2500.01+800</f>
        <v>3300.01</v>
      </c>
      <c r="K96" s="25">
        <f>132361.65+2200</f>
        <v>134561.65</v>
      </c>
      <c r="L96" s="25">
        <f>67265.76+2200-1000</f>
        <v>68465.759999999995</v>
      </c>
      <c r="M96" s="25">
        <f>30000+2200+3000</f>
        <v>35200</v>
      </c>
      <c r="N96" s="52">
        <f t="shared" si="36"/>
        <v>1.030924952483446E-3</v>
      </c>
      <c r="O96" s="55"/>
      <c r="P96" s="55"/>
    </row>
    <row r="97" spans="1:17" s="15" customFormat="1" x14ac:dyDescent="0.2">
      <c r="A97" s="10" t="s">
        <v>161</v>
      </c>
      <c r="B97" s="25">
        <v>0</v>
      </c>
      <c r="C97" s="25">
        <v>19820.099999999999</v>
      </c>
      <c r="D97" s="25">
        <v>19577.63</v>
      </c>
      <c r="E97" s="179">
        <v>19342.98</v>
      </c>
      <c r="F97" s="179">
        <v>26300.35</v>
      </c>
      <c r="G97" s="179">
        <v>35860.379999999997</v>
      </c>
      <c r="H97" s="25">
        <v>40296.239999999998</v>
      </c>
      <c r="I97" s="25">
        <v>39780.99</v>
      </c>
      <c r="J97" s="25">
        <v>39282.36</v>
      </c>
      <c r="K97" s="25">
        <v>38767.11</v>
      </c>
      <c r="L97" s="25">
        <v>38268.480000000003</v>
      </c>
      <c r="M97" s="25">
        <v>37753.230000000003</v>
      </c>
      <c r="N97" s="52">
        <f t="shared" si="36"/>
        <v>1.1057030353365514E-3</v>
      </c>
      <c r="O97" s="55"/>
      <c r="Q97" s="55"/>
    </row>
    <row r="98" spans="1:17" s="15" customFormat="1" x14ac:dyDescent="0.2">
      <c r="A98" s="10" t="s">
        <v>204</v>
      </c>
      <c r="B98" s="25"/>
      <c r="C98" s="25"/>
      <c r="D98" s="25"/>
      <c r="E98" s="179"/>
      <c r="F98" s="179"/>
      <c r="G98" s="179"/>
      <c r="H98" s="25"/>
      <c r="I98" s="25"/>
      <c r="J98" s="25">
        <v>11049.42</v>
      </c>
      <c r="K98" s="25">
        <v>9944.48</v>
      </c>
      <c r="L98" s="25">
        <v>8839.5400000000009</v>
      </c>
      <c r="M98" s="25">
        <v>7734.6</v>
      </c>
      <c r="N98" s="52">
        <f>+M98/$M$100</f>
        <v>2.2652818572381993E-4</v>
      </c>
      <c r="O98" s="55"/>
      <c r="Q98" s="55"/>
    </row>
    <row r="99" spans="1:17" s="15" customFormat="1" x14ac:dyDescent="0.2">
      <c r="A99" s="10" t="s">
        <v>166</v>
      </c>
      <c r="B99" s="25">
        <v>0</v>
      </c>
      <c r="C99" s="25">
        <v>0</v>
      </c>
      <c r="D99" s="25">
        <v>52800</v>
      </c>
      <c r="E99" s="179">
        <v>0</v>
      </c>
      <c r="F99" s="179">
        <v>0</v>
      </c>
      <c r="G99" s="179">
        <v>0</v>
      </c>
      <c r="H99" s="25">
        <v>16866.599999999999</v>
      </c>
      <c r="I99" s="25">
        <v>0</v>
      </c>
      <c r="J99" s="25">
        <v>0</v>
      </c>
      <c r="K99" s="25">
        <f>1159420+13.38</f>
        <v>1159433.3799999999</v>
      </c>
      <c r="L99" s="25">
        <v>0</v>
      </c>
      <c r="M99" s="25">
        <v>37391.129999999997</v>
      </c>
      <c r="N99" s="52">
        <f>+M99/$M$100</f>
        <v>1.0950979806406917E-3</v>
      </c>
      <c r="O99" s="55"/>
      <c r="Q99" s="55"/>
    </row>
    <row r="100" spans="1:17" ht="15" x14ac:dyDescent="0.25">
      <c r="A100" s="17" t="s">
        <v>3</v>
      </c>
      <c r="B100" s="100">
        <f t="shared" ref="B100:G100" si="44">+B96+B10+B7+B97+B99</f>
        <v>11420032.722420093</v>
      </c>
      <c r="C100" s="100">
        <f t="shared" si="44"/>
        <v>11418909.093333332</v>
      </c>
      <c r="D100" s="100">
        <f t="shared" si="44"/>
        <v>11428053.440000001</v>
      </c>
      <c r="E100" s="180">
        <f t="shared" si="44"/>
        <v>14967583.189999999</v>
      </c>
      <c r="F100" s="180">
        <f t="shared" si="44"/>
        <v>17004052.830000006</v>
      </c>
      <c r="G100" s="180">
        <f t="shared" si="44"/>
        <v>20281772.069999997</v>
      </c>
      <c r="H100" s="100">
        <f>+H96+H10+H7+H97+H99+H95</f>
        <v>22214753.109999999</v>
      </c>
      <c r="I100" s="100">
        <f>+I96+I10+I7+I97+I99+I95</f>
        <v>22274127.290000003</v>
      </c>
      <c r="J100" s="100">
        <f>+J96+J10+J7+J97+J99+J95+J98</f>
        <v>23673159.060000006</v>
      </c>
      <c r="K100" s="100">
        <f>+K96+K10+K7+K97+K99+K95+K98</f>
        <v>28335297.149999999</v>
      </c>
      <c r="L100" s="100">
        <f>+L96+L10+L7+L97+L99+L95+L98</f>
        <v>28398623.000000004</v>
      </c>
      <c r="M100" s="100">
        <f>+M96+M10+M7+M97+M99+M95+M98</f>
        <v>34144095.470000006</v>
      </c>
      <c r="N100" s="47">
        <f>+M100/$M$100</f>
        <v>1</v>
      </c>
      <c r="O100" s="71">
        <v>34106343</v>
      </c>
      <c r="P100" s="71"/>
    </row>
    <row r="101" spans="1:17" x14ac:dyDescent="0.2">
      <c r="A101" s="3"/>
      <c r="B101" s="73"/>
      <c r="C101" s="73"/>
      <c r="D101" s="73"/>
      <c r="E101" s="181"/>
      <c r="F101" s="181"/>
      <c r="G101" s="181"/>
      <c r="H101" s="73"/>
      <c r="I101" s="73"/>
      <c r="J101" s="73"/>
      <c r="K101" s="73"/>
      <c r="L101" s="73"/>
      <c r="M101" s="73"/>
      <c r="N101" s="83"/>
      <c r="O101" s="71">
        <f>+O100-M100</f>
        <v>-37752.470000006258</v>
      </c>
      <c r="P101" s="71"/>
    </row>
    <row r="102" spans="1:17" x14ac:dyDescent="0.2">
      <c r="A102" s="19" t="s">
        <v>4</v>
      </c>
      <c r="B102" s="21"/>
      <c r="C102" s="21"/>
      <c r="D102" s="21"/>
      <c r="E102" s="172"/>
      <c r="F102" s="172"/>
      <c r="G102" s="172"/>
      <c r="H102" s="21"/>
      <c r="I102" s="21"/>
      <c r="J102" s="21"/>
      <c r="K102" s="21"/>
      <c r="L102" s="21"/>
      <c r="M102" s="21"/>
      <c r="N102" s="41"/>
    </row>
    <row r="103" spans="1:17" x14ac:dyDescent="0.2">
      <c r="A103" s="22"/>
      <c r="B103" s="21"/>
      <c r="C103" s="21"/>
      <c r="D103" s="21"/>
      <c r="E103" s="172"/>
      <c r="F103" s="172"/>
      <c r="G103" s="172"/>
      <c r="H103" s="21"/>
      <c r="I103" s="21"/>
      <c r="J103" s="21"/>
      <c r="K103" s="21"/>
      <c r="L103" s="21"/>
      <c r="M103" s="21"/>
      <c r="N103" s="41"/>
    </row>
    <row r="104" spans="1:17" x14ac:dyDescent="0.2">
      <c r="A104" s="23" t="s">
        <v>23</v>
      </c>
      <c r="B104" s="25"/>
      <c r="C104" s="25"/>
      <c r="D104" s="25"/>
      <c r="E104" s="179"/>
      <c r="F104" s="179"/>
      <c r="G104" s="179"/>
      <c r="H104" s="25"/>
      <c r="I104" s="25"/>
      <c r="J104" s="25"/>
      <c r="K104" s="25"/>
      <c r="L104" s="25"/>
      <c r="M104" s="25"/>
      <c r="N104" s="52"/>
    </row>
    <row r="105" spans="1:17" s="16" customFormat="1" x14ac:dyDescent="0.2">
      <c r="A105" s="22" t="s">
        <v>20</v>
      </c>
      <c r="B105" s="25">
        <f>+SUM(B106:B110)</f>
        <v>12733</v>
      </c>
      <c r="C105" s="25">
        <f>+SUM(C106:C110)</f>
        <v>16983</v>
      </c>
      <c r="D105" s="25">
        <f>+SUM(D106:D110)</f>
        <v>18733</v>
      </c>
      <c r="E105" s="179">
        <f>+SUM(E106:E110)</f>
        <v>34847.800000000003</v>
      </c>
      <c r="F105" s="179">
        <f>+SUM(F106:F110)</f>
        <v>35329.910000000003</v>
      </c>
      <c r="G105" s="179">
        <f>+SUM(G106:G111)</f>
        <v>49240.990000000005</v>
      </c>
      <c r="H105" s="25">
        <f>+SUM(H106:H111)</f>
        <v>42733</v>
      </c>
      <c r="I105" s="25">
        <f>+SUM(I106:I112)</f>
        <v>48087.94</v>
      </c>
      <c r="J105" s="25">
        <f>+SUM(J106:J112)</f>
        <v>51733</v>
      </c>
      <c r="K105" s="25">
        <f>+SUM(K106:K112)</f>
        <v>55983</v>
      </c>
      <c r="L105" s="25">
        <f>+SUM(L106:L112)</f>
        <v>67233</v>
      </c>
      <c r="M105" s="25">
        <f>+SUM(M106:M113)</f>
        <v>49057</v>
      </c>
      <c r="N105" s="52">
        <f>+M105/$M$151</f>
        <v>1.4367637900225107E-3</v>
      </c>
    </row>
    <row r="106" spans="1:17" s="16" customFormat="1" ht="12.75" hidden="1" x14ac:dyDescent="0.2">
      <c r="A106" s="24" t="s">
        <v>21</v>
      </c>
      <c r="B106" s="79">
        <v>0</v>
      </c>
      <c r="C106" s="79"/>
      <c r="D106" s="79"/>
      <c r="E106" s="176"/>
      <c r="F106" s="176"/>
      <c r="G106" s="176"/>
      <c r="H106" s="79"/>
      <c r="I106" s="79"/>
      <c r="J106" s="79"/>
      <c r="K106" s="79"/>
      <c r="L106" s="79"/>
      <c r="M106" s="79"/>
      <c r="N106" s="53">
        <f>+B106/$B$151</f>
        <v>0</v>
      </c>
    </row>
    <row r="107" spans="1:17" s="16" customFormat="1" ht="12.75" x14ac:dyDescent="0.2">
      <c r="A107" s="24" t="s">
        <v>34</v>
      </c>
      <c r="B107" s="79">
        <v>11233</v>
      </c>
      <c r="C107" s="79">
        <v>14983</v>
      </c>
      <c r="D107" s="79">
        <v>18733</v>
      </c>
      <c r="E107" s="176">
        <v>22483</v>
      </c>
      <c r="F107" s="176">
        <v>26233</v>
      </c>
      <c r="G107" s="176">
        <v>29983</v>
      </c>
      <c r="H107" s="79">
        <v>33733</v>
      </c>
      <c r="I107" s="79">
        <v>37483</v>
      </c>
      <c r="J107" s="79">
        <v>41233</v>
      </c>
      <c r="K107" s="79">
        <v>44983</v>
      </c>
      <c r="L107" s="79">
        <v>48733</v>
      </c>
      <c r="M107" s="79">
        <v>31000</v>
      </c>
      <c r="N107" s="53">
        <f t="shared" ref="N107:N115" si="45">+M107/$M$151</f>
        <v>9.0791686182803335E-4</v>
      </c>
      <c r="O107" s="137"/>
    </row>
    <row r="108" spans="1:17" s="16" customFormat="1" ht="12.75" x14ac:dyDescent="0.2">
      <c r="A108" s="13" t="s">
        <v>124</v>
      </c>
      <c r="B108" s="79">
        <v>1500</v>
      </c>
      <c r="C108" s="79">
        <v>2000</v>
      </c>
      <c r="D108" s="79">
        <v>0</v>
      </c>
      <c r="E108" s="176">
        <v>500</v>
      </c>
      <c r="F108" s="176">
        <v>1000</v>
      </c>
      <c r="G108" s="176">
        <v>1500</v>
      </c>
      <c r="H108" s="79">
        <v>1500</v>
      </c>
      <c r="I108" s="79">
        <v>2000</v>
      </c>
      <c r="J108" s="79">
        <v>3000</v>
      </c>
      <c r="K108" s="79">
        <v>3500</v>
      </c>
      <c r="L108" s="79">
        <v>1000</v>
      </c>
      <c r="M108" s="79">
        <v>1000</v>
      </c>
      <c r="N108" s="53">
        <f t="shared" si="45"/>
        <v>2.9287640704130107E-5</v>
      </c>
    </row>
    <row r="109" spans="1:17" s="16" customFormat="1" ht="12.75" x14ac:dyDescent="0.2">
      <c r="A109" s="13" t="s">
        <v>184</v>
      </c>
      <c r="B109" s="79">
        <v>0</v>
      </c>
      <c r="C109" s="79">
        <v>0</v>
      </c>
      <c r="D109" s="79">
        <v>0</v>
      </c>
      <c r="E109" s="176">
        <v>0</v>
      </c>
      <c r="F109" s="176">
        <v>0</v>
      </c>
      <c r="G109" s="176">
        <v>12500</v>
      </c>
      <c r="H109" s="79">
        <v>7500</v>
      </c>
      <c r="I109" s="79">
        <v>7500</v>
      </c>
      <c r="J109" s="79">
        <v>7500</v>
      </c>
      <c r="K109" s="79">
        <v>7500</v>
      </c>
      <c r="L109" s="79">
        <v>17500</v>
      </c>
      <c r="M109" s="79">
        <v>15000</v>
      </c>
      <c r="N109" s="53">
        <f t="shared" si="45"/>
        <v>4.3931461056195159E-4</v>
      </c>
      <c r="O109" s="36">
        <f>+L109-M109</f>
        <v>2500</v>
      </c>
    </row>
    <row r="110" spans="1:17" s="16" customFormat="1" ht="12.75" x14ac:dyDescent="0.2">
      <c r="A110" s="24" t="s">
        <v>185</v>
      </c>
      <c r="B110" s="79">
        <v>0</v>
      </c>
      <c r="C110" s="79">
        <v>0</v>
      </c>
      <c r="D110" s="79">
        <v>0</v>
      </c>
      <c r="E110" s="176">
        <v>11864.8</v>
      </c>
      <c r="F110" s="176">
        <v>8096.91</v>
      </c>
      <c r="G110" s="176">
        <v>1249.9100000000001</v>
      </c>
      <c r="H110" s="79">
        <v>0</v>
      </c>
      <c r="I110" s="79">
        <v>0</v>
      </c>
      <c r="J110" s="79">
        <v>0</v>
      </c>
      <c r="K110" s="79">
        <v>0</v>
      </c>
      <c r="L110" s="79">
        <v>0</v>
      </c>
      <c r="M110" s="155">
        <v>440</v>
      </c>
      <c r="N110" s="53">
        <f t="shared" si="45"/>
        <v>1.2886561909817246E-5</v>
      </c>
    </row>
    <row r="111" spans="1:17" s="16" customFormat="1" ht="12.75" x14ac:dyDescent="0.2">
      <c r="A111" s="24" t="s">
        <v>186</v>
      </c>
      <c r="B111" s="79">
        <v>0</v>
      </c>
      <c r="C111" s="79">
        <v>0</v>
      </c>
      <c r="D111" s="79">
        <v>0</v>
      </c>
      <c r="E111" s="176">
        <v>0</v>
      </c>
      <c r="F111" s="176">
        <v>0</v>
      </c>
      <c r="G111" s="176">
        <v>4008.08</v>
      </c>
      <c r="H111" s="79">
        <v>0</v>
      </c>
      <c r="I111" s="79">
        <v>0</v>
      </c>
      <c r="J111" s="79">
        <v>0</v>
      </c>
      <c r="K111" s="79">
        <v>0</v>
      </c>
      <c r="L111" s="79">
        <v>0</v>
      </c>
      <c r="M111" s="79">
        <v>0</v>
      </c>
      <c r="N111" s="53">
        <f t="shared" si="45"/>
        <v>0</v>
      </c>
    </row>
    <row r="112" spans="1:17" s="16" customFormat="1" ht="12.75" x14ac:dyDescent="0.2">
      <c r="A112" s="24" t="s">
        <v>198</v>
      </c>
      <c r="B112" s="79">
        <v>0</v>
      </c>
      <c r="C112" s="79">
        <v>0</v>
      </c>
      <c r="D112" s="79">
        <v>0</v>
      </c>
      <c r="E112" s="176">
        <v>0</v>
      </c>
      <c r="F112" s="176">
        <v>0</v>
      </c>
      <c r="G112" s="176">
        <v>0</v>
      </c>
      <c r="H112" s="79">
        <v>0</v>
      </c>
      <c r="I112" s="79">
        <v>1104.94</v>
      </c>
      <c r="J112" s="79">
        <v>0</v>
      </c>
      <c r="K112" s="79">
        <v>0</v>
      </c>
      <c r="L112" s="79">
        <v>0</v>
      </c>
      <c r="M112" s="79">
        <v>0</v>
      </c>
      <c r="N112" s="53">
        <f t="shared" si="45"/>
        <v>0</v>
      </c>
    </row>
    <row r="113" spans="1:17" s="16" customFormat="1" ht="12.75" x14ac:dyDescent="0.2">
      <c r="A113" s="24" t="s">
        <v>219</v>
      </c>
      <c r="B113" s="79">
        <v>0</v>
      </c>
      <c r="C113" s="79">
        <v>0</v>
      </c>
      <c r="D113" s="79">
        <v>0</v>
      </c>
      <c r="E113" s="176">
        <v>0</v>
      </c>
      <c r="F113" s="176">
        <v>0</v>
      </c>
      <c r="G113" s="176">
        <v>0</v>
      </c>
      <c r="H113" s="79">
        <v>0</v>
      </c>
      <c r="I113" s="79">
        <v>0</v>
      </c>
      <c r="J113" s="79">
        <v>0</v>
      </c>
      <c r="K113" s="79">
        <v>0</v>
      </c>
      <c r="L113" s="79">
        <v>0</v>
      </c>
      <c r="M113" s="79">
        <v>1617</v>
      </c>
      <c r="N113" s="53">
        <f t="shared" si="45"/>
        <v>4.7358115018578384E-5</v>
      </c>
    </row>
    <row r="114" spans="1:17" s="16" customFormat="1" x14ac:dyDescent="0.2">
      <c r="A114" s="10" t="s">
        <v>159</v>
      </c>
      <c r="B114" s="25">
        <v>0</v>
      </c>
      <c r="C114" s="25">
        <f>1277.78</f>
        <v>1277.78</v>
      </c>
      <c r="D114" s="25">
        <f>1277.78+1972.22+35.2</f>
        <v>3285.2</v>
      </c>
      <c r="E114" s="179">
        <f>1277.78+2902.77+123.19</f>
        <v>4303.74</v>
      </c>
      <c r="F114" s="179">
        <v>4590.2700000000004</v>
      </c>
      <c r="G114" s="179">
        <v>611.1</v>
      </c>
      <c r="H114" s="25">
        <v>1388.88</v>
      </c>
      <c r="I114" s="25">
        <v>1819.44</v>
      </c>
      <c r="J114" s="25">
        <v>2027.77</v>
      </c>
      <c r="K114" s="25">
        <v>2027.77</v>
      </c>
      <c r="L114" s="25">
        <v>2027.77</v>
      </c>
      <c r="M114" s="25">
        <v>0</v>
      </c>
      <c r="N114" s="52">
        <f t="shared" si="45"/>
        <v>0</v>
      </c>
      <c r="Q114" s="142"/>
    </row>
    <row r="115" spans="1:17" s="16" customFormat="1" x14ac:dyDescent="0.2">
      <c r="A115" s="10" t="s">
        <v>207</v>
      </c>
      <c r="B115" s="25">
        <v>0</v>
      </c>
      <c r="C115" s="25">
        <v>0</v>
      </c>
      <c r="D115" s="25">
        <v>0</v>
      </c>
      <c r="E115" s="179">
        <v>0</v>
      </c>
      <c r="F115" s="179">
        <v>0</v>
      </c>
      <c r="G115" s="179">
        <v>0</v>
      </c>
      <c r="H115" s="25">
        <v>0</v>
      </c>
      <c r="I115" s="25">
        <v>0</v>
      </c>
      <c r="J115" s="25">
        <v>253152.28</v>
      </c>
      <c r="K115" s="25">
        <v>316705.65000000002</v>
      </c>
      <c r="L115" s="25">
        <v>316705.65000000002</v>
      </c>
      <c r="M115" s="25">
        <v>292542.59000000003</v>
      </c>
      <c r="N115" s="52">
        <f t="shared" si="45"/>
        <v>8.5678822665756459E-3</v>
      </c>
      <c r="Q115" s="142"/>
    </row>
    <row r="116" spans="1:17" s="16" customFormat="1" x14ac:dyDescent="0.2">
      <c r="A116" s="3"/>
      <c r="B116" s="25"/>
      <c r="C116" s="25"/>
      <c r="D116" s="25"/>
      <c r="E116" s="179"/>
      <c r="F116" s="179"/>
      <c r="G116" s="179"/>
      <c r="H116" s="25"/>
      <c r="I116" s="25"/>
      <c r="J116" s="25"/>
      <c r="K116" s="25"/>
      <c r="L116" s="25"/>
      <c r="M116" s="25"/>
      <c r="N116" s="52"/>
      <c r="Q116" s="142"/>
    </row>
    <row r="117" spans="1:17" x14ac:dyDescent="0.2">
      <c r="B117" s="148"/>
      <c r="C117" s="148"/>
      <c r="D117" s="148"/>
      <c r="E117" s="182"/>
      <c r="F117" s="182"/>
      <c r="G117" s="182"/>
      <c r="H117" s="148"/>
      <c r="I117" s="148"/>
      <c r="J117" s="148"/>
      <c r="K117" s="148"/>
      <c r="L117" s="148"/>
      <c r="M117" s="148"/>
      <c r="N117" s="150"/>
      <c r="O117" s="54"/>
    </row>
    <row r="118" spans="1:17" s="16" customFormat="1" x14ac:dyDescent="0.2">
      <c r="A118" s="3" t="s">
        <v>172</v>
      </c>
      <c r="B118" s="25"/>
      <c r="C118" s="25"/>
      <c r="D118" s="25"/>
      <c r="E118" s="179"/>
      <c r="F118" s="179"/>
      <c r="G118" s="179"/>
      <c r="H118" s="25"/>
      <c r="I118" s="25"/>
      <c r="J118" s="25"/>
      <c r="K118" s="25"/>
      <c r="L118" s="25"/>
      <c r="M118" s="25"/>
      <c r="N118" s="52"/>
      <c r="Q118" s="142"/>
    </row>
    <row r="119" spans="1:17" s="16" customFormat="1" x14ac:dyDescent="0.2">
      <c r="A119" s="145" t="s">
        <v>175</v>
      </c>
      <c r="B119" s="25">
        <f t="shared" ref="B119:G119" si="46">+B120+B123</f>
        <v>0</v>
      </c>
      <c r="C119" s="25">
        <f t="shared" si="46"/>
        <v>0</v>
      </c>
      <c r="D119" s="25">
        <f t="shared" si="46"/>
        <v>0</v>
      </c>
      <c r="E119" s="179">
        <f t="shared" si="46"/>
        <v>3516333.3333333335</v>
      </c>
      <c r="F119" s="179">
        <f t="shared" si="46"/>
        <v>5539916.6600000001</v>
      </c>
      <c r="G119" s="179">
        <f t="shared" si="46"/>
        <v>5500000</v>
      </c>
      <c r="H119" s="25">
        <f>+H120+H123+H126</f>
        <v>7538416.6600000001</v>
      </c>
      <c r="I119" s="25">
        <f>+I120+I123+I126</f>
        <v>7577166.6500000004</v>
      </c>
      <c r="J119" s="25">
        <f>+J120+J123+J126+J129</f>
        <v>8617166.6500000004</v>
      </c>
      <c r="K119" s="25">
        <f>+K120+K123+K126+K129</f>
        <v>8661083.3100000005</v>
      </c>
      <c r="L119" s="25">
        <f>+L120+L123+L126+L129</f>
        <v>8703583.3100000005</v>
      </c>
      <c r="M119" s="25">
        <f>+M120+M123+M126+M129</f>
        <v>8507000</v>
      </c>
      <c r="N119" s="52">
        <f>+M119/$M$151</f>
        <v>0.24914995947003482</v>
      </c>
      <c r="O119" s="36">
        <f>+M119-M97</f>
        <v>8469246.7699999996</v>
      </c>
      <c r="Q119" s="142"/>
    </row>
    <row r="120" spans="1:17" s="16" customFormat="1" x14ac:dyDescent="0.2">
      <c r="A120" s="16" t="s">
        <v>173</v>
      </c>
      <c r="B120" s="25">
        <v>0</v>
      </c>
      <c r="C120" s="25">
        <v>0</v>
      </c>
      <c r="D120" s="25">
        <v>0</v>
      </c>
      <c r="E120" s="183">
        <f t="shared" ref="E120:J120" si="47">+E121+E122</f>
        <v>3516333.3333333335</v>
      </c>
      <c r="F120" s="183">
        <f t="shared" si="47"/>
        <v>4035916.66</v>
      </c>
      <c r="G120" s="183">
        <f t="shared" si="47"/>
        <v>4000000</v>
      </c>
      <c r="H120" s="125">
        <f t="shared" si="47"/>
        <v>4020666.66</v>
      </c>
      <c r="I120" s="125">
        <f t="shared" si="47"/>
        <v>4041333.32</v>
      </c>
      <c r="J120" s="125">
        <f t="shared" si="47"/>
        <v>4061333.32</v>
      </c>
      <c r="K120" s="125">
        <f>+K121+K122</f>
        <v>4081999.98</v>
      </c>
      <c r="L120" s="125">
        <f>+L121+L122</f>
        <v>4101999.98</v>
      </c>
      <c r="M120" s="125">
        <f>+M121+M122</f>
        <v>4000000</v>
      </c>
      <c r="N120" s="52">
        <f>+M120/$M$151</f>
        <v>0.11715056281652042</v>
      </c>
      <c r="Q120" s="142"/>
    </row>
    <row r="121" spans="1:17" s="16" customFormat="1" x14ac:dyDescent="0.2">
      <c r="A121" s="146" t="s">
        <v>32</v>
      </c>
      <c r="B121" s="25">
        <v>0</v>
      </c>
      <c r="C121" s="25">
        <v>0</v>
      </c>
      <c r="D121" s="25">
        <v>0</v>
      </c>
      <c r="E121" s="184">
        <v>3500000</v>
      </c>
      <c r="F121" s="184">
        <v>4000000</v>
      </c>
      <c r="G121" s="184">
        <v>4000000</v>
      </c>
      <c r="H121" s="147">
        <v>4000000</v>
      </c>
      <c r="I121" s="147">
        <v>4000000</v>
      </c>
      <c r="J121" s="147">
        <v>4000000</v>
      </c>
      <c r="K121" s="147">
        <v>4000000</v>
      </c>
      <c r="L121" s="147">
        <v>4000000</v>
      </c>
      <c r="M121" s="147">
        <v>4000000</v>
      </c>
      <c r="N121" s="53">
        <f>+M121/$M$151</f>
        <v>0.11715056281652042</v>
      </c>
      <c r="Q121" s="142"/>
    </row>
    <row r="122" spans="1:17" s="16" customFormat="1" x14ac:dyDescent="0.2">
      <c r="A122" s="146" t="s">
        <v>22</v>
      </c>
      <c r="B122" s="25">
        <v>0</v>
      </c>
      <c r="C122" s="25">
        <v>0</v>
      </c>
      <c r="D122" s="25">
        <v>0</v>
      </c>
      <c r="E122" s="184">
        <v>16333.333333333334</v>
      </c>
      <c r="F122" s="184">
        <v>35916.660000000003</v>
      </c>
      <c r="G122" s="184">
        <v>0</v>
      </c>
      <c r="H122" s="147">
        <v>20666.66</v>
      </c>
      <c r="I122" s="147">
        <v>41333.32</v>
      </c>
      <c r="J122" s="147">
        <v>61333.32</v>
      </c>
      <c r="K122" s="147">
        <v>81999.98</v>
      </c>
      <c r="L122" s="147">
        <v>101999.98</v>
      </c>
      <c r="M122" s="147">
        <v>0</v>
      </c>
      <c r="N122" s="53">
        <f>+M122/$M$151</f>
        <v>0</v>
      </c>
      <c r="Q122" s="142"/>
    </row>
    <row r="123" spans="1:17" s="16" customFormat="1" x14ac:dyDescent="0.2">
      <c r="A123" s="16" t="s">
        <v>180</v>
      </c>
      <c r="B123" s="25">
        <f>+B124+B125</f>
        <v>0</v>
      </c>
      <c r="C123" s="25">
        <f t="shared" ref="C123:J123" si="48">+C124+C125</f>
        <v>0</v>
      </c>
      <c r="D123" s="25">
        <f t="shared" si="48"/>
        <v>0</v>
      </c>
      <c r="E123" s="179">
        <f t="shared" si="48"/>
        <v>0</v>
      </c>
      <c r="F123" s="183">
        <f t="shared" si="48"/>
        <v>1504000</v>
      </c>
      <c r="G123" s="183">
        <f t="shared" si="48"/>
        <v>1500000</v>
      </c>
      <c r="H123" s="125">
        <f t="shared" si="48"/>
        <v>1507750</v>
      </c>
      <c r="I123" s="125">
        <f t="shared" si="48"/>
        <v>1515500</v>
      </c>
      <c r="J123" s="125">
        <f t="shared" si="48"/>
        <v>1523000</v>
      </c>
      <c r="K123" s="125">
        <f>+K124+K125</f>
        <v>1530750</v>
      </c>
      <c r="L123" s="125">
        <f>+L124+L125</f>
        <v>1538250</v>
      </c>
      <c r="M123" s="125">
        <f>+M124+M125</f>
        <v>1500000</v>
      </c>
      <c r="N123" s="52">
        <f t="shared" ref="N123:N131" si="49">+M123/$M$151</f>
        <v>4.3931461056195158E-2</v>
      </c>
      <c r="Q123" s="142"/>
    </row>
    <row r="124" spans="1:17" s="16" customFormat="1" x14ac:dyDescent="0.2">
      <c r="A124" s="146" t="s">
        <v>32</v>
      </c>
      <c r="B124" s="25">
        <v>0</v>
      </c>
      <c r="C124" s="25">
        <v>0</v>
      </c>
      <c r="D124" s="25">
        <v>0</v>
      </c>
      <c r="E124" s="184">
        <v>0</v>
      </c>
      <c r="F124" s="184">
        <v>1500000</v>
      </c>
      <c r="G124" s="184">
        <v>1500000</v>
      </c>
      <c r="H124" s="147">
        <v>1500000</v>
      </c>
      <c r="I124" s="147">
        <v>1500000</v>
      </c>
      <c r="J124" s="147">
        <v>1500000</v>
      </c>
      <c r="K124" s="147">
        <v>1500000</v>
      </c>
      <c r="L124" s="147">
        <v>1500000</v>
      </c>
      <c r="M124" s="147">
        <v>1500000</v>
      </c>
      <c r="N124" s="53">
        <f t="shared" si="49"/>
        <v>4.3931461056195158E-2</v>
      </c>
      <c r="Q124" s="142"/>
    </row>
    <row r="125" spans="1:17" s="16" customFormat="1" x14ac:dyDescent="0.2">
      <c r="A125" s="146" t="s">
        <v>22</v>
      </c>
      <c r="B125" s="25">
        <v>0</v>
      </c>
      <c r="C125" s="25">
        <v>0</v>
      </c>
      <c r="D125" s="25">
        <v>0</v>
      </c>
      <c r="E125" s="184">
        <v>0</v>
      </c>
      <c r="F125" s="184">
        <v>4000</v>
      </c>
      <c r="G125" s="184">
        <v>0</v>
      </c>
      <c r="H125" s="147">
        <v>7750</v>
      </c>
      <c r="I125" s="147">
        <v>15500</v>
      </c>
      <c r="J125" s="147">
        <v>23000</v>
      </c>
      <c r="K125" s="147">
        <v>30750</v>
      </c>
      <c r="L125" s="147">
        <v>38250</v>
      </c>
      <c r="M125" s="147">
        <v>0</v>
      </c>
      <c r="N125" s="53">
        <f t="shared" si="49"/>
        <v>0</v>
      </c>
      <c r="Q125" s="142"/>
    </row>
    <row r="126" spans="1:17" s="16" customFormat="1" x14ac:dyDescent="0.2">
      <c r="A126" s="16" t="s">
        <v>16</v>
      </c>
      <c r="B126" s="25">
        <f>+B127+B128</f>
        <v>0</v>
      </c>
      <c r="C126" s="25">
        <f t="shared" ref="C126:J126" si="50">+C127+C128</f>
        <v>0</v>
      </c>
      <c r="D126" s="25">
        <f t="shared" si="50"/>
        <v>0</v>
      </c>
      <c r="E126" s="179">
        <f t="shared" si="50"/>
        <v>0</v>
      </c>
      <c r="F126" s="183">
        <f t="shared" si="50"/>
        <v>0</v>
      </c>
      <c r="G126" s="183">
        <f t="shared" si="50"/>
        <v>0</v>
      </c>
      <c r="H126" s="125">
        <f t="shared" si="50"/>
        <v>2010000</v>
      </c>
      <c r="I126" s="125">
        <f t="shared" si="50"/>
        <v>2020333.33</v>
      </c>
      <c r="J126" s="125">
        <f t="shared" si="50"/>
        <v>2030333.33</v>
      </c>
      <c r="K126" s="125">
        <f>+K127+K128</f>
        <v>2040666.66</v>
      </c>
      <c r="L126" s="125">
        <f>+L127+L128</f>
        <v>2050666.66</v>
      </c>
      <c r="M126" s="125">
        <f>+M127+M128</f>
        <v>2007000</v>
      </c>
      <c r="N126" s="52">
        <f t="shared" si="49"/>
        <v>5.8780294893189124E-2</v>
      </c>
      <c r="Q126" s="142"/>
    </row>
    <row r="127" spans="1:17" s="16" customFormat="1" x14ac:dyDescent="0.2">
      <c r="A127" s="146" t="s">
        <v>32</v>
      </c>
      <c r="B127" s="25">
        <v>0</v>
      </c>
      <c r="C127" s="25">
        <v>0</v>
      </c>
      <c r="D127" s="25">
        <v>0</v>
      </c>
      <c r="E127" s="184">
        <v>0</v>
      </c>
      <c r="F127" s="184">
        <v>0</v>
      </c>
      <c r="G127" s="184">
        <v>0</v>
      </c>
      <c r="H127" s="147">
        <v>2000000</v>
      </c>
      <c r="I127" s="147">
        <v>2000000</v>
      </c>
      <c r="J127" s="147">
        <v>2000000</v>
      </c>
      <c r="K127" s="147">
        <v>2000000</v>
      </c>
      <c r="L127" s="147">
        <v>2000000</v>
      </c>
      <c r="M127" s="147">
        <v>2000000</v>
      </c>
      <c r="N127" s="53">
        <f t="shared" si="49"/>
        <v>5.857528140826021E-2</v>
      </c>
      <c r="Q127" s="142"/>
    </row>
    <row r="128" spans="1:17" s="16" customFormat="1" x14ac:dyDescent="0.2">
      <c r="A128" s="146" t="s">
        <v>22</v>
      </c>
      <c r="B128" s="25">
        <v>0</v>
      </c>
      <c r="C128" s="25">
        <v>0</v>
      </c>
      <c r="D128" s="25">
        <v>0</v>
      </c>
      <c r="E128" s="184">
        <v>0</v>
      </c>
      <c r="F128" s="184">
        <v>0</v>
      </c>
      <c r="G128" s="184">
        <v>0</v>
      </c>
      <c r="H128" s="147">
        <v>10000</v>
      </c>
      <c r="I128" s="147">
        <v>20333.330000000002</v>
      </c>
      <c r="J128" s="147">
        <v>30333.33</v>
      </c>
      <c r="K128" s="147">
        <v>40666.660000000003</v>
      </c>
      <c r="L128" s="147">
        <v>50666.66</v>
      </c>
      <c r="M128" s="147">
        <v>7000</v>
      </c>
      <c r="N128" s="53">
        <f t="shared" si="49"/>
        <v>2.0501348492891076E-4</v>
      </c>
      <c r="Q128" s="142"/>
    </row>
    <row r="129" spans="1:17" s="16" customFormat="1" x14ac:dyDescent="0.2">
      <c r="A129" s="16" t="s">
        <v>37</v>
      </c>
      <c r="B129" s="25">
        <f>+B130+B131</f>
        <v>0</v>
      </c>
      <c r="C129" s="25">
        <f t="shared" ref="C129:J129" si="51">+C130+C131</f>
        <v>0</v>
      </c>
      <c r="D129" s="25">
        <f t="shared" si="51"/>
        <v>0</v>
      </c>
      <c r="E129" s="179">
        <f t="shared" si="51"/>
        <v>0</v>
      </c>
      <c r="F129" s="183">
        <f t="shared" si="51"/>
        <v>0</v>
      </c>
      <c r="G129" s="183">
        <f t="shared" si="51"/>
        <v>0</v>
      </c>
      <c r="H129" s="125">
        <f t="shared" si="51"/>
        <v>0</v>
      </c>
      <c r="I129" s="125">
        <f t="shared" si="51"/>
        <v>0</v>
      </c>
      <c r="J129" s="125">
        <f t="shared" si="51"/>
        <v>1002500</v>
      </c>
      <c r="K129" s="125">
        <f>+K130+K131</f>
        <v>1007666.67</v>
      </c>
      <c r="L129" s="125">
        <f>+L130+L131</f>
        <v>1012666.67</v>
      </c>
      <c r="M129" s="125">
        <f>+M130+M131</f>
        <v>1000000</v>
      </c>
      <c r="N129" s="52">
        <f t="shared" si="49"/>
        <v>2.9287640704130105E-2</v>
      </c>
      <c r="Q129" s="142"/>
    </row>
    <row r="130" spans="1:17" s="16" customFormat="1" x14ac:dyDescent="0.2">
      <c r="A130" s="146" t="s">
        <v>32</v>
      </c>
      <c r="B130" s="25">
        <v>0</v>
      </c>
      <c r="C130" s="25">
        <v>0</v>
      </c>
      <c r="D130" s="25">
        <v>0</v>
      </c>
      <c r="E130" s="184">
        <v>0</v>
      </c>
      <c r="F130" s="184">
        <v>0</v>
      </c>
      <c r="G130" s="184">
        <v>0</v>
      </c>
      <c r="H130" s="147">
        <v>0</v>
      </c>
      <c r="I130" s="147">
        <v>0</v>
      </c>
      <c r="J130" s="147">
        <v>1000000</v>
      </c>
      <c r="K130" s="147">
        <v>1000000</v>
      </c>
      <c r="L130" s="147">
        <v>1000000</v>
      </c>
      <c r="M130" s="147">
        <v>1000000</v>
      </c>
      <c r="N130" s="53">
        <f t="shared" si="49"/>
        <v>2.9287640704130105E-2</v>
      </c>
      <c r="Q130" s="142"/>
    </row>
    <row r="131" spans="1:17" s="16" customFormat="1" x14ac:dyDescent="0.2">
      <c r="A131" s="146" t="s">
        <v>22</v>
      </c>
      <c r="B131" s="25">
        <v>0</v>
      </c>
      <c r="C131" s="25">
        <v>0</v>
      </c>
      <c r="D131" s="25">
        <v>0</v>
      </c>
      <c r="E131" s="184">
        <v>0</v>
      </c>
      <c r="F131" s="184">
        <v>0</v>
      </c>
      <c r="G131" s="184">
        <v>0</v>
      </c>
      <c r="H131" s="147">
        <v>0</v>
      </c>
      <c r="I131" s="147">
        <v>0</v>
      </c>
      <c r="J131" s="147">
        <v>2500</v>
      </c>
      <c r="K131" s="147">
        <v>7666.67</v>
      </c>
      <c r="L131" s="147">
        <v>12666.67</v>
      </c>
      <c r="M131" s="147">
        <v>0</v>
      </c>
      <c r="N131" s="53">
        <f t="shared" si="49"/>
        <v>0</v>
      </c>
      <c r="Q131" s="142"/>
    </row>
    <row r="132" spans="1:17" ht="15" x14ac:dyDescent="0.25">
      <c r="A132" s="26" t="s">
        <v>5</v>
      </c>
      <c r="B132" s="18">
        <f t="shared" ref="B132:I132" si="52">+B105+B114+B119</f>
        <v>12733</v>
      </c>
      <c r="C132" s="18">
        <f t="shared" si="52"/>
        <v>18260.78</v>
      </c>
      <c r="D132" s="18">
        <f t="shared" si="52"/>
        <v>22018.2</v>
      </c>
      <c r="E132" s="185">
        <f t="shared" si="52"/>
        <v>3555484.8733333335</v>
      </c>
      <c r="F132" s="185">
        <f t="shared" si="52"/>
        <v>5579836.8399999999</v>
      </c>
      <c r="G132" s="185">
        <f t="shared" si="52"/>
        <v>5549852.0899999999</v>
      </c>
      <c r="H132" s="18">
        <f t="shared" si="52"/>
        <v>7582538.54</v>
      </c>
      <c r="I132" s="18">
        <f t="shared" si="52"/>
        <v>7627074.0300000003</v>
      </c>
      <c r="J132" s="18">
        <f>+J105+J114+J119+J115</f>
        <v>8924079.6999999993</v>
      </c>
      <c r="K132" s="18">
        <f>+K105+K114+K119+K115</f>
        <v>9035799.7300000004</v>
      </c>
      <c r="L132" s="18">
        <f>+L105+L114+L119+L115</f>
        <v>9089549.7300000004</v>
      </c>
      <c r="M132" s="18">
        <f>+M105+M114+M119+M115</f>
        <v>8848599.5899999999</v>
      </c>
      <c r="N132" s="47">
        <f>+M132/$M$151</f>
        <v>0.25915460552663294</v>
      </c>
    </row>
    <row r="133" spans="1:17" x14ac:dyDescent="0.2">
      <c r="A133" s="3"/>
      <c r="B133" s="74"/>
      <c r="C133" s="74"/>
      <c r="D133" s="74"/>
      <c r="E133" s="186"/>
      <c r="F133" s="186"/>
      <c r="G133" s="186"/>
      <c r="H133" s="74"/>
      <c r="I133" s="74"/>
      <c r="J133" s="74"/>
      <c r="K133" s="74"/>
      <c r="L133" s="74"/>
      <c r="M133" s="74"/>
      <c r="N133" s="104"/>
    </row>
    <row r="134" spans="1:17" x14ac:dyDescent="0.2">
      <c r="A134" s="8" t="s">
        <v>6</v>
      </c>
      <c r="B134" s="9"/>
      <c r="C134" s="9"/>
      <c r="D134" s="9"/>
      <c r="E134" s="187"/>
      <c r="F134" s="187"/>
      <c r="G134" s="187"/>
      <c r="H134" s="9"/>
      <c r="I134" s="9"/>
      <c r="J134" s="9"/>
      <c r="K134" s="9"/>
      <c r="L134" s="9"/>
      <c r="M134" s="9"/>
      <c r="N134" s="57"/>
    </row>
    <row r="135" spans="1:17" x14ac:dyDescent="0.2">
      <c r="A135" s="10"/>
      <c r="B135" s="11"/>
      <c r="C135" s="11"/>
      <c r="D135" s="11"/>
      <c r="E135" s="188"/>
      <c r="F135" s="188"/>
      <c r="G135" s="188"/>
      <c r="H135" s="11"/>
      <c r="I135" s="11"/>
      <c r="J135" s="11"/>
      <c r="K135" s="11"/>
      <c r="L135" s="11"/>
      <c r="M135" s="11"/>
      <c r="N135" s="48"/>
    </row>
    <row r="136" spans="1:17" s="14" customFormat="1" x14ac:dyDescent="0.2">
      <c r="A136" s="10" t="s">
        <v>42</v>
      </c>
      <c r="B136" s="12">
        <f t="shared" ref="B136:G136" si="53">SUM(B137:B144)</f>
        <v>11904999</v>
      </c>
      <c r="C136" s="12">
        <f t="shared" si="53"/>
        <v>11904999</v>
      </c>
      <c r="D136" s="12">
        <f t="shared" si="53"/>
        <v>11904999</v>
      </c>
      <c r="E136" s="189">
        <f t="shared" si="53"/>
        <v>11904999</v>
      </c>
      <c r="F136" s="189">
        <f t="shared" si="53"/>
        <v>11904999</v>
      </c>
      <c r="G136" s="189">
        <f t="shared" si="53"/>
        <v>15254999</v>
      </c>
      <c r="H136" s="12">
        <f t="shared" ref="H136:M136" si="54">SUM(H137:H144)</f>
        <v>15254999</v>
      </c>
      <c r="I136" s="12">
        <f t="shared" si="54"/>
        <v>15254999</v>
      </c>
      <c r="J136" s="12">
        <f t="shared" si="54"/>
        <v>15254999</v>
      </c>
      <c r="K136" s="12">
        <f t="shared" si="54"/>
        <v>19754998</v>
      </c>
      <c r="L136" s="12">
        <f t="shared" si="54"/>
        <v>19754998</v>
      </c>
      <c r="M136" s="12">
        <f t="shared" si="54"/>
        <v>25654998</v>
      </c>
      <c r="N136" s="52">
        <f>+M136/$M$151</f>
        <v>0.75137436368917643</v>
      </c>
      <c r="O136" s="214">
        <f>+M136-B136</f>
        <v>13749999</v>
      </c>
    </row>
    <row r="137" spans="1:17" s="14" customFormat="1" ht="12.75" x14ac:dyDescent="0.2">
      <c r="A137" s="13" t="s">
        <v>16</v>
      </c>
      <c r="B137" s="102">
        <v>3054428</v>
      </c>
      <c r="C137" s="102">
        <v>3054428</v>
      </c>
      <c r="D137" s="102">
        <v>3054428</v>
      </c>
      <c r="E137" s="190">
        <v>3054428</v>
      </c>
      <c r="F137" s="190">
        <v>3054428</v>
      </c>
      <c r="G137" s="190">
        <v>3917552</v>
      </c>
      <c r="H137" s="102">
        <v>3917552</v>
      </c>
      <c r="I137" s="102">
        <v>3917552</v>
      </c>
      <c r="J137" s="102">
        <v>3917552</v>
      </c>
      <c r="K137" s="102">
        <v>5076972</v>
      </c>
      <c r="L137" s="102">
        <v>5076972</v>
      </c>
      <c r="M137" s="102">
        <v>6597101</v>
      </c>
      <c r="N137" s="53">
        <f>+M137/$M$151</f>
        <v>0.19321352377685744</v>
      </c>
      <c r="O137" s="143"/>
    </row>
    <row r="138" spans="1:17" s="14" customFormat="1" ht="12.75" x14ac:dyDescent="0.2">
      <c r="A138" s="13" t="s">
        <v>17</v>
      </c>
      <c r="B138" s="102">
        <v>3054428</v>
      </c>
      <c r="C138" s="102">
        <v>3054428</v>
      </c>
      <c r="D138" s="102">
        <v>3054428</v>
      </c>
      <c r="E138" s="190">
        <v>3054428</v>
      </c>
      <c r="F138" s="190">
        <v>3054428</v>
      </c>
      <c r="G138" s="190">
        <v>3917552</v>
      </c>
      <c r="H138" s="102">
        <v>3917552</v>
      </c>
      <c r="I138" s="102">
        <v>3917552</v>
      </c>
      <c r="J138" s="102">
        <v>3917552</v>
      </c>
      <c r="K138" s="102">
        <v>5076972</v>
      </c>
      <c r="L138" s="102">
        <v>5076972</v>
      </c>
      <c r="M138" s="102">
        <v>6597101</v>
      </c>
      <c r="N138" s="53">
        <f t="shared" ref="N138:N144" si="55">+M138/$M$151</f>
        <v>0.19321352377685744</v>
      </c>
      <c r="O138" s="143"/>
    </row>
    <row r="139" spans="1:17" s="14" customFormat="1" ht="12.75" x14ac:dyDescent="0.2">
      <c r="A139" s="13" t="s">
        <v>117</v>
      </c>
      <c r="B139" s="76">
        <v>50000</v>
      </c>
      <c r="C139" s="76">
        <v>50000</v>
      </c>
      <c r="D139" s="76">
        <v>50000</v>
      </c>
      <c r="E139" s="166">
        <v>50000</v>
      </c>
      <c r="F139" s="166">
        <v>50000</v>
      </c>
      <c r="G139" s="166">
        <v>50000</v>
      </c>
      <c r="H139" s="76">
        <v>50000</v>
      </c>
      <c r="I139" s="76">
        <v>50000</v>
      </c>
      <c r="J139" s="76">
        <v>50000</v>
      </c>
      <c r="K139" s="76">
        <v>50000</v>
      </c>
      <c r="L139" s="76">
        <v>50000</v>
      </c>
      <c r="M139" s="76">
        <v>50000</v>
      </c>
      <c r="N139" s="53">
        <f t="shared" si="55"/>
        <v>1.4643820352065054E-3</v>
      </c>
      <c r="O139" s="143"/>
    </row>
    <row r="140" spans="1:17" s="14" customFormat="1" ht="12.75" x14ac:dyDescent="0.2">
      <c r="A140" s="13" t="s">
        <v>18</v>
      </c>
      <c r="B140" s="102">
        <v>3054428</v>
      </c>
      <c r="C140" s="102">
        <v>3054428</v>
      </c>
      <c r="D140" s="102">
        <v>3054428</v>
      </c>
      <c r="E140" s="190">
        <v>3054428</v>
      </c>
      <c r="F140" s="190">
        <v>3054428</v>
      </c>
      <c r="G140" s="190">
        <v>3917552</v>
      </c>
      <c r="H140" s="102">
        <v>3917552</v>
      </c>
      <c r="I140" s="102">
        <v>3917552</v>
      </c>
      <c r="J140" s="102">
        <v>3917552</v>
      </c>
      <c r="K140" s="102">
        <v>5076972</v>
      </c>
      <c r="L140" s="102">
        <v>5076972</v>
      </c>
      <c r="M140" s="102">
        <v>6597101</v>
      </c>
      <c r="N140" s="53">
        <f t="shared" si="55"/>
        <v>0.19321352377685744</v>
      </c>
      <c r="O140" s="143"/>
    </row>
    <row r="141" spans="1:17" s="14" customFormat="1" ht="12.75" x14ac:dyDescent="0.2">
      <c r="A141" s="13" t="s">
        <v>37</v>
      </c>
      <c r="B141" s="76">
        <v>1527214</v>
      </c>
      <c r="C141" s="76">
        <v>1527214</v>
      </c>
      <c r="D141" s="76">
        <v>1527214</v>
      </c>
      <c r="E141" s="166">
        <v>1527214</v>
      </c>
      <c r="F141" s="166">
        <v>1527214</v>
      </c>
      <c r="G141" s="166">
        <f>1527214+431562</f>
        <v>1958776</v>
      </c>
      <c r="H141" s="76">
        <f>1527214+431562</f>
        <v>1958776</v>
      </c>
      <c r="I141" s="76">
        <f>1527214+431562</f>
        <v>1958776</v>
      </c>
      <c r="J141" s="76">
        <f>1527214+431562</f>
        <v>1958776</v>
      </c>
      <c r="K141" s="76">
        <v>2538486</v>
      </c>
      <c r="L141" s="76">
        <v>2538486</v>
      </c>
      <c r="M141" s="76">
        <v>3298550</v>
      </c>
      <c r="N141" s="53">
        <f t="shared" si="55"/>
        <v>9.6606747244608368E-2</v>
      </c>
      <c r="O141" s="143"/>
    </row>
    <row r="142" spans="1:17" s="14" customFormat="1" ht="12.75" x14ac:dyDescent="0.2">
      <c r="A142" s="13" t="s">
        <v>43</v>
      </c>
      <c r="B142" s="76">
        <v>572706</v>
      </c>
      <c r="C142" s="76">
        <v>572706</v>
      </c>
      <c r="D142" s="76">
        <v>572706</v>
      </c>
      <c r="E142" s="166">
        <v>572706</v>
      </c>
      <c r="F142" s="166">
        <v>572706</v>
      </c>
      <c r="G142" s="166">
        <f>572706+161836</f>
        <v>734542</v>
      </c>
      <c r="H142" s="76">
        <f>572706+161836</f>
        <v>734542</v>
      </c>
      <c r="I142" s="76">
        <f>572706+161836</f>
        <v>734542</v>
      </c>
      <c r="J142" s="76">
        <f>572706+161836</f>
        <v>734542</v>
      </c>
      <c r="K142" s="76">
        <v>951933</v>
      </c>
      <c r="L142" s="76">
        <v>951933</v>
      </c>
      <c r="M142" s="76">
        <v>1236957</v>
      </c>
      <c r="N142" s="53">
        <f t="shared" si="55"/>
        <v>3.6227552182458662E-2</v>
      </c>
      <c r="O142" s="143"/>
    </row>
    <row r="143" spans="1:17" s="14" customFormat="1" ht="12.75" x14ac:dyDescent="0.2">
      <c r="A143" s="13" t="s">
        <v>122</v>
      </c>
      <c r="B143" s="76">
        <v>209991</v>
      </c>
      <c r="C143" s="76">
        <v>209991</v>
      </c>
      <c r="D143" s="76">
        <v>209991</v>
      </c>
      <c r="E143" s="166">
        <v>209991</v>
      </c>
      <c r="F143" s="166">
        <v>209991</v>
      </c>
      <c r="G143" s="166">
        <v>269331</v>
      </c>
      <c r="H143" s="76">
        <v>269331</v>
      </c>
      <c r="I143" s="76">
        <v>269331</v>
      </c>
      <c r="J143" s="76">
        <v>269331</v>
      </c>
      <c r="K143" s="76">
        <v>349041</v>
      </c>
      <c r="L143" s="76">
        <v>349041</v>
      </c>
      <c r="M143" s="76">
        <v>453550</v>
      </c>
      <c r="N143" s="53">
        <f t="shared" si="55"/>
        <v>1.328340944135821E-2</v>
      </c>
      <c r="O143" s="143"/>
    </row>
    <row r="144" spans="1:17" s="14" customFormat="1" ht="12.75" x14ac:dyDescent="0.2">
      <c r="A144" s="13" t="s">
        <v>123</v>
      </c>
      <c r="B144" s="76">
        <v>381804</v>
      </c>
      <c r="C144" s="76">
        <v>381804</v>
      </c>
      <c r="D144" s="76">
        <v>381804</v>
      </c>
      <c r="E144" s="166">
        <v>381804</v>
      </c>
      <c r="F144" s="166">
        <v>381804</v>
      </c>
      <c r="G144" s="166">
        <v>489694</v>
      </c>
      <c r="H144" s="76">
        <v>489694</v>
      </c>
      <c r="I144" s="76">
        <v>489694</v>
      </c>
      <c r="J144" s="76">
        <v>489694</v>
      </c>
      <c r="K144" s="76">
        <v>634622</v>
      </c>
      <c r="L144" s="76">
        <v>634622</v>
      </c>
      <c r="M144" s="76">
        <v>824638</v>
      </c>
      <c r="N144" s="53">
        <f t="shared" si="55"/>
        <v>2.4151701454972443E-2</v>
      </c>
      <c r="O144" s="143"/>
    </row>
    <row r="145" spans="1:17" s="14" customFormat="1" x14ac:dyDescent="0.2">
      <c r="A145" s="10" t="s">
        <v>136</v>
      </c>
      <c r="B145" s="12">
        <v>-469024.09</v>
      </c>
      <c r="C145" s="12">
        <v>-469024.09</v>
      </c>
      <c r="D145" s="12">
        <v>-469024.09</v>
      </c>
      <c r="E145" s="189">
        <v>-469024.09</v>
      </c>
      <c r="F145" s="189">
        <v>-469024.09</v>
      </c>
      <c r="G145" s="189">
        <v>-469024.09</v>
      </c>
      <c r="H145" s="12">
        <v>-469024.09</v>
      </c>
      <c r="I145" s="12">
        <v>-469024.09</v>
      </c>
      <c r="J145" s="12">
        <v>-469024.09</v>
      </c>
      <c r="K145" s="12">
        <v>-469024.09</v>
      </c>
      <c r="L145" s="12">
        <v>-469024.09</v>
      </c>
      <c r="M145" s="12">
        <v>-469024.09</v>
      </c>
      <c r="N145" s="52">
        <f>+M145/$M$151</f>
        <v>-1.3736609029501584E-2</v>
      </c>
      <c r="P145" s="144"/>
      <c r="Q145" s="144"/>
    </row>
    <row r="146" spans="1:17" s="14" customFormat="1" x14ac:dyDescent="0.2">
      <c r="A146" s="10" t="s">
        <v>167</v>
      </c>
      <c r="B146" s="12">
        <f>+B147</f>
        <v>0</v>
      </c>
      <c r="C146" s="12">
        <f t="shared" ref="C146:M146" si="56">+C147</f>
        <v>0</v>
      </c>
      <c r="D146" s="12">
        <f t="shared" si="56"/>
        <v>24438.39</v>
      </c>
      <c r="E146" s="189">
        <f t="shared" si="56"/>
        <v>26194.9237333333</v>
      </c>
      <c r="F146" s="189">
        <f t="shared" si="56"/>
        <v>41314.834833333298</v>
      </c>
      <c r="G146" s="189">
        <f t="shared" si="56"/>
        <v>76672.770600000003</v>
      </c>
      <c r="H146" s="12">
        <f t="shared" si="56"/>
        <v>113747.12498333334</v>
      </c>
      <c r="I146" s="12">
        <f t="shared" si="56"/>
        <v>170496.16</v>
      </c>
      <c r="J146" s="12">
        <f t="shared" si="56"/>
        <v>206134.39409999998</v>
      </c>
      <c r="K146" s="12">
        <f t="shared" si="56"/>
        <v>272496.86</v>
      </c>
      <c r="L146" s="12">
        <f t="shared" si="56"/>
        <v>263275.61333333299</v>
      </c>
      <c r="M146" s="12">
        <f t="shared" si="56"/>
        <v>329479.93920000002</v>
      </c>
      <c r="N146" s="52">
        <f>+M146/$M$151</f>
        <v>9.6496900785082336E-3</v>
      </c>
      <c r="O146" s="143">
        <f>+M145+M148</f>
        <v>-688982.06919999979</v>
      </c>
      <c r="P146" s="143"/>
      <c r="Q146" s="143"/>
    </row>
    <row r="147" spans="1:17" s="14" customFormat="1" x14ac:dyDescent="0.2">
      <c r="A147" s="13" t="s">
        <v>168</v>
      </c>
      <c r="B147" s="12">
        <v>0</v>
      </c>
      <c r="C147" s="12">
        <v>0</v>
      </c>
      <c r="D147" s="76">
        <v>24438.39</v>
      </c>
      <c r="E147" s="166">
        <v>26194.9237333333</v>
      </c>
      <c r="F147" s="166">
        <v>41314.834833333298</v>
      </c>
      <c r="G147" s="166">
        <v>76672.770600000003</v>
      </c>
      <c r="H147" s="166">
        <v>113747.12498333334</v>
      </c>
      <c r="I147" s="166">
        <v>170496.16</v>
      </c>
      <c r="J147" s="166">
        <v>206134.39409999998</v>
      </c>
      <c r="K147" s="166">
        <v>272496.86</v>
      </c>
      <c r="L147" s="166">
        <v>263275.61333333299</v>
      </c>
      <c r="M147" s="166">
        <v>329479.93920000002</v>
      </c>
      <c r="N147" s="52">
        <f>+M147/$M$151</f>
        <v>9.6496900785082336E-3</v>
      </c>
      <c r="O147" s="167"/>
    </row>
    <row r="148" spans="1:17" x14ac:dyDescent="0.2">
      <c r="A148" s="10" t="s">
        <v>221</v>
      </c>
      <c r="B148" s="12">
        <f t="shared" ref="B148:J148" si="57">+B225-B147</f>
        <v>-28675.187260274004</v>
      </c>
      <c r="C148" s="12">
        <f t="shared" si="57"/>
        <v>-35326.59575342499</v>
      </c>
      <c r="D148" s="12">
        <f t="shared" si="57"/>
        <v>-54378.069999999992</v>
      </c>
      <c r="E148" s="189">
        <f t="shared" si="57"/>
        <v>-50071.517066666616</v>
      </c>
      <c r="F148" s="189">
        <f t="shared" si="57"/>
        <v>-53073.754833333238</v>
      </c>
      <c r="G148" s="189">
        <f t="shared" si="57"/>
        <v>-130727.6962272542</v>
      </c>
      <c r="H148" s="12">
        <f t="shared" si="57"/>
        <v>-267507.46498333348</v>
      </c>
      <c r="I148" s="12">
        <f t="shared" si="57"/>
        <v>-309417.75</v>
      </c>
      <c r="J148" s="12">
        <f t="shared" si="57"/>
        <v>-243029.94410000008</v>
      </c>
      <c r="K148" s="12">
        <f>+K225-K147</f>
        <v>-258973.34999999974</v>
      </c>
      <c r="L148" s="12">
        <f>+L225-L147</f>
        <v>-240176.25333333283</v>
      </c>
      <c r="M148" s="12">
        <f>+M225-M147</f>
        <v>-219957.97919999971</v>
      </c>
      <c r="N148" s="52">
        <f>+M148/$M$151</f>
        <v>-6.4420502648161147E-3</v>
      </c>
      <c r="O148" s="54"/>
      <c r="Q148" s="115"/>
    </row>
    <row r="149" spans="1:17" x14ac:dyDescent="0.2">
      <c r="A149" s="10"/>
      <c r="B149" s="11"/>
      <c r="C149" s="11"/>
      <c r="D149" s="11"/>
      <c r="E149" s="188"/>
      <c r="F149" s="188"/>
      <c r="G149" s="188"/>
      <c r="H149" s="11"/>
      <c r="I149" s="11"/>
      <c r="J149" s="11"/>
      <c r="K149" s="11"/>
      <c r="L149" s="11"/>
      <c r="M149" s="11"/>
      <c r="N149" s="48"/>
      <c r="Q149" s="115"/>
    </row>
    <row r="150" spans="1:17" ht="15" x14ac:dyDescent="0.25">
      <c r="A150" s="27" t="s">
        <v>7</v>
      </c>
      <c r="B150" s="32">
        <f>+B136+B148+B145</f>
        <v>11407299.722739726</v>
      </c>
      <c r="C150" s="32">
        <f>+C136+C148+C145</f>
        <v>11400648.314246574</v>
      </c>
      <c r="D150" s="32">
        <f t="shared" ref="D150:I150" si="58">+D136+D148+D145+D146</f>
        <v>11406035.23</v>
      </c>
      <c r="E150" s="191">
        <f t="shared" si="58"/>
        <v>11412098.316666666</v>
      </c>
      <c r="F150" s="191">
        <f t="shared" si="58"/>
        <v>11424215.99</v>
      </c>
      <c r="G150" s="191">
        <f t="shared" si="58"/>
        <v>14731919.984372746</v>
      </c>
      <c r="H150" s="32">
        <f t="shared" si="58"/>
        <v>14632214.57</v>
      </c>
      <c r="I150" s="32">
        <f t="shared" si="58"/>
        <v>14647053.32</v>
      </c>
      <c r="J150" s="32">
        <f>+J136+J148+J145+J146</f>
        <v>14749079.359999999</v>
      </c>
      <c r="K150" s="32">
        <f>+K136+K148+K145+K146</f>
        <v>19299497.419999998</v>
      </c>
      <c r="L150" s="32">
        <f>+L136+L148+L145+L146</f>
        <v>19309073.27</v>
      </c>
      <c r="M150" s="32">
        <f>+M136+M148+M145+M146</f>
        <v>25295495.870000001</v>
      </c>
      <c r="N150" s="47">
        <f>+M150/$M$151</f>
        <v>0.74084539447336706</v>
      </c>
    </row>
    <row r="151" spans="1:17" ht="15" x14ac:dyDescent="0.25">
      <c r="A151" s="17" t="s">
        <v>11</v>
      </c>
      <c r="B151" s="32">
        <f t="shared" ref="B151:G151" si="59">+B132+B150</f>
        <v>11420032.722739726</v>
      </c>
      <c r="C151" s="32">
        <f t="shared" si="59"/>
        <v>11418909.094246574</v>
      </c>
      <c r="D151" s="32">
        <f t="shared" si="59"/>
        <v>11428053.43</v>
      </c>
      <c r="E151" s="191">
        <f t="shared" si="59"/>
        <v>14967583.189999999</v>
      </c>
      <c r="F151" s="191">
        <f t="shared" si="59"/>
        <v>17004052.829999998</v>
      </c>
      <c r="G151" s="191">
        <f t="shared" si="59"/>
        <v>20281772.074372746</v>
      </c>
      <c r="H151" s="32">
        <f t="shared" ref="H151:M151" si="60">+H132+H150</f>
        <v>22214753.109999999</v>
      </c>
      <c r="I151" s="32">
        <f t="shared" si="60"/>
        <v>22274127.350000001</v>
      </c>
      <c r="J151" s="32">
        <f t="shared" si="60"/>
        <v>23673159.059999999</v>
      </c>
      <c r="K151" s="32">
        <f t="shared" si="60"/>
        <v>28335297.149999999</v>
      </c>
      <c r="L151" s="32">
        <f t="shared" si="60"/>
        <v>28398623</v>
      </c>
      <c r="M151" s="32">
        <f t="shared" si="60"/>
        <v>34144095.460000001</v>
      </c>
      <c r="N151" s="47">
        <f>+M151/$M$151</f>
        <v>1</v>
      </c>
    </row>
    <row r="152" spans="1:17" ht="15" x14ac:dyDescent="0.25">
      <c r="A152" s="28"/>
      <c r="B152" s="29"/>
      <c r="C152" s="29"/>
      <c r="D152" s="29"/>
      <c r="E152" s="192"/>
      <c r="F152" s="192"/>
      <c r="G152" s="192"/>
      <c r="H152" s="29"/>
      <c r="I152" s="29"/>
      <c r="J152" s="29"/>
      <c r="K152" s="29"/>
      <c r="L152" s="29"/>
      <c r="M152" s="29"/>
      <c r="N152" s="42"/>
    </row>
    <row r="153" spans="1:17" ht="15" x14ac:dyDescent="0.25">
      <c r="A153" s="27" t="s">
        <v>29</v>
      </c>
      <c r="B153" s="65" t="str">
        <f t="shared" ref="B153:M153" si="61">+B3</f>
        <v>January</v>
      </c>
      <c r="C153" s="65" t="str">
        <f t="shared" si="61"/>
        <v>February</v>
      </c>
      <c r="D153" s="65" t="str">
        <f t="shared" si="61"/>
        <v>March</v>
      </c>
      <c r="E153" s="193" t="str">
        <f t="shared" si="61"/>
        <v>April</v>
      </c>
      <c r="F153" s="193" t="str">
        <f t="shared" si="61"/>
        <v>May</v>
      </c>
      <c r="G153" s="193" t="str">
        <f t="shared" si="61"/>
        <v>Jun</v>
      </c>
      <c r="H153" s="65" t="str">
        <f t="shared" si="61"/>
        <v>Jul</v>
      </c>
      <c r="I153" s="65" t="str">
        <f t="shared" si="61"/>
        <v>August</v>
      </c>
      <c r="J153" s="65" t="str">
        <f t="shared" si="61"/>
        <v>September</v>
      </c>
      <c r="K153" s="65" t="str">
        <f t="shared" si="61"/>
        <v>October</v>
      </c>
      <c r="L153" s="65" t="str">
        <f t="shared" si="61"/>
        <v>November</v>
      </c>
      <c r="M153" s="65" t="str">
        <f t="shared" si="61"/>
        <v>December</v>
      </c>
      <c r="N153" s="84" t="s">
        <v>1</v>
      </c>
    </row>
    <row r="154" spans="1:17" ht="15" x14ac:dyDescent="0.25">
      <c r="A154" s="37"/>
      <c r="B154" s="64"/>
      <c r="C154" s="64"/>
      <c r="D154" s="64"/>
      <c r="E154" s="194"/>
      <c r="F154" s="194"/>
      <c r="G154" s="194"/>
      <c r="H154" s="64"/>
      <c r="I154" s="64"/>
      <c r="J154" s="64"/>
      <c r="K154" s="64"/>
      <c r="L154" s="64"/>
      <c r="M154" s="64"/>
      <c r="N154" s="85" t="s">
        <v>30</v>
      </c>
    </row>
    <row r="155" spans="1:17" s="16" customFormat="1" x14ac:dyDescent="0.2">
      <c r="A155" s="10" t="s">
        <v>12</v>
      </c>
      <c r="B155" s="66"/>
      <c r="C155" s="66"/>
      <c r="D155" s="66"/>
      <c r="E155" s="195"/>
      <c r="F155" s="195"/>
      <c r="G155" s="195"/>
      <c r="H155" s="66"/>
      <c r="I155" s="66"/>
      <c r="J155" s="66"/>
      <c r="K155" s="66"/>
      <c r="L155" s="66"/>
      <c r="M155" s="66"/>
      <c r="N155" s="66"/>
    </row>
    <row r="156" spans="1:17" s="16" customFormat="1" ht="12.75" x14ac:dyDescent="0.2">
      <c r="A156" s="13" t="str">
        <f>+A191</f>
        <v xml:space="preserve">Loans Interests </v>
      </c>
      <c r="B156" s="82">
        <f>+B191</f>
        <v>37613.68</v>
      </c>
      <c r="C156" s="82">
        <f t="shared" ref="C156:M156" si="62">+C191-B191</f>
        <v>55451.1</v>
      </c>
      <c r="D156" s="82">
        <f t="shared" si="62"/>
        <v>89267.610000000015</v>
      </c>
      <c r="E156" s="174">
        <f t="shared" si="62"/>
        <v>107643.32999999996</v>
      </c>
      <c r="F156" s="174">
        <f t="shared" si="62"/>
        <v>113939.59000000003</v>
      </c>
      <c r="G156" s="174">
        <f t="shared" si="62"/>
        <v>116033.32</v>
      </c>
      <c r="H156" s="82">
        <f t="shared" si="62"/>
        <v>137188.55999999994</v>
      </c>
      <c r="I156" s="82">
        <f t="shared" si="62"/>
        <v>165775.04000000004</v>
      </c>
      <c r="J156" s="82">
        <f t="shared" si="62"/>
        <v>191279.47999999998</v>
      </c>
      <c r="K156" s="82">
        <f t="shared" si="62"/>
        <v>235105.65000000014</v>
      </c>
      <c r="L156" s="82">
        <f t="shared" si="62"/>
        <v>234161.94999999995</v>
      </c>
      <c r="M156" s="82">
        <f t="shared" si="62"/>
        <v>273104.3899999999</v>
      </c>
      <c r="N156" s="44">
        <f>+SUM(B156:M156)</f>
        <v>1756563.7</v>
      </c>
    </row>
    <row r="157" spans="1:17" x14ac:dyDescent="0.2">
      <c r="A157" s="10" t="s">
        <v>8</v>
      </c>
      <c r="B157" s="25">
        <f t="shared" ref="B157:N157" si="63">+B156</f>
        <v>37613.68</v>
      </c>
      <c r="C157" s="25">
        <f t="shared" si="63"/>
        <v>55451.1</v>
      </c>
      <c r="D157" s="25">
        <f t="shared" si="63"/>
        <v>89267.610000000015</v>
      </c>
      <c r="E157" s="179">
        <f t="shared" si="63"/>
        <v>107643.32999999996</v>
      </c>
      <c r="F157" s="179">
        <f t="shared" si="63"/>
        <v>113939.59000000003</v>
      </c>
      <c r="G157" s="179">
        <f t="shared" si="63"/>
        <v>116033.32</v>
      </c>
      <c r="H157" s="25">
        <f t="shared" si="63"/>
        <v>137188.55999999994</v>
      </c>
      <c r="I157" s="25">
        <f t="shared" si="63"/>
        <v>165775.04000000004</v>
      </c>
      <c r="J157" s="25">
        <f t="shared" si="63"/>
        <v>191279.47999999998</v>
      </c>
      <c r="K157" s="25">
        <f t="shared" si="63"/>
        <v>235105.65000000014</v>
      </c>
      <c r="L157" s="25">
        <f t="shared" si="63"/>
        <v>234161.94999999995</v>
      </c>
      <c r="M157" s="25">
        <f t="shared" si="63"/>
        <v>273104.3899999999</v>
      </c>
      <c r="N157" s="25">
        <f t="shared" si="63"/>
        <v>1756563.7</v>
      </c>
      <c r="O157" s="54"/>
      <c r="P157" s="71"/>
    </row>
    <row r="158" spans="1:17" x14ac:dyDescent="0.2">
      <c r="A158" s="10"/>
      <c r="B158" s="25"/>
      <c r="C158" s="25"/>
      <c r="D158" s="25"/>
      <c r="E158" s="179"/>
      <c r="F158" s="179"/>
      <c r="G158" s="179"/>
      <c r="H158" s="25"/>
      <c r="I158" s="25"/>
      <c r="J158" s="25"/>
      <c r="K158" s="25"/>
      <c r="L158" s="25"/>
      <c r="M158" s="25"/>
      <c r="N158" s="44"/>
      <c r="P158" s="71"/>
    </row>
    <row r="159" spans="1:17" s="16" customFormat="1" x14ac:dyDescent="0.2">
      <c r="A159" s="10" t="s">
        <v>13</v>
      </c>
      <c r="B159" s="25"/>
      <c r="C159" s="25"/>
      <c r="D159" s="25"/>
      <c r="E159" s="179"/>
      <c r="F159" s="179"/>
      <c r="G159" s="179"/>
      <c r="H159" s="25"/>
      <c r="I159" s="25"/>
      <c r="J159" s="25"/>
      <c r="K159" s="25"/>
      <c r="L159" s="25"/>
      <c r="M159" s="25"/>
      <c r="N159" s="44"/>
      <c r="P159" s="110"/>
    </row>
    <row r="160" spans="1:17" s="16" customFormat="1" ht="12.75" x14ac:dyDescent="0.2">
      <c r="A160" s="13" t="str">
        <f t="shared" ref="A160:B162" si="64">+A195</f>
        <v>Management Fees</v>
      </c>
      <c r="B160" s="82">
        <f t="shared" si="64"/>
        <v>-52827.397260274003</v>
      </c>
      <c r="C160" s="82">
        <f t="shared" ref="C160:M162" si="65">+C195-B195</f>
        <v>-52656.168493151003</v>
      </c>
      <c r="D160" s="82">
        <f t="shared" si="65"/>
        <v>-58633.224246575002</v>
      </c>
      <c r="E160" s="174">
        <f t="shared" si="65"/>
        <v>-58164.379999999976</v>
      </c>
      <c r="F160" s="174">
        <f t="shared" si="65"/>
        <v>-60969.859999999986</v>
      </c>
      <c r="G160" s="174">
        <f t="shared" si="65"/>
        <v>-67372.45000000007</v>
      </c>
      <c r="H160" s="82">
        <f t="shared" si="65"/>
        <v>-67265.749999999942</v>
      </c>
      <c r="I160" s="82">
        <f t="shared" si="65"/>
        <v>-66465.75</v>
      </c>
      <c r="J160" s="82">
        <f t="shared" si="65"/>
        <v>-62595.890000000014</v>
      </c>
      <c r="K160" s="154">
        <f t="shared" si="65"/>
        <v>-65085.759999999893</v>
      </c>
      <c r="L160" s="154">
        <f t="shared" si="65"/>
        <v>-66095.890000000014</v>
      </c>
      <c r="M160" s="154">
        <f t="shared" si="65"/>
        <v>-33265.760000000009</v>
      </c>
      <c r="N160" s="44">
        <f>+SUM(B160:M160)</f>
        <v>-711398.27999999991</v>
      </c>
      <c r="O160" s="110"/>
    </row>
    <row r="161" spans="1:24" s="16" customFormat="1" ht="12.75" x14ac:dyDescent="0.2">
      <c r="A161" s="13" t="str">
        <f t="shared" si="64"/>
        <v>Senior Loans Interests</v>
      </c>
      <c r="B161" s="82">
        <f t="shared" si="64"/>
        <v>0</v>
      </c>
      <c r="C161" s="82">
        <f t="shared" si="65"/>
        <v>0</v>
      </c>
      <c r="D161" s="82">
        <f t="shared" si="65"/>
        <v>0</v>
      </c>
      <c r="E161" s="174">
        <f t="shared" si="65"/>
        <v>-16333.333333333299</v>
      </c>
      <c r="F161" s="174">
        <f t="shared" si="65"/>
        <v>-23583.326666666704</v>
      </c>
      <c r="G161" s="174">
        <f t="shared" si="65"/>
        <v>-28083.339999999997</v>
      </c>
      <c r="H161" s="82">
        <f t="shared" si="65"/>
        <v>-38416.660000000003</v>
      </c>
      <c r="I161" s="82">
        <f t="shared" si="65"/>
        <v>-38749.989999999991</v>
      </c>
      <c r="J161" s="82">
        <f t="shared" si="65"/>
        <v>-40000</v>
      </c>
      <c r="K161" s="82">
        <f t="shared" si="65"/>
        <v>-43916.66</v>
      </c>
      <c r="L161" s="82">
        <f t="shared" si="65"/>
        <v>-42500</v>
      </c>
      <c r="M161" s="82">
        <f t="shared" si="65"/>
        <v>-43916.69</v>
      </c>
      <c r="N161" s="44">
        <f t="shared" ref="N161:N169" si="66">+SUM(B161:M161)</f>
        <v>-315500</v>
      </c>
      <c r="O161" s="110"/>
      <c r="P161" s="110"/>
    </row>
    <row r="162" spans="1:24" s="16" customFormat="1" ht="12.75" x14ac:dyDescent="0.2">
      <c r="A162" s="13" t="str">
        <f t="shared" si="64"/>
        <v>Senior Loans - Closing and Commitment Fees</v>
      </c>
      <c r="B162" s="82">
        <f t="shared" si="64"/>
        <v>0</v>
      </c>
      <c r="C162" s="82">
        <f t="shared" si="65"/>
        <v>-1457.68</v>
      </c>
      <c r="D162" s="82">
        <f t="shared" si="65"/>
        <v>-2249.8899999999994</v>
      </c>
      <c r="E162" s="174">
        <f t="shared" si="65"/>
        <v>-1253.1900000000005</v>
      </c>
      <c r="F162" s="174">
        <f t="shared" si="65"/>
        <v>-829.15999999999985</v>
      </c>
      <c r="G162" s="174">
        <f t="shared" si="65"/>
        <v>-1051.0856272541596</v>
      </c>
      <c r="H162" s="82">
        <f t="shared" si="65"/>
        <v>-1341.9243727458406</v>
      </c>
      <c r="I162" s="82">
        <f t="shared" si="65"/>
        <v>-945.80999999999949</v>
      </c>
      <c r="J162" s="82">
        <f>+J197-I197</f>
        <v>-706.96000000000095</v>
      </c>
      <c r="K162" s="82">
        <f t="shared" si="65"/>
        <v>-515.25</v>
      </c>
      <c r="L162" s="82">
        <f t="shared" si="65"/>
        <v>-498.6299999999992</v>
      </c>
      <c r="M162" s="82">
        <f t="shared" si="65"/>
        <v>-543.04000000000087</v>
      </c>
      <c r="N162" s="44">
        <f t="shared" si="66"/>
        <v>-11392.62</v>
      </c>
      <c r="O162" s="153"/>
      <c r="P162" s="110"/>
      <c r="Q162" s="116"/>
      <c r="R162" s="116"/>
      <c r="S162" s="116"/>
      <c r="T162" s="116"/>
      <c r="U162" s="116"/>
      <c r="V162" s="116"/>
      <c r="W162" s="116"/>
      <c r="X162" s="116"/>
    </row>
    <row r="163" spans="1:24" s="16" customFormat="1" ht="12.75" x14ac:dyDescent="0.2">
      <c r="A163" s="13" t="str">
        <f t="shared" ref="A163:B170" si="67">+A198</f>
        <v>Bank and Account Charges</v>
      </c>
      <c r="B163" s="82">
        <f t="shared" si="67"/>
        <v>20.82</v>
      </c>
      <c r="C163" s="82">
        <f t="shared" ref="C163:M166" si="68">+C198-B198</f>
        <v>40</v>
      </c>
      <c r="D163" s="82">
        <f t="shared" si="68"/>
        <v>-235</v>
      </c>
      <c r="E163" s="174">
        <f t="shared" si="68"/>
        <v>-275</v>
      </c>
      <c r="F163" s="174">
        <f t="shared" si="68"/>
        <v>-154.99999999999994</v>
      </c>
      <c r="G163" s="174">
        <f t="shared" si="68"/>
        <v>-635.00000000000011</v>
      </c>
      <c r="H163" s="82">
        <f t="shared" si="68"/>
        <v>-230</v>
      </c>
      <c r="I163" s="82">
        <f t="shared" si="68"/>
        <v>-120</v>
      </c>
      <c r="J163" s="82">
        <f t="shared" si="68"/>
        <v>-315</v>
      </c>
      <c r="K163" s="82">
        <f t="shared" si="68"/>
        <v>-389.99999999999977</v>
      </c>
      <c r="L163" s="82">
        <f t="shared" si="68"/>
        <v>-215.61000000000013</v>
      </c>
      <c r="M163" s="82">
        <f t="shared" si="68"/>
        <v>-634.40000000000009</v>
      </c>
      <c r="N163" s="44">
        <f t="shared" si="66"/>
        <v>-3144.19</v>
      </c>
      <c r="O163" s="116"/>
      <c r="P163" s="116"/>
      <c r="Q163" s="116"/>
      <c r="R163" s="116"/>
      <c r="S163" s="116"/>
      <c r="T163" s="116"/>
      <c r="U163" s="116"/>
      <c r="V163" s="116"/>
      <c r="W163" s="116"/>
      <c r="X163" s="116"/>
    </row>
    <row r="164" spans="1:24" s="16" customFormat="1" ht="12.75" x14ac:dyDescent="0.2">
      <c r="A164" s="13" t="str">
        <f t="shared" si="67"/>
        <v>Legal Expenses</v>
      </c>
      <c r="B164" s="82">
        <f t="shared" si="67"/>
        <v>-8930</v>
      </c>
      <c r="C164" s="82">
        <f t="shared" si="68"/>
        <v>0</v>
      </c>
      <c r="D164" s="82">
        <f t="shared" si="68"/>
        <v>-4272.5</v>
      </c>
      <c r="E164" s="174">
        <f t="shared" si="68"/>
        <v>-12649.8</v>
      </c>
      <c r="F164" s="174">
        <f t="shared" si="68"/>
        <v>-8096.91</v>
      </c>
      <c r="G164" s="174">
        <f t="shared" si="68"/>
        <v>-18090.989999999998</v>
      </c>
      <c r="H164" s="82">
        <f t="shared" si="68"/>
        <v>-3.0300000000061118</v>
      </c>
      <c r="I164" s="82">
        <f t="shared" si="68"/>
        <v>-5322.6499999999942</v>
      </c>
      <c r="J164" s="82">
        <f t="shared" si="68"/>
        <v>-1976.8900000000067</v>
      </c>
      <c r="K164" s="82">
        <f t="shared" si="68"/>
        <v>-5741.3199999999924</v>
      </c>
      <c r="L164" s="82">
        <f t="shared" si="68"/>
        <v>-15326.330000000002</v>
      </c>
      <c r="M164" s="156">
        <f t="shared" si="68"/>
        <v>-440</v>
      </c>
      <c r="N164" s="44">
        <f t="shared" si="66"/>
        <v>-80850.42</v>
      </c>
      <c r="P164" s="110"/>
    </row>
    <row r="165" spans="1:24" s="16" customFormat="1" ht="12.75" x14ac:dyDescent="0.2">
      <c r="A165" s="13" t="str">
        <f t="shared" si="67"/>
        <v>External Audit Expenses</v>
      </c>
      <c r="B165" s="82">
        <f t="shared" si="67"/>
        <v>-3750</v>
      </c>
      <c r="C165" s="82">
        <f t="shared" si="68"/>
        <v>-3750</v>
      </c>
      <c r="D165" s="82">
        <f t="shared" si="68"/>
        <v>-3750</v>
      </c>
      <c r="E165" s="174">
        <f t="shared" si="68"/>
        <v>-3750</v>
      </c>
      <c r="F165" s="174">
        <f t="shared" si="68"/>
        <v>-3750</v>
      </c>
      <c r="G165" s="174">
        <f t="shared" si="68"/>
        <v>-3750</v>
      </c>
      <c r="H165" s="82">
        <f t="shared" si="68"/>
        <v>-3750</v>
      </c>
      <c r="I165" s="82">
        <f t="shared" si="68"/>
        <v>-3750</v>
      </c>
      <c r="J165" s="82">
        <f t="shared" si="68"/>
        <v>-3750</v>
      </c>
      <c r="K165" s="82">
        <f t="shared" si="68"/>
        <v>-3750</v>
      </c>
      <c r="L165" s="82">
        <f t="shared" si="68"/>
        <v>-3750</v>
      </c>
      <c r="M165" s="82">
        <f t="shared" si="68"/>
        <v>17733</v>
      </c>
      <c r="N165" s="44">
        <f t="shared" si="66"/>
        <v>-23517</v>
      </c>
      <c r="O165" s="110"/>
      <c r="P165" s="110"/>
    </row>
    <row r="166" spans="1:24" s="16" customFormat="1" ht="12.75" x14ac:dyDescent="0.2">
      <c r="A166" s="13" t="str">
        <f t="shared" si="67"/>
        <v>Credit Committe Meetings Costs</v>
      </c>
      <c r="B166" s="82">
        <f t="shared" si="67"/>
        <v>0</v>
      </c>
      <c r="C166" s="82">
        <f t="shared" si="68"/>
        <v>-500</v>
      </c>
      <c r="D166" s="82">
        <f t="shared" si="68"/>
        <v>-500</v>
      </c>
      <c r="E166" s="174">
        <f t="shared" si="68"/>
        <v>-500</v>
      </c>
      <c r="F166" s="174">
        <f t="shared" si="68"/>
        <v>-500</v>
      </c>
      <c r="G166" s="174">
        <f t="shared" si="68"/>
        <v>-500</v>
      </c>
      <c r="H166" s="82">
        <f t="shared" si="68"/>
        <v>0</v>
      </c>
      <c r="I166" s="82">
        <f t="shared" si="68"/>
        <v>-500</v>
      </c>
      <c r="J166" s="82">
        <f t="shared" si="68"/>
        <v>-1000</v>
      </c>
      <c r="K166" s="82">
        <f t="shared" si="68"/>
        <v>-500</v>
      </c>
      <c r="L166" s="82">
        <f t="shared" si="68"/>
        <v>-1500</v>
      </c>
      <c r="M166" s="82">
        <f t="shared" si="68"/>
        <v>0</v>
      </c>
      <c r="N166" s="44">
        <f t="shared" si="66"/>
        <v>-6000</v>
      </c>
    </row>
    <row r="167" spans="1:24" s="16" customFormat="1" ht="12.75" x14ac:dyDescent="0.2">
      <c r="A167" s="13" t="str">
        <f t="shared" si="67"/>
        <v>Advisory Committee Meetings Costs</v>
      </c>
      <c r="B167" s="82">
        <f t="shared" si="67"/>
        <v>0</v>
      </c>
      <c r="C167" s="82">
        <f t="shared" ref="C167:E170" si="69">+C202-B202</f>
        <v>0</v>
      </c>
      <c r="D167" s="82">
        <f t="shared" si="69"/>
        <v>0</v>
      </c>
      <c r="E167" s="174">
        <f t="shared" si="69"/>
        <v>0</v>
      </c>
      <c r="F167" s="174">
        <v>0</v>
      </c>
      <c r="G167" s="174">
        <f t="shared" ref="G167:M167" si="70">+G202-F202</f>
        <v>-12500</v>
      </c>
      <c r="H167" s="82">
        <f t="shared" si="70"/>
        <v>0</v>
      </c>
      <c r="I167" s="82">
        <f t="shared" si="70"/>
        <v>0</v>
      </c>
      <c r="J167" s="82">
        <f t="shared" si="70"/>
        <v>0</v>
      </c>
      <c r="K167" s="82">
        <f t="shared" si="70"/>
        <v>0</v>
      </c>
      <c r="L167" s="82">
        <f t="shared" si="70"/>
        <v>-10000</v>
      </c>
      <c r="M167" s="82">
        <f t="shared" si="70"/>
        <v>0</v>
      </c>
      <c r="N167" s="44">
        <f t="shared" si="66"/>
        <v>-22500</v>
      </c>
    </row>
    <row r="168" spans="1:24" s="16" customFormat="1" ht="12.75" x14ac:dyDescent="0.2">
      <c r="A168" s="13" t="str">
        <f>+A203</f>
        <v>Insurance - D&amp;O</v>
      </c>
      <c r="B168" s="82">
        <f t="shared" si="67"/>
        <v>0</v>
      </c>
      <c r="C168" s="82">
        <f t="shared" si="69"/>
        <v>0</v>
      </c>
      <c r="D168" s="82">
        <f t="shared" si="69"/>
        <v>0</v>
      </c>
      <c r="E168" s="174">
        <f t="shared" si="69"/>
        <v>0</v>
      </c>
      <c r="F168" s="174">
        <v>0</v>
      </c>
      <c r="G168" s="174">
        <f t="shared" ref="G168:H170" si="71">+G203-F203</f>
        <v>0</v>
      </c>
      <c r="H168" s="82">
        <f t="shared" si="71"/>
        <v>0</v>
      </c>
      <c r="I168" s="82">
        <f t="shared" ref="I168:M169" si="72">+I203-H203</f>
        <v>-1104.94</v>
      </c>
      <c r="J168" s="82">
        <f t="shared" si="72"/>
        <v>-1104.94</v>
      </c>
      <c r="K168" s="82">
        <f>+K203-J203</f>
        <v>-1104.94</v>
      </c>
      <c r="L168" s="82">
        <f t="shared" si="72"/>
        <v>-1104.94</v>
      </c>
      <c r="M168" s="82">
        <f t="shared" si="72"/>
        <v>-1104.9399999999996</v>
      </c>
      <c r="N168" s="44">
        <f t="shared" si="66"/>
        <v>-5524.7</v>
      </c>
    </row>
    <row r="169" spans="1:24" s="16" customFormat="1" ht="12.75" x14ac:dyDescent="0.2">
      <c r="A169" s="13" t="str">
        <f>+A204</f>
        <v>Analysis Fee - IDB Loan</v>
      </c>
      <c r="B169" s="82">
        <f t="shared" si="67"/>
        <v>0</v>
      </c>
      <c r="C169" s="82">
        <f t="shared" si="69"/>
        <v>0</v>
      </c>
      <c r="D169" s="82">
        <f t="shared" si="69"/>
        <v>0</v>
      </c>
      <c r="E169" s="174">
        <f t="shared" si="69"/>
        <v>0</v>
      </c>
      <c r="F169" s="174">
        <f>+F204-E204</f>
        <v>0</v>
      </c>
      <c r="G169" s="174">
        <f t="shared" si="71"/>
        <v>0</v>
      </c>
      <c r="H169" s="82">
        <f t="shared" si="71"/>
        <v>0</v>
      </c>
      <c r="I169" s="82">
        <f>+I204-H204</f>
        <v>0</v>
      </c>
      <c r="J169" s="82">
        <f>+J204-I204</f>
        <v>0</v>
      </c>
      <c r="K169" s="82">
        <f>+K204-J204</f>
        <v>0</v>
      </c>
      <c r="L169" s="82">
        <f t="shared" si="72"/>
        <v>-25000</v>
      </c>
      <c r="M169" s="82">
        <f t="shared" si="72"/>
        <v>0</v>
      </c>
      <c r="N169" s="44">
        <f t="shared" si="66"/>
        <v>-25000</v>
      </c>
    </row>
    <row r="170" spans="1:24" s="16" customFormat="1" ht="12.75" x14ac:dyDescent="0.2">
      <c r="A170" s="13" t="str">
        <f>+A205</f>
        <v>Others</v>
      </c>
      <c r="B170" s="82">
        <f t="shared" si="67"/>
        <v>0</v>
      </c>
      <c r="C170" s="82">
        <f t="shared" si="69"/>
        <v>0</v>
      </c>
      <c r="D170" s="82">
        <f t="shared" si="69"/>
        <v>0</v>
      </c>
      <c r="E170" s="174">
        <f t="shared" si="69"/>
        <v>0</v>
      </c>
      <c r="F170" s="174">
        <f>+F205-E205</f>
        <v>0</v>
      </c>
      <c r="G170" s="174">
        <f t="shared" si="71"/>
        <v>0</v>
      </c>
      <c r="H170" s="82">
        <f t="shared" si="71"/>
        <v>0</v>
      </c>
      <c r="I170" s="82">
        <f>+I205-H205</f>
        <v>0</v>
      </c>
      <c r="J170" s="82">
        <f>+J205-I205</f>
        <v>0</v>
      </c>
      <c r="K170" s="82">
        <f>+K205-J205</f>
        <v>0</v>
      </c>
      <c r="L170" s="82">
        <f>+L205-K205</f>
        <v>0</v>
      </c>
      <c r="M170" s="82">
        <f>+M205-L205</f>
        <v>-1617</v>
      </c>
      <c r="N170" s="44">
        <f>+SUM(B170:M170)</f>
        <v>-1617</v>
      </c>
    </row>
    <row r="171" spans="1:24" x14ac:dyDescent="0.2">
      <c r="A171" s="10" t="s">
        <v>15</v>
      </c>
      <c r="B171" s="25">
        <f t="shared" ref="B171:K171" si="73">+SUM(B160:B169)</f>
        <v>-65486.577260274003</v>
      </c>
      <c r="C171" s="25">
        <f t="shared" si="73"/>
        <v>-58323.848493151003</v>
      </c>
      <c r="D171" s="25">
        <f t="shared" si="73"/>
        <v>-69640.614246575002</v>
      </c>
      <c r="E171" s="179">
        <f t="shared" si="73"/>
        <v>-92925.70333333328</v>
      </c>
      <c r="F171" s="179">
        <f t="shared" si="73"/>
        <v>-97884.256666666697</v>
      </c>
      <c r="G171" s="179">
        <f t="shared" si="73"/>
        <v>-131982.86562725421</v>
      </c>
      <c r="H171" s="25">
        <f t="shared" si="73"/>
        <v>-111007.3643727458</v>
      </c>
      <c r="I171" s="25">
        <f t="shared" si="73"/>
        <v>-116959.13999999998</v>
      </c>
      <c r="J171" s="25">
        <f t="shared" si="73"/>
        <v>-111449.68000000002</v>
      </c>
      <c r="K171" s="25">
        <f t="shared" si="73"/>
        <v>-121003.92999999989</v>
      </c>
      <c r="L171" s="25">
        <f>+SUM(L160:L169)</f>
        <v>-165991.40000000002</v>
      </c>
      <c r="M171" s="25">
        <f>+SUM(M160:M170)</f>
        <v>-63788.830000000016</v>
      </c>
      <c r="N171" s="25">
        <f>SUM(N160:N170)</f>
        <v>-1206444.2099999997</v>
      </c>
      <c r="O171" s="115"/>
      <c r="P171" s="115"/>
    </row>
    <row r="172" spans="1:24" x14ac:dyDescent="0.2">
      <c r="A172" s="30"/>
      <c r="B172" s="63"/>
      <c r="C172" s="63"/>
      <c r="D172" s="63"/>
      <c r="E172" s="196"/>
      <c r="F172" s="196"/>
      <c r="G172" s="196"/>
      <c r="H172" s="63"/>
      <c r="I172" s="63"/>
      <c r="J172" s="63"/>
      <c r="K172" s="63"/>
      <c r="L172" s="63"/>
      <c r="M172" s="63"/>
      <c r="N172" s="63"/>
    </row>
    <row r="173" spans="1:24" ht="15" x14ac:dyDescent="0.25">
      <c r="A173" s="17" t="s">
        <v>137</v>
      </c>
      <c r="B173" s="32">
        <f t="shared" ref="B173:N173" si="74">+B157+B171</f>
        <v>-27872.897260274003</v>
      </c>
      <c r="C173" s="32">
        <f t="shared" si="74"/>
        <v>-2872.7484931510044</v>
      </c>
      <c r="D173" s="32">
        <f t="shared" si="74"/>
        <v>19626.995753425013</v>
      </c>
      <c r="E173" s="191">
        <f t="shared" si="74"/>
        <v>14717.626666666678</v>
      </c>
      <c r="F173" s="191">
        <f t="shared" si="74"/>
        <v>16055.333333333328</v>
      </c>
      <c r="G173" s="191">
        <f t="shared" si="74"/>
        <v>-15949.545627254207</v>
      </c>
      <c r="H173" s="32">
        <f t="shared" si="74"/>
        <v>26181.195627254143</v>
      </c>
      <c r="I173" s="32">
        <f t="shared" si="74"/>
        <v>48815.900000000052</v>
      </c>
      <c r="J173" s="32">
        <f t="shared" si="74"/>
        <v>79829.799999999959</v>
      </c>
      <c r="K173" s="32">
        <f t="shared" si="74"/>
        <v>114101.72000000025</v>
      </c>
      <c r="L173" s="32">
        <f t="shared" si="74"/>
        <v>68170.54999999993</v>
      </c>
      <c r="M173" s="32">
        <f t="shared" si="74"/>
        <v>209315.55999999988</v>
      </c>
      <c r="N173" s="32">
        <f t="shared" si="74"/>
        <v>550119.49000000022</v>
      </c>
      <c r="P173" s="115"/>
    </row>
    <row r="174" spans="1:24" ht="10.5" customHeight="1" x14ac:dyDescent="0.25">
      <c r="A174" s="19"/>
      <c r="B174" s="124"/>
      <c r="C174" s="124"/>
      <c r="D174" s="124"/>
      <c r="E174" s="197"/>
      <c r="F174" s="197"/>
      <c r="G174" s="197"/>
      <c r="H174" s="124"/>
      <c r="I174" s="124"/>
      <c r="J174" s="124"/>
      <c r="K174" s="124"/>
      <c r="L174" s="124"/>
      <c r="M174" s="124"/>
      <c r="N174" s="124"/>
    </row>
    <row r="175" spans="1:24" x14ac:dyDescent="0.2">
      <c r="A175" s="120" t="s">
        <v>138</v>
      </c>
      <c r="B175" s="125">
        <f>+B210</f>
        <v>0</v>
      </c>
      <c r="C175" s="125">
        <f t="shared" ref="C175:M175" si="75">+C210-B210</f>
        <v>0</v>
      </c>
      <c r="D175" s="125">
        <f t="shared" si="75"/>
        <v>0</v>
      </c>
      <c r="E175" s="183">
        <f t="shared" si="75"/>
        <v>0</v>
      </c>
      <c r="F175" s="183">
        <f t="shared" si="75"/>
        <v>0</v>
      </c>
      <c r="G175" s="183">
        <f t="shared" si="75"/>
        <v>0</v>
      </c>
      <c r="H175" s="125">
        <f t="shared" si="75"/>
        <v>-104115.89</v>
      </c>
      <c r="I175" s="125">
        <f t="shared" si="75"/>
        <v>3570.1399999999994</v>
      </c>
      <c r="J175" s="125">
        <f t="shared" si="75"/>
        <v>100545.75</v>
      </c>
      <c r="K175" s="125">
        <f t="shared" si="75"/>
        <v>0</v>
      </c>
      <c r="L175" s="125">
        <f t="shared" si="75"/>
        <v>0</v>
      </c>
      <c r="M175" s="125">
        <f t="shared" si="75"/>
        <v>0</v>
      </c>
      <c r="N175" s="125">
        <f>+SUM(B175:M175)</f>
        <v>0</v>
      </c>
    </row>
    <row r="176" spans="1:24" ht="9.75" customHeight="1" x14ac:dyDescent="0.25">
      <c r="A176" s="22"/>
      <c r="B176" s="126"/>
      <c r="C176" s="126"/>
      <c r="D176" s="126"/>
      <c r="E176" s="198"/>
      <c r="F176" s="198"/>
      <c r="G176" s="198"/>
      <c r="H176" s="126"/>
      <c r="I176" s="126"/>
      <c r="J176" s="126"/>
      <c r="K176" s="126"/>
      <c r="L176" s="126"/>
      <c r="M176" s="126"/>
      <c r="N176" s="126"/>
    </row>
    <row r="177" spans="1:18" ht="15" x14ac:dyDescent="0.25">
      <c r="A177" s="26" t="s">
        <v>139</v>
      </c>
      <c r="B177" s="32">
        <f t="shared" ref="B177:N177" si="76">+B173+B175</f>
        <v>-27872.897260274003</v>
      </c>
      <c r="C177" s="32">
        <f t="shared" si="76"/>
        <v>-2872.7484931510044</v>
      </c>
      <c r="D177" s="32">
        <f t="shared" si="76"/>
        <v>19626.995753425013</v>
      </c>
      <c r="E177" s="191">
        <f t="shared" si="76"/>
        <v>14717.626666666678</v>
      </c>
      <c r="F177" s="191">
        <f t="shared" si="76"/>
        <v>16055.333333333328</v>
      </c>
      <c r="G177" s="191">
        <f t="shared" si="76"/>
        <v>-15949.545627254207</v>
      </c>
      <c r="H177" s="32">
        <f t="shared" si="76"/>
        <v>-77934.694372745857</v>
      </c>
      <c r="I177" s="32">
        <f t="shared" si="76"/>
        <v>52386.040000000052</v>
      </c>
      <c r="J177" s="32">
        <f t="shared" si="76"/>
        <v>180375.54999999996</v>
      </c>
      <c r="K177" s="32">
        <f t="shared" si="76"/>
        <v>114101.72000000025</v>
      </c>
      <c r="L177" s="32">
        <f t="shared" si="76"/>
        <v>68170.54999999993</v>
      </c>
      <c r="M177" s="32">
        <f t="shared" si="76"/>
        <v>209315.55999999988</v>
      </c>
      <c r="N177" s="32">
        <f t="shared" si="76"/>
        <v>550119.49000000022</v>
      </c>
    </row>
    <row r="178" spans="1:18" ht="15" hidden="1" x14ac:dyDescent="0.25">
      <c r="A178" s="121"/>
      <c r="B178" s="126"/>
      <c r="C178" s="126"/>
      <c r="D178" s="126"/>
      <c r="E178" s="198"/>
      <c r="F178" s="198"/>
      <c r="G178" s="198"/>
      <c r="H178" s="126"/>
      <c r="I178" s="126"/>
      <c r="J178" s="126"/>
      <c r="K178" s="126"/>
      <c r="L178" s="126"/>
      <c r="M178" s="126"/>
      <c r="N178" s="126"/>
    </row>
    <row r="179" spans="1:18" hidden="1" x14ac:dyDescent="0.2">
      <c r="A179" s="122" t="s">
        <v>140</v>
      </c>
      <c r="B179" s="127">
        <f>+B220</f>
        <v>0</v>
      </c>
      <c r="C179" s="127">
        <f t="shared" ref="C179:M179" si="77">+C220-B220</f>
        <v>0</v>
      </c>
      <c r="D179" s="127">
        <f t="shared" si="77"/>
        <v>0</v>
      </c>
      <c r="E179" s="199">
        <f t="shared" si="77"/>
        <v>0</v>
      </c>
      <c r="F179" s="199">
        <f t="shared" si="77"/>
        <v>0</v>
      </c>
      <c r="G179" s="199">
        <f t="shared" si="77"/>
        <v>0</v>
      </c>
      <c r="H179" s="127">
        <f t="shared" si="77"/>
        <v>0</v>
      </c>
      <c r="I179" s="127">
        <f t="shared" si="77"/>
        <v>0</v>
      </c>
      <c r="J179" s="127">
        <f t="shared" si="77"/>
        <v>0</v>
      </c>
      <c r="K179" s="127">
        <f t="shared" si="77"/>
        <v>0</v>
      </c>
      <c r="L179" s="127">
        <f t="shared" si="77"/>
        <v>0</v>
      </c>
      <c r="M179" s="127">
        <f t="shared" si="77"/>
        <v>0</v>
      </c>
      <c r="N179" s="127">
        <f>+SUM(B179:D179)</f>
        <v>0</v>
      </c>
    </row>
    <row r="180" spans="1:18" x14ac:dyDescent="0.2">
      <c r="A180" s="123"/>
      <c r="B180" s="125"/>
      <c r="C180" s="125"/>
      <c r="D180" s="125"/>
      <c r="E180" s="183"/>
      <c r="F180" s="183"/>
      <c r="G180" s="183"/>
      <c r="H180" s="125"/>
      <c r="I180" s="125"/>
      <c r="J180" s="125"/>
      <c r="K180" s="125"/>
      <c r="L180" s="125"/>
      <c r="M180" s="125"/>
      <c r="N180" s="125"/>
    </row>
    <row r="181" spans="1:18" ht="15" hidden="1" x14ac:dyDescent="0.25">
      <c r="A181" s="26" t="s">
        <v>141</v>
      </c>
      <c r="B181" s="32">
        <f t="shared" ref="B181:N181" si="78">+B177+B179</f>
        <v>-27872.897260274003</v>
      </c>
      <c r="C181" s="32">
        <f t="shared" si="78"/>
        <v>-2872.7484931510044</v>
      </c>
      <c r="D181" s="32">
        <f t="shared" si="78"/>
        <v>19626.995753425013</v>
      </c>
      <c r="E181" s="191">
        <f t="shared" si="78"/>
        <v>14717.626666666678</v>
      </c>
      <c r="F181" s="191">
        <f t="shared" si="78"/>
        <v>16055.333333333328</v>
      </c>
      <c r="G181" s="191">
        <f t="shared" ref="G181:M181" si="79">+G177+G179</f>
        <v>-15949.545627254207</v>
      </c>
      <c r="H181" s="32">
        <f t="shared" si="79"/>
        <v>-77934.694372745857</v>
      </c>
      <c r="I181" s="32">
        <f t="shared" si="79"/>
        <v>52386.040000000052</v>
      </c>
      <c r="J181" s="32">
        <f t="shared" si="79"/>
        <v>180375.54999999996</v>
      </c>
      <c r="K181" s="32">
        <f t="shared" si="79"/>
        <v>114101.72000000025</v>
      </c>
      <c r="L181" s="32">
        <f t="shared" si="79"/>
        <v>68170.54999999993</v>
      </c>
      <c r="M181" s="32">
        <f t="shared" si="79"/>
        <v>209315.55999999988</v>
      </c>
      <c r="N181" s="32">
        <f t="shared" si="78"/>
        <v>550119.49000000022</v>
      </c>
    </row>
    <row r="182" spans="1:18" ht="10.5" hidden="1" customHeight="1" x14ac:dyDescent="0.25">
      <c r="A182" s="22"/>
      <c r="B182" s="126"/>
      <c r="C182" s="126"/>
      <c r="D182" s="126"/>
      <c r="E182" s="198"/>
      <c r="F182" s="198"/>
      <c r="G182" s="198"/>
      <c r="H182" s="126"/>
      <c r="I182" s="126"/>
      <c r="J182" s="126"/>
      <c r="K182" s="126"/>
      <c r="L182" s="126"/>
      <c r="M182" s="126"/>
      <c r="N182" s="126"/>
    </row>
    <row r="183" spans="1:18" x14ac:dyDescent="0.2">
      <c r="A183" s="22" t="s">
        <v>142</v>
      </c>
      <c r="B183" s="25">
        <f>+B223</f>
        <v>-802.29</v>
      </c>
      <c r="C183" s="25">
        <f t="shared" ref="C183:I183" si="80">+C223-B223</f>
        <v>-3778.66</v>
      </c>
      <c r="D183" s="25">
        <f t="shared" si="80"/>
        <v>-14240.079999999998</v>
      </c>
      <c r="E183" s="179">
        <f t="shared" si="80"/>
        <v>-8654.5400000000009</v>
      </c>
      <c r="F183" s="179">
        <f t="shared" si="80"/>
        <v>-3937.6599999999962</v>
      </c>
      <c r="G183" s="179">
        <f t="shared" si="80"/>
        <v>-26346.460000000014</v>
      </c>
      <c r="H183" s="25">
        <f t="shared" si="80"/>
        <v>-21770.719999999979</v>
      </c>
      <c r="I183" s="25">
        <f t="shared" si="80"/>
        <v>-37547.290000000023</v>
      </c>
      <c r="J183" s="25">
        <f>+J223-I223</f>
        <v>-78349.510000000009</v>
      </c>
      <c r="K183" s="25">
        <f>+K223-J223</f>
        <v>-63682.659999999974</v>
      </c>
      <c r="L183" s="25">
        <f>+L223-K223</f>
        <v>-58594.700000000012</v>
      </c>
      <c r="M183" s="25">
        <f>+M223-L223</f>
        <v>-122892.9599999999</v>
      </c>
      <c r="N183" s="25">
        <f>+SUM(B183:M183)</f>
        <v>-440597.52999999991</v>
      </c>
    </row>
    <row r="184" spans="1:18" x14ac:dyDescent="0.2">
      <c r="A184" s="120"/>
      <c r="B184" s="125"/>
      <c r="C184" s="125"/>
      <c r="D184" s="125"/>
      <c r="E184" s="183"/>
      <c r="F184" s="183"/>
      <c r="G184" s="183"/>
      <c r="H184" s="125"/>
      <c r="I184" s="125"/>
      <c r="J184" s="125"/>
      <c r="K184" s="125"/>
      <c r="L184" s="125"/>
      <c r="M184" s="125"/>
      <c r="N184" s="125"/>
      <c r="R184" s="115"/>
    </row>
    <row r="185" spans="1:18" ht="15" x14ac:dyDescent="0.25">
      <c r="A185" s="128" t="s">
        <v>143</v>
      </c>
      <c r="B185" s="32">
        <f t="shared" ref="B185:N185" si="81">+B181+B183</f>
        <v>-28675.187260274004</v>
      </c>
      <c r="C185" s="32">
        <f t="shared" si="81"/>
        <v>-6651.4084931510042</v>
      </c>
      <c r="D185" s="32">
        <f t="shared" si="81"/>
        <v>5386.9157534250153</v>
      </c>
      <c r="E185" s="191">
        <f t="shared" si="81"/>
        <v>6063.086666666677</v>
      </c>
      <c r="F185" s="191">
        <f t="shared" si="81"/>
        <v>12117.673333333332</v>
      </c>
      <c r="G185" s="191">
        <f t="shared" si="81"/>
        <v>-42296.005627254221</v>
      </c>
      <c r="H185" s="209">
        <f t="shared" si="81"/>
        <v>-99705.414372745843</v>
      </c>
      <c r="I185" s="209">
        <f t="shared" si="81"/>
        <v>14838.750000000029</v>
      </c>
      <c r="J185" s="209">
        <f t="shared" si="81"/>
        <v>102026.03999999995</v>
      </c>
      <c r="K185" s="209">
        <f t="shared" si="81"/>
        <v>50419.060000000274</v>
      </c>
      <c r="L185" s="209">
        <f t="shared" si="81"/>
        <v>9575.8499999999185</v>
      </c>
      <c r="M185" s="209">
        <f t="shared" si="81"/>
        <v>86422.599999999977</v>
      </c>
      <c r="N185" s="32">
        <f t="shared" si="81"/>
        <v>109521.96000000031</v>
      </c>
    </row>
    <row r="186" spans="1:18" ht="15" x14ac:dyDescent="0.25">
      <c r="A186" s="129"/>
      <c r="B186" s="33"/>
      <c r="C186" s="33"/>
      <c r="D186" s="33"/>
      <c r="E186" s="200"/>
      <c r="F186" s="200"/>
      <c r="G186" s="200"/>
      <c r="H186" s="33"/>
      <c r="I186" s="33"/>
      <c r="J186" s="33"/>
      <c r="K186" s="33"/>
      <c r="L186" s="33"/>
      <c r="M186" s="33"/>
      <c r="N186" s="33"/>
    </row>
    <row r="187" spans="1:18" ht="15" x14ac:dyDescent="0.25">
      <c r="A187" s="28"/>
      <c r="B187" s="113"/>
      <c r="C187" s="113"/>
      <c r="D187" s="113"/>
      <c r="E187" s="201"/>
      <c r="F187" s="201"/>
      <c r="G187" s="201"/>
      <c r="H187" s="113"/>
      <c r="I187" s="113"/>
      <c r="J187" s="113"/>
      <c r="K187" s="113"/>
      <c r="L187" s="113"/>
      <c r="M187" s="113"/>
      <c r="N187" s="111">
        <f>SUM(H185:M185)</f>
        <v>163576.88562725432</v>
      </c>
    </row>
    <row r="188" spans="1:18" x14ac:dyDescent="0.2">
      <c r="A188" s="46" t="s">
        <v>106</v>
      </c>
      <c r="B188" s="20"/>
      <c r="C188" s="20"/>
      <c r="D188" s="20"/>
      <c r="E188" s="171"/>
      <c r="F188" s="171"/>
      <c r="G188" s="171"/>
      <c r="H188" s="20"/>
      <c r="I188" s="20"/>
      <c r="J188" s="20"/>
      <c r="K188" s="20"/>
      <c r="L188" s="20"/>
      <c r="M188" s="20"/>
      <c r="N188" s="39"/>
      <c r="Q188" s="71"/>
    </row>
    <row r="189" spans="1:18" x14ac:dyDescent="0.2">
      <c r="A189" s="10"/>
      <c r="B189" s="21"/>
      <c r="C189" s="21"/>
      <c r="D189" s="21"/>
      <c r="E189" s="172"/>
      <c r="F189" s="172"/>
      <c r="G189" s="172"/>
      <c r="H189" s="21"/>
      <c r="I189" s="21"/>
      <c r="J189" s="21"/>
      <c r="K189" s="21"/>
      <c r="L189" s="21"/>
      <c r="M189" s="21"/>
      <c r="N189" s="39"/>
    </row>
    <row r="190" spans="1:18" s="16" customFormat="1" x14ac:dyDescent="0.2">
      <c r="A190" s="10" t="s">
        <v>12</v>
      </c>
      <c r="B190" s="21"/>
      <c r="C190" s="21"/>
      <c r="D190" s="21"/>
      <c r="E190" s="172"/>
      <c r="F190" s="172"/>
      <c r="G190" s="172"/>
      <c r="H190" s="21"/>
      <c r="I190" s="21"/>
      <c r="J190" s="21"/>
      <c r="K190" s="21"/>
      <c r="L190" s="21"/>
      <c r="M190" s="21"/>
      <c r="N190" s="39"/>
    </row>
    <row r="191" spans="1:18" s="16" customFormat="1" ht="12.75" x14ac:dyDescent="0.2">
      <c r="A191" s="13" t="s">
        <v>49</v>
      </c>
      <c r="B191" s="82">
        <f>36933.68+680</f>
        <v>37613.68</v>
      </c>
      <c r="C191" s="82">
        <f>92384.79+679.99</f>
        <v>93064.78</v>
      </c>
      <c r="D191" s="82">
        <v>182332.39</v>
      </c>
      <c r="E191" s="174">
        <v>289975.71999999997</v>
      </c>
      <c r="F191" s="174">
        <v>403915.31</v>
      </c>
      <c r="G191" s="174">
        <v>519948.63</v>
      </c>
      <c r="H191" s="82">
        <v>657137.18999999994</v>
      </c>
      <c r="I191" s="82">
        <v>822912.23</v>
      </c>
      <c r="J191" s="82">
        <v>1014191.71</v>
      </c>
      <c r="K191" s="82">
        <v>1249297.3600000001</v>
      </c>
      <c r="L191" s="82">
        <v>1483459.31</v>
      </c>
      <c r="M191" s="82">
        <v>1756563.7</v>
      </c>
      <c r="N191" s="130"/>
    </row>
    <row r="192" spans="1:18" x14ac:dyDescent="0.2">
      <c r="A192" s="10" t="s">
        <v>8</v>
      </c>
      <c r="B192" s="25">
        <f t="shared" ref="B192:M192" si="82">+B191</f>
        <v>37613.68</v>
      </c>
      <c r="C192" s="25">
        <f t="shared" si="82"/>
        <v>93064.78</v>
      </c>
      <c r="D192" s="25">
        <f t="shared" si="82"/>
        <v>182332.39</v>
      </c>
      <c r="E192" s="179">
        <f t="shared" si="82"/>
        <v>289975.71999999997</v>
      </c>
      <c r="F192" s="179">
        <f t="shared" si="82"/>
        <v>403915.31</v>
      </c>
      <c r="G192" s="179">
        <f t="shared" si="82"/>
        <v>519948.63</v>
      </c>
      <c r="H192" s="25">
        <f t="shared" si="82"/>
        <v>657137.18999999994</v>
      </c>
      <c r="I192" s="25">
        <f t="shared" si="82"/>
        <v>822912.23</v>
      </c>
      <c r="J192" s="25">
        <f t="shared" si="82"/>
        <v>1014191.71</v>
      </c>
      <c r="K192" s="25">
        <f t="shared" si="82"/>
        <v>1249297.3600000001</v>
      </c>
      <c r="L192" s="25">
        <f t="shared" si="82"/>
        <v>1483459.31</v>
      </c>
      <c r="M192" s="25">
        <f t="shared" si="82"/>
        <v>1756563.7</v>
      </c>
      <c r="N192" s="39"/>
    </row>
    <row r="193" spans="1:15" x14ac:dyDescent="0.2">
      <c r="A193" s="10"/>
      <c r="B193" s="25"/>
      <c r="C193" s="25"/>
      <c r="D193" s="25"/>
      <c r="E193" s="179"/>
      <c r="F193" s="179"/>
      <c r="G193" s="179"/>
      <c r="H193" s="25"/>
      <c r="I193" s="25"/>
      <c r="J193" s="25"/>
      <c r="K193" s="25"/>
      <c r="L193" s="25"/>
      <c r="M193" s="25"/>
      <c r="N193" s="39"/>
    </row>
    <row r="194" spans="1:15" s="16" customFormat="1" x14ac:dyDescent="0.2">
      <c r="A194" s="10" t="s">
        <v>13</v>
      </c>
      <c r="B194" s="25"/>
      <c r="C194" s="25"/>
      <c r="D194" s="25"/>
      <c r="E194" s="179"/>
      <c r="F194" s="179"/>
      <c r="G194" s="179"/>
      <c r="H194" s="25"/>
      <c r="I194" s="25"/>
      <c r="J194" s="25"/>
      <c r="K194" s="25"/>
      <c r="L194" s="25"/>
      <c r="M194" s="25"/>
      <c r="N194" s="39"/>
    </row>
    <row r="195" spans="1:15" s="16" customFormat="1" ht="12.75" x14ac:dyDescent="0.2">
      <c r="A195" s="13" t="s">
        <v>14</v>
      </c>
      <c r="B195" s="82">
        <v>-52827.397260274003</v>
      </c>
      <c r="C195" s="82">
        <f>-100542.465753425+100-5041.1</f>
        <v>-105483.56575342501</v>
      </c>
      <c r="D195" s="82">
        <f>-152281.17-11835.62</f>
        <v>-164116.79</v>
      </c>
      <c r="E195" s="174">
        <f>-210445.55-11835.62</f>
        <v>-222281.16999999998</v>
      </c>
      <c r="F195" s="174">
        <f>-272615.41-11835.62+1200</f>
        <v>-283251.02999999997</v>
      </c>
      <c r="G195" s="174">
        <f>-331609.79-13113.4+1277.79-7178.08</f>
        <v>-350623.48000000004</v>
      </c>
      <c r="H195" s="82">
        <f>-398875.54-19013.69</f>
        <v>-417889.23</v>
      </c>
      <c r="I195" s="82">
        <f>-466141.29-19013.69+800</f>
        <v>-484354.98</v>
      </c>
      <c r="J195" s="82">
        <f>-527937.18-19013.69</f>
        <v>-546950.87</v>
      </c>
      <c r="K195" s="82">
        <f>-595222.94-19013.69+2200</f>
        <v>-612036.62999999989</v>
      </c>
      <c r="L195" s="82">
        <f>-658118.83-19013.69-1000</f>
        <v>-678132.5199999999</v>
      </c>
      <c r="M195" s="82">
        <f>-725384.59-19013.69+30000+3000</f>
        <v>-711398.27999999991</v>
      </c>
      <c r="N195" s="131"/>
    </row>
    <row r="196" spans="1:15" s="16" customFormat="1" ht="12.75" x14ac:dyDescent="0.2">
      <c r="A196" s="13" t="s">
        <v>176</v>
      </c>
      <c r="B196" s="82">
        <v>0</v>
      </c>
      <c r="C196" s="82">
        <v>0</v>
      </c>
      <c r="D196" s="82">
        <v>0</v>
      </c>
      <c r="E196" s="174">
        <v>-16333.333333333299</v>
      </c>
      <c r="F196" s="174">
        <v>-39916.660000000003</v>
      </c>
      <c r="G196" s="174">
        <f>-68000</f>
        <v>-68000</v>
      </c>
      <c r="H196" s="82">
        <v>-106416.66</v>
      </c>
      <c r="I196" s="82">
        <v>-145166.65</v>
      </c>
      <c r="J196" s="82">
        <v>-185166.65</v>
      </c>
      <c r="K196" s="82">
        <v>-229083.31</v>
      </c>
      <c r="L196" s="82">
        <v>-271583.31</v>
      </c>
      <c r="M196" s="82">
        <v>-315500</v>
      </c>
      <c r="N196" s="131"/>
    </row>
    <row r="197" spans="1:15" s="16" customFormat="1" ht="12.75" x14ac:dyDescent="0.2">
      <c r="A197" s="13" t="s">
        <v>160</v>
      </c>
      <c r="B197" s="82">
        <v>0</v>
      </c>
      <c r="C197" s="82">
        <f>-1277.78-179.9</f>
        <v>-1457.68</v>
      </c>
      <c r="D197" s="82">
        <f>-2429.79-1277.78</f>
        <v>-3707.5699999999997</v>
      </c>
      <c r="E197" s="174">
        <f>-3682.98-1277.78</f>
        <v>-4960.76</v>
      </c>
      <c r="F197" s="174">
        <f>-4512.14-1277.78</f>
        <v>-5789.92</v>
      </c>
      <c r="G197" s="174">
        <v>-6841.0056272541597</v>
      </c>
      <c r="H197" s="82">
        <v>-8182.93</v>
      </c>
      <c r="I197" s="82">
        <v>-9128.74</v>
      </c>
      <c r="J197" s="82">
        <v>-9835.7000000000007</v>
      </c>
      <c r="K197" s="82">
        <v>-10350.950000000001</v>
      </c>
      <c r="L197" s="82">
        <v>-10849.58</v>
      </c>
      <c r="M197" s="82">
        <v>-11392.62</v>
      </c>
      <c r="N197" s="131"/>
    </row>
    <row r="198" spans="1:15" s="16" customFormat="1" ht="12.75" x14ac:dyDescent="0.2">
      <c r="A198" s="13" t="s">
        <v>27</v>
      </c>
      <c r="B198" s="82">
        <v>20.82</v>
      </c>
      <c r="C198" s="82">
        <v>60.82</v>
      </c>
      <c r="D198" s="82">
        <v>-174.18</v>
      </c>
      <c r="E198" s="174">
        <v>-449.18</v>
      </c>
      <c r="F198" s="174">
        <v>-604.17999999999995</v>
      </c>
      <c r="G198" s="174">
        <v>-1239.18</v>
      </c>
      <c r="H198" s="82">
        <v>-1469.18</v>
      </c>
      <c r="I198" s="82">
        <v>-1589.18</v>
      </c>
      <c r="J198" s="82">
        <v>-1904.18</v>
      </c>
      <c r="K198" s="82">
        <v>-2294.1799999999998</v>
      </c>
      <c r="L198" s="82">
        <v>-2509.79</v>
      </c>
      <c r="M198" s="82">
        <f>-3144.19</f>
        <v>-3144.19</v>
      </c>
      <c r="N198" s="131"/>
    </row>
    <row r="199" spans="1:15" s="16" customFormat="1" ht="12.75" x14ac:dyDescent="0.2">
      <c r="A199" s="13" t="s">
        <v>24</v>
      </c>
      <c r="B199" s="82">
        <v>-8930</v>
      </c>
      <c r="C199" s="82">
        <v>-8930</v>
      </c>
      <c r="D199" s="82">
        <f>-8930-4272.5</f>
        <v>-13202.5</v>
      </c>
      <c r="E199" s="174">
        <f>-12649.8-8930-4272.5</f>
        <v>-25852.3</v>
      </c>
      <c r="F199" s="174">
        <f>-31393.88-2555.33</f>
        <v>-33949.21</v>
      </c>
      <c r="G199" s="174">
        <v>-52040.2</v>
      </c>
      <c r="H199" s="82">
        <v>-52043.23</v>
      </c>
      <c r="I199" s="82">
        <v>-57365.88</v>
      </c>
      <c r="J199" s="82">
        <f>-35127.07-24215.7</f>
        <v>-59342.770000000004</v>
      </c>
      <c r="K199" s="82">
        <v>-65084.09</v>
      </c>
      <c r="L199" s="82">
        <f>-80397.04-13.38</f>
        <v>-80410.42</v>
      </c>
      <c r="M199" s="156">
        <f>-80410.42-440</f>
        <v>-80850.42</v>
      </c>
      <c r="N199" s="131"/>
    </row>
    <row r="200" spans="1:15" s="16" customFormat="1" ht="12.75" x14ac:dyDescent="0.2">
      <c r="A200" s="13" t="s">
        <v>35</v>
      </c>
      <c r="B200" s="82">
        <v>-3750</v>
      </c>
      <c r="C200" s="82">
        <f>-3750*2</f>
        <v>-7500</v>
      </c>
      <c r="D200" s="82">
        <v>-11250</v>
      </c>
      <c r="E200" s="174">
        <v>-15000</v>
      </c>
      <c r="F200" s="174">
        <v>-18750</v>
      </c>
      <c r="G200" s="174">
        <v>-22500</v>
      </c>
      <c r="H200" s="82">
        <v>-26250</v>
      </c>
      <c r="I200" s="82">
        <v>-30000</v>
      </c>
      <c r="J200" s="82">
        <v>-33750</v>
      </c>
      <c r="K200" s="82">
        <v>-37500</v>
      </c>
      <c r="L200" s="82">
        <v>-41250</v>
      </c>
      <c r="M200" s="82">
        <f>-31000+7483</f>
        <v>-23517</v>
      </c>
      <c r="N200" s="131"/>
      <c r="O200" s="36"/>
    </row>
    <row r="201" spans="1:15" s="16" customFormat="1" ht="12.75" x14ac:dyDescent="0.2">
      <c r="A201" s="13" t="s">
        <v>158</v>
      </c>
      <c r="B201" s="82">
        <v>0</v>
      </c>
      <c r="C201" s="82">
        <v>-500</v>
      </c>
      <c r="D201" s="82">
        <v>-1000</v>
      </c>
      <c r="E201" s="174">
        <v>-1500</v>
      </c>
      <c r="F201" s="174">
        <v>-2000</v>
      </c>
      <c r="G201" s="174">
        <v>-2500</v>
      </c>
      <c r="H201" s="82">
        <v>-2500</v>
      </c>
      <c r="I201" s="82">
        <v>-3000</v>
      </c>
      <c r="J201" s="82">
        <v>-4000</v>
      </c>
      <c r="K201" s="82">
        <v>-4500</v>
      </c>
      <c r="L201" s="82">
        <v>-6000</v>
      </c>
      <c r="M201" s="82">
        <v>-6000</v>
      </c>
      <c r="N201" s="131"/>
    </row>
    <row r="202" spans="1:15" s="16" customFormat="1" ht="12.75" x14ac:dyDescent="0.2">
      <c r="A202" s="13" t="s">
        <v>187</v>
      </c>
      <c r="B202" s="82">
        <v>0</v>
      </c>
      <c r="C202" s="82">
        <v>0</v>
      </c>
      <c r="D202" s="82">
        <v>0</v>
      </c>
      <c r="E202" s="174">
        <v>0</v>
      </c>
      <c r="F202" s="174">
        <v>0</v>
      </c>
      <c r="G202" s="174">
        <v>-12500</v>
      </c>
      <c r="H202" s="82">
        <v>-12500</v>
      </c>
      <c r="I202" s="82">
        <v>-12500</v>
      </c>
      <c r="J202" s="82">
        <v>-12500</v>
      </c>
      <c r="K202" s="82">
        <v>-12500</v>
      </c>
      <c r="L202" s="82">
        <v>-22500</v>
      </c>
      <c r="M202" s="82">
        <v>-22500</v>
      </c>
      <c r="N202" s="131"/>
    </row>
    <row r="203" spans="1:15" s="16" customFormat="1" ht="12.75" x14ac:dyDescent="0.2">
      <c r="A203" s="13" t="s">
        <v>197</v>
      </c>
      <c r="B203" s="82">
        <v>0</v>
      </c>
      <c r="C203" s="82">
        <v>0</v>
      </c>
      <c r="D203" s="82">
        <v>0</v>
      </c>
      <c r="E203" s="174">
        <v>0</v>
      </c>
      <c r="F203" s="174">
        <v>0</v>
      </c>
      <c r="G203" s="174">
        <v>0</v>
      </c>
      <c r="H203" s="82">
        <v>0</v>
      </c>
      <c r="I203" s="82">
        <v>-1104.94</v>
      </c>
      <c r="J203" s="82">
        <v>-2209.88</v>
      </c>
      <c r="K203" s="82">
        <v>-3314.82</v>
      </c>
      <c r="L203" s="82">
        <v>-4419.76</v>
      </c>
      <c r="M203" s="82">
        <v>-5524.7</v>
      </c>
      <c r="N203" s="131"/>
    </row>
    <row r="204" spans="1:15" s="16" customFormat="1" ht="12.75" x14ac:dyDescent="0.2">
      <c r="A204" s="13" t="s">
        <v>212</v>
      </c>
      <c r="B204" s="82">
        <v>0</v>
      </c>
      <c r="C204" s="82">
        <v>0</v>
      </c>
      <c r="D204" s="82">
        <v>0</v>
      </c>
      <c r="E204" s="174">
        <v>0</v>
      </c>
      <c r="F204" s="174">
        <v>0</v>
      </c>
      <c r="G204" s="174">
        <v>0</v>
      </c>
      <c r="H204" s="82">
        <v>0</v>
      </c>
      <c r="I204" s="82">
        <v>0</v>
      </c>
      <c r="J204" s="82">
        <v>0</v>
      </c>
      <c r="K204" s="82">
        <v>0</v>
      </c>
      <c r="L204" s="82">
        <v>-25000</v>
      </c>
      <c r="M204" s="82">
        <v>-25000</v>
      </c>
      <c r="N204" s="131"/>
    </row>
    <row r="205" spans="1:15" s="16" customFormat="1" ht="12.75" x14ac:dyDescent="0.2">
      <c r="A205" s="13" t="s">
        <v>26</v>
      </c>
      <c r="B205" s="82">
        <v>0</v>
      </c>
      <c r="C205" s="82">
        <v>0</v>
      </c>
      <c r="D205" s="82">
        <v>0</v>
      </c>
      <c r="E205" s="174">
        <v>0</v>
      </c>
      <c r="F205" s="174">
        <v>0</v>
      </c>
      <c r="G205" s="174">
        <v>0</v>
      </c>
      <c r="H205" s="82">
        <v>0</v>
      </c>
      <c r="I205" s="82">
        <v>0</v>
      </c>
      <c r="J205" s="82">
        <v>0</v>
      </c>
      <c r="K205" s="82">
        <v>0</v>
      </c>
      <c r="L205" s="82">
        <v>0</v>
      </c>
      <c r="M205" s="82">
        <v>-1617</v>
      </c>
      <c r="N205" s="131"/>
    </row>
    <row r="206" spans="1:15" x14ac:dyDescent="0.2">
      <c r="A206" s="10" t="s">
        <v>15</v>
      </c>
      <c r="B206" s="25">
        <f t="shared" ref="B206:M206" si="83">SUM(B195:B205)</f>
        <v>-65486.577260274003</v>
      </c>
      <c r="C206" s="25">
        <f t="shared" si="83"/>
        <v>-123810.42575342499</v>
      </c>
      <c r="D206" s="25">
        <f t="shared" si="83"/>
        <v>-193451.04</v>
      </c>
      <c r="E206" s="179">
        <f t="shared" si="83"/>
        <v>-286376.74333333329</v>
      </c>
      <c r="F206" s="179">
        <f t="shared" si="83"/>
        <v>-384260.99999999994</v>
      </c>
      <c r="G206" s="179">
        <f t="shared" si="83"/>
        <v>-516243.86562725418</v>
      </c>
      <c r="H206" s="25">
        <f t="shared" si="83"/>
        <v>-627251.2300000001</v>
      </c>
      <c r="I206" s="25">
        <f t="shared" si="83"/>
        <v>-744210.37</v>
      </c>
      <c r="J206" s="25">
        <f t="shared" si="83"/>
        <v>-855660.05</v>
      </c>
      <c r="K206" s="25">
        <f t="shared" si="83"/>
        <v>-976663.97999999986</v>
      </c>
      <c r="L206" s="25">
        <f t="shared" si="83"/>
        <v>-1142655.3799999999</v>
      </c>
      <c r="M206" s="25">
        <f t="shared" si="83"/>
        <v>-1206444.2099999997</v>
      </c>
      <c r="N206" s="39"/>
      <c r="O206" s="114"/>
    </row>
    <row r="207" spans="1:15" x14ac:dyDescent="0.2">
      <c r="A207" s="30"/>
      <c r="B207" s="132"/>
      <c r="C207" s="132"/>
      <c r="D207" s="132"/>
      <c r="E207" s="202"/>
      <c r="F207" s="202"/>
      <c r="G207" s="202"/>
      <c r="H207" s="132"/>
      <c r="I207" s="132"/>
      <c r="J207" s="132"/>
      <c r="K207" s="132"/>
      <c r="L207" s="132"/>
      <c r="M207" s="132"/>
      <c r="N207" s="39"/>
    </row>
    <row r="208" spans="1:15" ht="15" x14ac:dyDescent="0.25">
      <c r="A208" s="17" t="s">
        <v>137</v>
      </c>
      <c r="B208" s="32">
        <f t="shared" ref="B208:K208" si="84">+B192+B206</f>
        <v>-27872.897260274003</v>
      </c>
      <c r="C208" s="32">
        <f t="shared" si="84"/>
        <v>-30745.645753424993</v>
      </c>
      <c r="D208" s="32">
        <f t="shared" si="84"/>
        <v>-11118.649999999994</v>
      </c>
      <c r="E208" s="191">
        <f t="shared" si="84"/>
        <v>3598.9766666666837</v>
      </c>
      <c r="F208" s="191">
        <f t="shared" si="84"/>
        <v>19654.310000000056</v>
      </c>
      <c r="G208" s="191">
        <f t="shared" si="84"/>
        <v>3704.7643727458199</v>
      </c>
      <c r="H208" s="32">
        <f t="shared" si="84"/>
        <v>29885.959999999846</v>
      </c>
      <c r="I208" s="32">
        <f t="shared" si="84"/>
        <v>78701.859999999986</v>
      </c>
      <c r="J208" s="32">
        <f t="shared" si="84"/>
        <v>158531.65999999992</v>
      </c>
      <c r="K208" s="32">
        <f t="shared" si="84"/>
        <v>272633.38000000024</v>
      </c>
      <c r="L208" s="32">
        <f>+L192+L206</f>
        <v>340803.93000000017</v>
      </c>
      <c r="M208" s="32">
        <f>+M192+M206</f>
        <v>550119.49000000022</v>
      </c>
      <c r="N208" s="119"/>
      <c r="O208" s="54"/>
    </row>
    <row r="209" spans="1:15" ht="10.5" customHeight="1" x14ac:dyDescent="0.25">
      <c r="A209" s="19"/>
      <c r="B209" s="124"/>
      <c r="C209" s="124"/>
      <c r="D209" s="124"/>
      <c r="E209" s="197"/>
      <c r="F209" s="197"/>
      <c r="G209" s="197"/>
      <c r="H209" s="124"/>
      <c r="I209" s="124"/>
      <c r="J209" s="124"/>
      <c r="K209" s="124"/>
      <c r="L209" s="124"/>
      <c r="M209" s="124"/>
      <c r="N209" s="119"/>
      <c r="O209" s="54"/>
    </row>
    <row r="210" spans="1:15" ht="15" x14ac:dyDescent="0.25">
      <c r="A210" s="120" t="s">
        <v>138</v>
      </c>
      <c r="B210" s="125">
        <v>0</v>
      </c>
      <c r="C210" s="125">
        <v>0</v>
      </c>
      <c r="D210" s="125">
        <v>0</v>
      </c>
      <c r="E210" s="183">
        <v>0</v>
      </c>
      <c r="F210" s="183">
        <v>0</v>
      </c>
      <c r="G210" s="183">
        <v>0</v>
      </c>
      <c r="H210" s="125">
        <v>-104115.89</v>
      </c>
      <c r="I210" s="125">
        <v>-100545.75</v>
      </c>
      <c r="J210" s="125">
        <v>0</v>
      </c>
      <c r="K210" s="125">
        <v>0</v>
      </c>
      <c r="L210" s="125">
        <v>0</v>
      </c>
      <c r="M210" s="125">
        <v>0</v>
      </c>
      <c r="N210" s="119"/>
      <c r="O210" s="54"/>
    </row>
    <row r="211" spans="1:15" ht="15" x14ac:dyDescent="0.25">
      <c r="A211" s="151"/>
      <c r="B211" s="152"/>
      <c r="C211" s="152"/>
      <c r="D211" s="152"/>
      <c r="E211" s="203"/>
      <c r="F211" s="203"/>
      <c r="G211" s="203"/>
      <c r="H211" s="152"/>
      <c r="I211" s="152"/>
      <c r="J211" s="152"/>
      <c r="K211" s="152"/>
      <c r="L211" s="152"/>
      <c r="M211" s="152"/>
      <c r="N211" s="119"/>
      <c r="O211" s="54"/>
    </row>
    <row r="212" spans="1:15" ht="15" x14ac:dyDescent="0.25">
      <c r="A212" s="26" t="s">
        <v>139</v>
      </c>
      <c r="B212" s="32">
        <f t="shared" ref="B212:M212" si="85">+B208+B210</f>
        <v>-27872.897260274003</v>
      </c>
      <c r="C212" s="32">
        <f t="shared" si="85"/>
        <v>-30745.645753424993</v>
      </c>
      <c r="D212" s="32">
        <f t="shared" si="85"/>
        <v>-11118.649999999994</v>
      </c>
      <c r="E212" s="191">
        <f t="shared" si="85"/>
        <v>3598.9766666666837</v>
      </c>
      <c r="F212" s="191">
        <f t="shared" si="85"/>
        <v>19654.310000000056</v>
      </c>
      <c r="G212" s="191">
        <f t="shared" si="85"/>
        <v>3704.7643727458199</v>
      </c>
      <c r="H212" s="32">
        <f t="shared" si="85"/>
        <v>-74229.930000000153</v>
      </c>
      <c r="I212" s="32">
        <f t="shared" si="85"/>
        <v>-21843.890000000014</v>
      </c>
      <c r="J212" s="32">
        <f t="shared" si="85"/>
        <v>158531.65999999992</v>
      </c>
      <c r="K212" s="32">
        <f t="shared" si="85"/>
        <v>272633.38000000024</v>
      </c>
      <c r="L212" s="32">
        <f t="shared" si="85"/>
        <v>340803.93000000017</v>
      </c>
      <c r="M212" s="32">
        <f t="shared" si="85"/>
        <v>550119.49000000022</v>
      </c>
      <c r="N212" s="119"/>
      <c r="O212" s="54"/>
    </row>
    <row r="213" spans="1:15" ht="9" customHeight="1" x14ac:dyDescent="0.25">
      <c r="A213" s="120"/>
      <c r="B213" s="125"/>
      <c r="C213" s="125"/>
      <c r="D213" s="125"/>
      <c r="E213" s="183"/>
      <c r="F213" s="183"/>
      <c r="G213" s="183"/>
      <c r="H213" s="125"/>
      <c r="I213" s="125"/>
      <c r="J213" s="125"/>
      <c r="K213" s="125"/>
      <c r="L213" s="125"/>
      <c r="M213" s="125"/>
      <c r="N213" s="119"/>
      <c r="O213" s="54"/>
    </row>
    <row r="214" spans="1:15" ht="15" x14ac:dyDescent="0.25">
      <c r="A214" s="13" t="s">
        <v>205</v>
      </c>
      <c r="B214" s="125">
        <v>0</v>
      </c>
      <c r="C214" s="125">
        <v>0</v>
      </c>
      <c r="D214" s="125">
        <v>0</v>
      </c>
      <c r="E214" s="183">
        <v>0</v>
      </c>
      <c r="F214" s="183">
        <v>0</v>
      </c>
      <c r="G214" s="183">
        <v>0</v>
      </c>
      <c r="H214" s="125">
        <v>0</v>
      </c>
      <c r="I214" s="125">
        <v>0</v>
      </c>
      <c r="J214" s="125">
        <v>25291.54</v>
      </c>
      <c r="K214" s="125">
        <v>36980.49</v>
      </c>
      <c r="L214" s="125">
        <v>36980.49</v>
      </c>
      <c r="M214" s="125">
        <v>36980.49</v>
      </c>
      <c r="N214" s="119"/>
      <c r="O214" s="54"/>
    </row>
    <row r="215" spans="1:15" ht="15" customHeight="1" x14ac:dyDescent="0.25">
      <c r="A215" s="13" t="s">
        <v>206</v>
      </c>
      <c r="B215" s="125">
        <v>0</v>
      </c>
      <c r="C215" s="125">
        <v>0</v>
      </c>
      <c r="D215" s="125">
        <v>0</v>
      </c>
      <c r="E215" s="183">
        <v>0</v>
      </c>
      <c r="F215" s="183">
        <v>0</v>
      </c>
      <c r="G215" s="183">
        <v>0</v>
      </c>
      <c r="H215" s="125">
        <v>0</v>
      </c>
      <c r="I215" s="125">
        <v>0</v>
      </c>
      <c r="J215" s="125">
        <f>-J214</f>
        <v>-25291.54</v>
      </c>
      <c r="K215" s="125">
        <f>-K214</f>
        <v>-36980.49</v>
      </c>
      <c r="L215" s="125">
        <v>-36980.49</v>
      </c>
      <c r="M215" s="125">
        <v>-36980.49</v>
      </c>
      <c r="N215" s="119"/>
      <c r="O215" s="54"/>
    </row>
    <row r="216" spans="1:15" ht="10.5" customHeight="1" x14ac:dyDescent="0.25">
      <c r="A216" s="120"/>
      <c r="B216" s="125"/>
      <c r="C216" s="125"/>
      <c r="D216" s="125"/>
      <c r="E216" s="183"/>
      <c r="F216" s="183"/>
      <c r="G216" s="183"/>
      <c r="H216" s="125"/>
      <c r="I216" s="125"/>
      <c r="J216" s="125"/>
      <c r="K216" s="125"/>
      <c r="L216" s="125"/>
      <c r="M216" s="125"/>
      <c r="N216" s="119"/>
      <c r="O216" s="54"/>
    </row>
    <row r="217" spans="1:15" ht="15" x14ac:dyDescent="0.25">
      <c r="A217" s="17" t="s">
        <v>141</v>
      </c>
      <c r="B217" s="32">
        <f t="shared" ref="B217:I217" si="86">+B212+B214+B215</f>
        <v>-27872.897260274003</v>
      </c>
      <c r="C217" s="32">
        <f t="shared" si="86"/>
        <v>-30745.645753424993</v>
      </c>
      <c r="D217" s="32">
        <f t="shared" si="86"/>
        <v>-11118.649999999994</v>
      </c>
      <c r="E217" s="191">
        <f t="shared" si="86"/>
        <v>3598.9766666666837</v>
      </c>
      <c r="F217" s="191">
        <f t="shared" si="86"/>
        <v>19654.310000000056</v>
      </c>
      <c r="G217" s="191">
        <f t="shared" si="86"/>
        <v>3704.7643727458199</v>
      </c>
      <c r="H217" s="32">
        <f t="shared" si="86"/>
        <v>-74229.930000000153</v>
      </c>
      <c r="I217" s="32">
        <f t="shared" si="86"/>
        <v>-21843.890000000014</v>
      </c>
      <c r="J217" s="32">
        <f>+J212+J214+J215</f>
        <v>158531.65999999992</v>
      </c>
      <c r="K217" s="32">
        <f>+K212+K214+K215</f>
        <v>272633.38000000024</v>
      </c>
      <c r="L217" s="32">
        <f>+L212+L214+L215</f>
        <v>340803.93000000017</v>
      </c>
      <c r="M217" s="32">
        <f>+M212+M214+M215</f>
        <v>550119.49000000022</v>
      </c>
      <c r="N217" s="119"/>
      <c r="O217" s="54"/>
    </row>
    <row r="218" spans="1:15" ht="8.25" customHeight="1" x14ac:dyDescent="0.25">
      <c r="A218" s="22"/>
      <c r="B218" s="126"/>
      <c r="C218" s="126"/>
      <c r="D218" s="126"/>
      <c r="E218" s="198"/>
      <c r="F218" s="198"/>
      <c r="G218" s="198"/>
      <c r="H218" s="126"/>
      <c r="I218" s="126"/>
      <c r="J218" s="126"/>
      <c r="K218" s="126"/>
      <c r="L218" s="126"/>
      <c r="M218" s="126"/>
      <c r="N218" s="119"/>
      <c r="O218" s="54"/>
    </row>
    <row r="219" spans="1:15" ht="15" hidden="1" x14ac:dyDescent="0.25">
      <c r="A219" s="121"/>
      <c r="B219" s="126"/>
      <c r="C219" s="126"/>
      <c r="D219" s="126"/>
      <c r="E219" s="198"/>
      <c r="F219" s="198"/>
      <c r="G219" s="198"/>
      <c r="H219" s="126"/>
      <c r="I219" s="126"/>
      <c r="J219" s="126"/>
      <c r="K219" s="126"/>
      <c r="L219" s="126"/>
      <c r="M219" s="126"/>
      <c r="N219" s="119"/>
      <c r="O219" s="54"/>
    </row>
    <row r="220" spans="1:15" ht="15" hidden="1" x14ac:dyDescent="0.25">
      <c r="A220" s="122" t="s">
        <v>140</v>
      </c>
      <c r="B220" s="127">
        <v>0</v>
      </c>
      <c r="C220" s="127">
        <v>0</v>
      </c>
      <c r="D220" s="127">
        <v>0</v>
      </c>
      <c r="E220" s="199"/>
      <c r="F220" s="199"/>
      <c r="G220" s="199"/>
      <c r="H220" s="127"/>
      <c r="I220" s="127"/>
      <c r="J220" s="127"/>
      <c r="K220" s="127"/>
      <c r="L220" s="127"/>
      <c r="M220" s="127"/>
      <c r="N220" s="119"/>
      <c r="O220" s="54"/>
    </row>
    <row r="221" spans="1:15" ht="15" hidden="1" x14ac:dyDescent="0.25">
      <c r="A221" s="26" t="s">
        <v>141</v>
      </c>
      <c r="B221" s="32">
        <f>+B212+B220</f>
        <v>-27872.897260274003</v>
      </c>
      <c r="C221" s="32">
        <f>+C212+C220</f>
        <v>-30745.645753424993</v>
      </c>
      <c r="D221" s="32">
        <f>+D212+D220</f>
        <v>-11118.649999999994</v>
      </c>
      <c r="E221" s="191"/>
      <c r="F221" s="191"/>
      <c r="G221" s="191"/>
      <c r="H221" s="32"/>
      <c r="I221" s="32"/>
      <c r="J221" s="32"/>
      <c r="K221" s="32"/>
      <c r="L221" s="32"/>
      <c r="M221" s="32"/>
      <c r="N221" s="119"/>
      <c r="O221" s="54"/>
    </row>
    <row r="222" spans="1:15" ht="7.5" hidden="1" customHeight="1" x14ac:dyDescent="0.25">
      <c r="A222" s="22"/>
      <c r="B222" s="126"/>
      <c r="C222" s="126"/>
      <c r="D222" s="126"/>
      <c r="E222" s="198"/>
      <c r="F222" s="198"/>
      <c r="G222" s="198"/>
      <c r="H222" s="126"/>
      <c r="I222" s="126"/>
      <c r="J222" s="126"/>
      <c r="K222" s="126"/>
      <c r="L222" s="126"/>
      <c r="M222" s="126"/>
      <c r="N222" s="119"/>
      <c r="O222" s="54"/>
    </row>
    <row r="223" spans="1:15" ht="15" x14ac:dyDescent="0.25">
      <c r="A223" s="22" t="s">
        <v>142</v>
      </c>
      <c r="B223" s="25">
        <v>-802.29</v>
      </c>
      <c r="C223" s="25">
        <v>-4580.95</v>
      </c>
      <c r="D223" s="25">
        <f>-19695.12+874.09</f>
        <v>-18821.03</v>
      </c>
      <c r="E223" s="179">
        <f>-44844.89+17369.32</f>
        <v>-27475.57</v>
      </c>
      <c r="F223" s="179">
        <f>35490.8-66904.03</f>
        <v>-31413.229999999996</v>
      </c>
      <c r="G223" s="179">
        <f>47109.88-104869.57</f>
        <v>-57759.69000000001</v>
      </c>
      <c r="H223" s="25">
        <f>56734.36-136264.77</f>
        <v>-79530.409999999989</v>
      </c>
      <c r="I223" s="25">
        <f>74216.12-191293.82</f>
        <v>-117077.70000000001</v>
      </c>
      <c r="J223" s="25">
        <f>82994.49-278421.7</f>
        <v>-195427.21000000002</v>
      </c>
      <c r="K223" s="25">
        <f>131668.45-390778.32</f>
        <v>-259109.87</v>
      </c>
      <c r="L223" s="25">
        <f>154991.19-472695.76</f>
        <v>-317704.57</v>
      </c>
      <c r="M223" s="25">
        <f>249393.67-689991.2</f>
        <v>-440597.52999999991</v>
      </c>
      <c r="N223" s="119"/>
      <c r="O223" s="54"/>
    </row>
    <row r="224" spans="1:15" ht="9.75" customHeight="1" x14ac:dyDescent="0.25">
      <c r="A224" s="120"/>
      <c r="B224" s="125"/>
      <c r="C224" s="125"/>
      <c r="D224" s="125"/>
      <c r="E224" s="183"/>
      <c r="F224" s="183"/>
      <c r="G224" s="183"/>
      <c r="H224" s="125"/>
      <c r="I224" s="125"/>
      <c r="J224" s="125"/>
      <c r="K224" s="125"/>
      <c r="L224" s="125"/>
      <c r="M224" s="125"/>
      <c r="N224" s="119"/>
      <c r="O224" s="54"/>
    </row>
    <row r="225" spans="1:15" ht="15" x14ac:dyDescent="0.25">
      <c r="A225" s="128" t="s">
        <v>143</v>
      </c>
      <c r="B225" s="32">
        <f t="shared" ref="B225:I225" si="87">+B217+B223</f>
        <v>-28675.187260274004</v>
      </c>
      <c r="C225" s="32">
        <f t="shared" si="87"/>
        <v>-35326.59575342499</v>
      </c>
      <c r="D225" s="32">
        <f t="shared" si="87"/>
        <v>-29939.679999999993</v>
      </c>
      <c r="E225" s="191">
        <f t="shared" si="87"/>
        <v>-23876.593333333316</v>
      </c>
      <c r="F225" s="191">
        <f t="shared" si="87"/>
        <v>-11758.91999999994</v>
      </c>
      <c r="G225" s="191">
        <f t="shared" si="87"/>
        <v>-54054.92562725419</v>
      </c>
      <c r="H225" s="32">
        <f t="shared" si="87"/>
        <v>-153760.34000000014</v>
      </c>
      <c r="I225" s="32">
        <f t="shared" si="87"/>
        <v>-138921.59000000003</v>
      </c>
      <c r="J225" s="32">
        <f>+J217+J223</f>
        <v>-36895.550000000105</v>
      </c>
      <c r="K225" s="32">
        <f>+K217+K223</f>
        <v>13523.510000000242</v>
      </c>
      <c r="L225" s="32">
        <f>+L217+L223</f>
        <v>23099.360000000161</v>
      </c>
      <c r="M225" s="32">
        <f>+M217+M223</f>
        <v>109521.96000000031</v>
      </c>
      <c r="N225" s="119"/>
      <c r="O225" s="54"/>
    </row>
    <row r="226" spans="1:15" x14ac:dyDescent="0.2">
      <c r="B226" s="34"/>
      <c r="C226" s="34"/>
      <c r="D226" s="34"/>
      <c r="E226" s="204"/>
      <c r="F226" s="204"/>
      <c r="G226" s="204"/>
      <c r="H226" s="34"/>
      <c r="I226" s="34"/>
      <c r="J226" s="34"/>
      <c r="K226" s="34"/>
      <c r="L226" s="34"/>
      <c r="M226" s="34"/>
      <c r="O226" s="54"/>
    </row>
    <row r="227" spans="1:15" x14ac:dyDescent="0.2">
      <c r="B227" s="68">
        <f t="shared" ref="B227:J227" si="88">+B100-B151</f>
        <v>-3.1963363289833069E-4</v>
      </c>
      <c r="C227" s="68">
        <f t="shared" si="88"/>
        <v>-9.1324187815189362E-4</v>
      </c>
      <c r="D227" s="68">
        <f t="shared" si="88"/>
        <v>1.0000001639127731E-2</v>
      </c>
      <c r="E227" s="205">
        <f t="shared" si="88"/>
        <v>0</v>
      </c>
      <c r="F227" s="205">
        <f t="shared" si="88"/>
        <v>0</v>
      </c>
      <c r="G227" s="205">
        <f t="shared" si="88"/>
        <v>-4.3727494776248932E-3</v>
      </c>
      <c r="H227" s="68">
        <f t="shared" si="88"/>
        <v>0</v>
      </c>
      <c r="I227" s="68">
        <f t="shared" si="88"/>
        <v>-5.9999998658895493E-2</v>
      </c>
      <c r="J227" s="68">
        <f t="shared" si="88"/>
        <v>0</v>
      </c>
      <c r="K227" s="68">
        <f>+K100-K151</f>
        <v>0</v>
      </c>
      <c r="L227" s="68">
        <f>+L100-L151</f>
        <v>0</v>
      </c>
      <c r="M227" s="68">
        <f>+M100-M151</f>
        <v>1.000000536441803E-2</v>
      </c>
      <c r="N227" s="62"/>
    </row>
    <row r="228" spans="1:15" x14ac:dyDescent="0.2">
      <c r="N228" s="67"/>
    </row>
    <row r="230" spans="1:15" x14ac:dyDescent="0.2">
      <c r="A230" s="4" t="s">
        <v>146</v>
      </c>
      <c r="B230" s="34">
        <f t="shared" ref="B230:J230" si="89">+B191</f>
        <v>37613.68</v>
      </c>
      <c r="C230" s="34">
        <f t="shared" si="89"/>
        <v>93064.78</v>
      </c>
      <c r="D230" s="34">
        <f t="shared" si="89"/>
        <v>182332.39</v>
      </c>
      <c r="E230" s="204">
        <f t="shared" si="89"/>
        <v>289975.71999999997</v>
      </c>
      <c r="F230" s="204">
        <f t="shared" si="89"/>
        <v>403915.31</v>
      </c>
      <c r="G230" s="204">
        <f t="shared" si="89"/>
        <v>519948.63</v>
      </c>
      <c r="H230" s="34">
        <f t="shared" si="89"/>
        <v>657137.18999999994</v>
      </c>
      <c r="I230" s="34">
        <f t="shared" si="89"/>
        <v>822912.23</v>
      </c>
      <c r="J230" s="34">
        <f t="shared" si="89"/>
        <v>1014191.71</v>
      </c>
      <c r="K230" s="34">
        <f>+K191</f>
        <v>1249297.3600000001</v>
      </c>
      <c r="L230" s="34">
        <f>+L191</f>
        <v>1483459.31</v>
      </c>
      <c r="M230" s="34">
        <f>+M191</f>
        <v>1756563.7</v>
      </c>
    </row>
    <row r="231" spans="1:15" x14ac:dyDescent="0.2">
      <c r="A231" s="4" t="s">
        <v>147</v>
      </c>
      <c r="B231" s="34">
        <f t="shared" ref="B231:G231" si="90">+(B230/B247)*12</f>
        <v>451364.16000000003</v>
      </c>
      <c r="C231" s="34">
        <f t="shared" si="90"/>
        <v>558388.67999999993</v>
      </c>
      <c r="D231" s="34">
        <f t="shared" si="90"/>
        <v>729329.56</v>
      </c>
      <c r="E231" s="204">
        <f t="shared" si="90"/>
        <v>869927.15999999992</v>
      </c>
      <c r="F231" s="204">
        <f t="shared" si="90"/>
        <v>969396.74400000006</v>
      </c>
      <c r="G231" s="204">
        <f t="shared" si="90"/>
        <v>1039897.26</v>
      </c>
      <c r="H231" s="34">
        <f t="shared" ref="H231:M231" si="91">+(H230/H247)*12</f>
        <v>1126520.8971428571</v>
      </c>
      <c r="I231" s="34">
        <f t="shared" si="91"/>
        <v>1234368.345</v>
      </c>
      <c r="J231" s="34">
        <f t="shared" si="91"/>
        <v>1352255.6133333333</v>
      </c>
      <c r="K231" s="34">
        <f t="shared" si="91"/>
        <v>1499156.8319999999</v>
      </c>
      <c r="L231" s="34">
        <f t="shared" si="91"/>
        <v>1618319.2472727275</v>
      </c>
      <c r="M231" s="34">
        <f t="shared" si="91"/>
        <v>1756563.6999999997</v>
      </c>
    </row>
    <row r="232" spans="1:15" x14ac:dyDescent="0.2">
      <c r="A232" s="4" t="s">
        <v>148</v>
      </c>
      <c r="B232" s="139">
        <f>+B231/AVERAGE('2013'!$C$85,'2014'!$B$245:B245)</f>
        <v>9.3825335225784443E-2</v>
      </c>
      <c r="C232" s="139">
        <f>+C231/AVERAGE('2013'!$C$85,'2014'!$B$245:C245)</f>
        <v>0.10205484909059137</v>
      </c>
      <c r="D232" s="139">
        <f>+D231/AVERAGE('2013'!$C$85,'2014'!$B$245:D245)</f>
        <v>0.107431708910845</v>
      </c>
      <c r="E232" s="206">
        <f>+E231/AVERAGE('2013'!$C$85,'2014'!$B$245:E245)</f>
        <v>0.11187306994597536</v>
      </c>
      <c r="F232" s="206">
        <f>+F231/AVERAGE('2013'!$C$85,'2014'!$B$245:F245)</f>
        <v>0.11493850178740199</v>
      </c>
      <c r="G232" s="206">
        <f>+G231/AVERAGE('2013'!$C$85,'2014'!$B$245:G245)</f>
        <v>0.11358331701519697</v>
      </c>
      <c r="H232" s="139">
        <f>+H231/AVERAGE('2013'!$C$85,'2014'!$B$245:H245)</f>
        <v>0.11184776743466796</v>
      </c>
      <c r="I232" s="139">
        <f>+I231/AVERAGE('2013'!$C$85,'2014'!$B$245:I245)</f>
        <v>0.1110860692020023</v>
      </c>
      <c r="J232" s="139">
        <f>+J231/AVERAGE('2013'!$C$85,'2014'!$B$245:J245)</f>
        <v>0.11143717041781591</v>
      </c>
      <c r="K232" s="139">
        <f>+K231/AVERAGE('2013'!$C$85,'2014'!$B$245:K245)</f>
        <v>0.11502046377084617</v>
      </c>
      <c r="L232" s="139">
        <f>+L231/AVERAGE('2013'!$C$85,'2014'!$B$245:L245)</f>
        <v>0.11674609758407459</v>
      </c>
      <c r="M232" s="139">
        <f>+M231/AVERAGE('2013'!$C$85,'2014'!$B$245:M245)</f>
        <v>0.11694739306877161</v>
      </c>
      <c r="N232" s="141"/>
    </row>
    <row r="233" spans="1:15" x14ac:dyDescent="0.2">
      <c r="B233" s="139"/>
      <c r="C233" s="139"/>
      <c r="D233" s="139"/>
      <c r="E233" s="206"/>
      <c r="F233" s="206"/>
      <c r="G233" s="206"/>
      <c r="H233" s="139"/>
      <c r="I233" s="139"/>
      <c r="J233" s="139"/>
      <c r="K233" s="139"/>
      <c r="L233" s="139"/>
      <c r="M233" s="139"/>
    </row>
    <row r="234" spans="1:15" x14ac:dyDescent="0.2">
      <c r="A234" s="4" t="s">
        <v>149</v>
      </c>
      <c r="B234" s="140">
        <f>+AVERAGE('2013'!$C$9,$B$10:B10)</f>
        <v>4829742.3633333333</v>
      </c>
      <c r="C234" s="140">
        <f>+AVERAGE('2013'!$C$9,$B$10:C10)</f>
        <v>5514768.4100000001</v>
      </c>
      <c r="D234" s="140">
        <f>+AVERAGE('2013'!$C$9,$B$10:D10)</f>
        <v>6852838.3150000004</v>
      </c>
      <c r="E234" s="207">
        <f>+AVERAGE('2013'!$C$9,$B$10:E10)</f>
        <v>7863748.0159999998</v>
      </c>
      <c r="F234" s="207">
        <f>+AVERAGE('2013'!$C$9,$B$10:F10)</f>
        <v>8550301.083333334</v>
      </c>
      <c r="G234" s="207">
        <f>+AVERAGE('2013'!$C$9,$B$10:G10)</f>
        <v>9273035.8528571427</v>
      </c>
      <c r="H234" s="140">
        <f>+AVERAGE('2013'!$C$9,$B$10:H10)</f>
        <v>10205155.834999999</v>
      </c>
      <c r="I234" s="140">
        <f>+AVERAGE('2013'!$C$9,$B$10:I10)</f>
        <v>11266376.421111111</v>
      </c>
      <c r="J234" s="140">
        <f>+AVERAGE('2013'!$C$9,$B$10:J10)</f>
        <v>12308693.011999998</v>
      </c>
      <c r="K234" s="140">
        <f>+AVERAGE('2013'!$C$9,$B$10:K10)</f>
        <v>13229112.601818182</v>
      </c>
      <c r="L234" s="140">
        <f>+AVERAGE('2013'!$C$9,$B$10:L10)</f>
        <v>14088674.434166668</v>
      </c>
      <c r="M234" s="140">
        <f>+AVERAGE('2013'!$C$9,$B$10:M10)</f>
        <v>15266076.082307694</v>
      </c>
    </row>
    <row r="235" spans="1:15" x14ac:dyDescent="0.2">
      <c r="A235" s="4" t="s">
        <v>150</v>
      </c>
      <c r="B235" s="34">
        <f t="shared" ref="B235:G235" si="92">+B223</f>
        <v>-802.29</v>
      </c>
      <c r="C235" s="34">
        <f t="shared" si="92"/>
        <v>-4580.95</v>
      </c>
      <c r="D235" s="34">
        <f t="shared" si="92"/>
        <v>-18821.03</v>
      </c>
      <c r="E235" s="204">
        <f t="shared" si="92"/>
        <v>-27475.57</v>
      </c>
      <c r="F235" s="204">
        <f t="shared" si="92"/>
        <v>-31413.229999999996</v>
      </c>
      <c r="G235" s="204">
        <f t="shared" si="92"/>
        <v>-57759.69000000001</v>
      </c>
      <c r="H235" s="34">
        <f t="shared" ref="H235:M235" si="93">+H223</f>
        <v>-79530.409999999989</v>
      </c>
      <c r="I235" s="34">
        <f t="shared" si="93"/>
        <v>-117077.70000000001</v>
      </c>
      <c r="J235" s="34">
        <f t="shared" si="93"/>
        <v>-195427.21000000002</v>
      </c>
      <c r="K235" s="34">
        <f t="shared" si="93"/>
        <v>-259109.87</v>
      </c>
      <c r="L235" s="34">
        <f t="shared" si="93"/>
        <v>-317704.57</v>
      </c>
      <c r="M235" s="34">
        <f t="shared" si="93"/>
        <v>-440597.52999999991</v>
      </c>
    </row>
    <row r="236" spans="1:15" x14ac:dyDescent="0.2">
      <c r="A236" s="4" t="s">
        <v>151</v>
      </c>
      <c r="B236" s="38">
        <f t="shared" ref="B236:G236" si="94">+B235/B234</f>
        <v>-1.6611445076053396E-4</v>
      </c>
      <c r="C236" s="38">
        <f t="shared" si="94"/>
        <v>-8.306695149144078E-4</v>
      </c>
      <c r="D236" s="38">
        <f t="shared" si="94"/>
        <v>-2.746457618707147E-3</v>
      </c>
      <c r="E236" s="208">
        <f t="shared" si="94"/>
        <v>-3.4939535122560823E-3</v>
      </c>
      <c r="F236" s="208">
        <f t="shared" si="94"/>
        <v>-3.6739326128798207E-3</v>
      </c>
      <c r="G236" s="208">
        <f t="shared" si="94"/>
        <v>-6.228778893613735E-3</v>
      </c>
      <c r="H236" s="38">
        <f t="shared" ref="H236:M236" si="95">+H235/H234</f>
        <v>-7.7931597798084964E-3</v>
      </c>
      <c r="I236" s="38">
        <f t="shared" si="95"/>
        <v>-1.039177954152304E-2</v>
      </c>
      <c r="J236" s="38">
        <f t="shared" si="95"/>
        <v>-1.5877169883875893E-2</v>
      </c>
      <c r="K236" s="38">
        <f t="shared" si="95"/>
        <v>-1.9586337935047018E-2</v>
      </c>
      <c r="L236" s="38">
        <f t="shared" si="95"/>
        <v>-2.2550352162977776E-2</v>
      </c>
      <c r="M236" s="38">
        <f t="shared" si="95"/>
        <v>-2.8861216701954039E-2</v>
      </c>
    </row>
    <row r="237" spans="1:15" x14ac:dyDescent="0.2">
      <c r="B237" s="139"/>
      <c r="C237" s="139"/>
      <c r="D237" s="139"/>
      <c r="E237" s="206"/>
      <c r="F237" s="206"/>
      <c r="G237" s="206"/>
      <c r="H237" s="139"/>
      <c r="I237" s="139"/>
      <c r="J237" s="139"/>
      <c r="K237" s="139"/>
      <c r="L237" s="139"/>
      <c r="M237" s="139"/>
    </row>
    <row r="238" spans="1:15" x14ac:dyDescent="0.2">
      <c r="A238" s="4" t="s">
        <v>152</v>
      </c>
      <c r="B238" s="34">
        <f>+B240/12*11</f>
        <v>-315427.05986301403</v>
      </c>
      <c r="C238" s="34">
        <f>+C240/12*10</f>
        <v>-176632.97876712494</v>
      </c>
      <c r="D238" s="34">
        <f>+D240/12*9</f>
        <v>-89819.039999999979</v>
      </c>
      <c r="E238" s="204">
        <f>+E240/12*8</f>
        <v>-47753.186666666625</v>
      </c>
      <c r="F238" s="204">
        <f>+F240/12*7</f>
        <v>-16462.487999999914</v>
      </c>
      <c r="G238" s="204">
        <f>+G240/12*6</f>
        <v>-54054.925627254197</v>
      </c>
      <c r="H238" s="34">
        <f>+H240/12*5</f>
        <v>-109828.81428571438</v>
      </c>
      <c r="I238" s="34">
        <f>+I240/12*4</f>
        <v>-69460.795000000013</v>
      </c>
      <c r="J238" s="34">
        <f>+J240/12*3</f>
        <v>-12298.516666666703</v>
      </c>
      <c r="K238" s="34">
        <f>+K240/12*2</f>
        <v>2704.7020000000484</v>
      </c>
      <c r="L238" s="34">
        <f>+L240/12*1</f>
        <v>2099.9418181818328</v>
      </c>
      <c r="M238" s="34">
        <f>+M240/12</f>
        <v>9126.8300000000254</v>
      </c>
    </row>
    <row r="239" spans="1:15" x14ac:dyDescent="0.2">
      <c r="A239" s="4" t="s">
        <v>153</v>
      </c>
      <c r="B239" s="34">
        <f t="shared" ref="B239:G239" si="96">+B225</f>
        <v>-28675.187260274004</v>
      </c>
      <c r="C239" s="34">
        <f t="shared" si="96"/>
        <v>-35326.59575342499</v>
      </c>
      <c r="D239" s="34">
        <f t="shared" si="96"/>
        <v>-29939.679999999993</v>
      </c>
      <c r="E239" s="204">
        <f t="shared" si="96"/>
        <v>-23876.593333333316</v>
      </c>
      <c r="F239" s="204">
        <f t="shared" si="96"/>
        <v>-11758.91999999994</v>
      </c>
      <c r="G239" s="204">
        <f t="shared" si="96"/>
        <v>-54054.92562725419</v>
      </c>
      <c r="H239" s="34">
        <f t="shared" ref="H239:M239" si="97">+H225</f>
        <v>-153760.34000000014</v>
      </c>
      <c r="I239" s="34">
        <f t="shared" si="97"/>
        <v>-138921.59000000003</v>
      </c>
      <c r="J239" s="34">
        <f t="shared" si="97"/>
        <v>-36895.550000000105</v>
      </c>
      <c r="K239" s="34">
        <f t="shared" si="97"/>
        <v>13523.510000000242</v>
      </c>
      <c r="L239" s="34">
        <f t="shared" si="97"/>
        <v>23099.360000000161</v>
      </c>
      <c r="M239" s="34">
        <f t="shared" si="97"/>
        <v>109521.96000000031</v>
      </c>
    </row>
    <row r="240" spans="1:15" x14ac:dyDescent="0.2">
      <c r="A240" s="4" t="s">
        <v>154</v>
      </c>
      <c r="B240" s="34">
        <f t="shared" ref="B240:G240" si="98">+B239/B247*12</f>
        <v>-344102.24712328805</v>
      </c>
      <c r="C240" s="34">
        <f t="shared" si="98"/>
        <v>-211959.57452054994</v>
      </c>
      <c r="D240" s="34">
        <f t="shared" si="98"/>
        <v>-119758.71999999997</v>
      </c>
      <c r="E240" s="204">
        <f t="shared" si="98"/>
        <v>-71629.779999999941</v>
      </c>
      <c r="F240" s="204">
        <f t="shared" si="98"/>
        <v>-28221.407999999854</v>
      </c>
      <c r="G240" s="204">
        <f t="shared" si="98"/>
        <v>-108109.85125450839</v>
      </c>
      <c r="H240" s="34">
        <f t="shared" ref="H240:M240" si="99">+H239/H247*12</f>
        <v>-263589.1542857145</v>
      </c>
      <c r="I240" s="34">
        <f t="shared" si="99"/>
        <v>-208382.38500000004</v>
      </c>
      <c r="J240" s="34">
        <f t="shared" si="99"/>
        <v>-49194.066666666811</v>
      </c>
      <c r="K240" s="34">
        <f t="shared" si="99"/>
        <v>16228.212000000291</v>
      </c>
      <c r="L240" s="34">
        <f t="shared" si="99"/>
        <v>25199.301818181993</v>
      </c>
      <c r="M240" s="34">
        <f t="shared" si="99"/>
        <v>109521.96000000031</v>
      </c>
    </row>
    <row r="241" spans="1:14" x14ac:dyDescent="0.2">
      <c r="A241" s="4" t="s">
        <v>155</v>
      </c>
      <c r="B241" s="34">
        <f>+((('2013'!$C$43+B150+B238))/2)</f>
        <v>11263923.786438357</v>
      </c>
      <c r="C241" s="34">
        <f>+((('2013'!$C$43+C150+C238))/2)</f>
        <v>11329995.122739725</v>
      </c>
      <c r="D241" s="34">
        <f>+((('2013'!$C$43+D150+D238))/2)</f>
        <v>11376095.550000001</v>
      </c>
      <c r="E241" s="204">
        <f>+((('2013'!$C$43+E150+E238))/2)</f>
        <v>11400160.02</v>
      </c>
      <c r="F241" s="204">
        <f>+((('2013'!$C$43+F150+F238))/2)</f>
        <v>11421864.205999998</v>
      </c>
      <c r="G241" s="204">
        <f>+((('2013'!$C$43+G150+G238))/2)</f>
        <v>13056919.984372746</v>
      </c>
      <c r="H241" s="34">
        <f>+((('2013'!$C$43+H150+H238))/2)</f>
        <v>12979180.332857143</v>
      </c>
      <c r="I241" s="34">
        <f>+((('2013'!$C$43+I150+I238))/2)</f>
        <v>13006783.717499999</v>
      </c>
      <c r="J241" s="34">
        <f>+((('2013'!$C$43+J150+J238))/2)</f>
        <v>13086377.876666667</v>
      </c>
      <c r="K241" s="34">
        <f>+((('2013'!$C$43+K150+K238))/2)</f>
        <v>15369088.515999999</v>
      </c>
      <c r="L241" s="34">
        <f>+((('2013'!$C$43+L150+L238))/2)</f>
        <v>15373574.060909091</v>
      </c>
      <c r="M241" s="34">
        <f>+((('2013'!$C$43+M150+M238))/2)</f>
        <v>18370298.805</v>
      </c>
      <c r="N241" s="3"/>
    </row>
    <row r="242" spans="1:14" x14ac:dyDescent="0.2">
      <c r="A242" s="4" t="s">
        <v>156</v>
      </c>
      <c r="B242" s="139">
        <f t="shared" ref="B242:G242" si="100">+(B240)/B241</f>
        <v>-3.0549056762758237E-2</v>
      </c>
      <c r="C242" s="139">
        <f t="shared" si="100"/>
        <v>-1.8707825751410882E-2</v>
      </c>
      <c r="D242" s="139">
        <f t="shared" si="100"/>
        <v>-1.0527225221838082E-2</v>
      </c>
      <c r="E242" s="206">
        <f t="shared" si="100"/>
        <v>-6.2832258384387081E-3</v>
      </c>
      <c r="F242" s="206">
        <f t="shared" si="100"/>
        <v>-2.4708232816473968E-3</v>
      </c>
      <c r="G242" s="206">
        <f t="shared" si="100"/>
        <v>-8.2798892375767277E-3</v>
      </c>
      <c r="H242" s="139">
        <f t="shared" ref="H242:M242" si="101">+(H240)/H241</f>
        <v>-2.0308613296513917E-2</v>
      </c>
      <c r="I242" s="139">
        <f t="shared" si="101"/>
        <v>-1.6021054053480692E-2</v>
      </c>
      <c r="J242" s="139">
        <f t="shared" si="101"/>
        <v>-3.7591812746276447E-3</v>
      </c>
      <c r="K242" s="139">
        <f t="shared" si="101"/>
        <v>1.0558994427747553E-3</v>
      </c>
      <c r="L242" s="139">
        <f t="shared" si="101"/>
        <v>1.6391309996194778E-3</v>
      </c>
      <c r="M242" s="139">
        <f t="shared" si="101"/>
        <v>5.9619041128602E-3</v>
      </c>
      <c r="N242" s="3"/>
    </row>
    <row r="243" spans="1:14" x14ac:dyDescent="0.2">
      <c r="A243" s="3" t="s">
        <v>174</v>
      </c>
      <c r="B243" s="139">
        <v>0</v>
      </c>
      <c r="C243" s="139">
        <v>0</v>
      </c>
      <c r="D243" s="139">
        <v>0</v>
      </c>
      <c r="E243" s="206">
        <v>0.06</v>
      </c>
      <c r="F243" s="206">
        <v>0.06</v>
      </c>
      <c r="G243" s="206">
        <v>0.06</v>
      </c>
      <c r="H243" s="139">
        <v>0.06</v>
      </c>
      <c r="I243" s="139">
        <v>0.06</v>
      </c>
      <c r="J243" s="139">
        <v>0.06</v>
      </c>
      <c r="K243" s="139">
        <v>0.06</v>
      </c>
      <c r="L243" s="139">
        <v>0.06</v>
      </c>
      <c r="M243" s="139">
        <v>0.06</v>
      </c>
      <c r="N243" s="3"/>
    </row>
    <row r="244" spans="1:14" x14ac:dyDescent="0.2">
      <c r="B244" s="139"/>
      <c r="C244" s="139"/>
      <c r="D244" s="139"/>
      <c r="E244" s="206"/>
      <c r="F244" s="206"/>
      <c r="G244" s="206"/>
      <c r="H244" s="139"/>
      <c r="I244" s="139"/>
      <c r="J244" s="139"/>
      <c r="K244" s="139"/>
      <c r="L244" s="139"/>
      <c r="M244" s="139"/>
      <c r="N244" s="3"/>
    </row>
    <row r="245" spans="1:14" x14ac:dyDescent="0.2">
      <c r="A245" s="4" t="s">
        <v>157</v>
      </c>
      <c r="B245" s="34">
        <f t="shared" ref="B245:L245" si="102">+B12+B15+B18+B21+B24+B27+B30+B33+B36+B39+B42+B45+B48+B51+B54+B57+B60+B63+B66+B69+B72+B75+B78+B81+B84+B87+B90+B93</f>
        <v>6795620.5800000001</v>
      </c>
      <c r="C245" s="34">
        <f t="shared" si="102"/>
        <v>6792999.2899999991</v>
      </c>
      <c r="D245" s="34">
        <f t="shared" si="102"/>
        <v>10740724.93</v>
      </c>
      <c r="E245" s="204">
        <f t="shared" si="102"/>
        <v>11725002.100000001</v>
      </c>
      <c r="F245" s="204">
        <f t="shared" si="102"/>
        <v>11724186.030000001</v>
      </c>
      <c r="G245" s="204">
        <f t="shared" si="102"/>
        <v>13483305.029999999</v>
      </c>
      <c r="H245" s="34">
        <f t="shared" si="102"/>
        <v>16487709.91</v>
      </c>
      <c r="I245" s="34">
        <f t="shared" si="102"/>
        <v>19431077.23</v>
      </c>
      <c r="J245" s="34">
        <f t="shared" si="102"/>
        <v>21340533.499999996</v>
      </c>
      <c r="K245" s="34">
        <f t="shared" si="102"/>
        <v>22025188.949999999</v>
      </c>
      <c r="L245" s="34">
        <f t="shared" si="102"/>
        <v>22970344.460000001</v>
      </c>
      <c r="M245" s="34">
        <f>+M12+M15+M18+M21+M24+M27+M30+M33+M36+M39+M42+M45+M48+M51+M54+M57+M60+M63+M66+M69+M72+M75+M78+M81+M84+M87+M90+M93</f>
        <v>28919098.250000007</v>
      </c>
      <c r="N245" s="54">
        <f>SUM(B245:M245)</f>
        <v>192435790.26000002</v>
      </c>
    </row>
    <row r="246" spans="1:14" x14ac:dyDescent="0.2">
      <c r="N246" s="54">
        <f>+N245/12</f>
        <v>16036315.855000002</v>
      </c>
    </row>
    <row r="247" spans="1:14" x14ac:dyDescent="0.2">
      <c r="B247" s="2">
        <v>1</v>
      </c>
      <c r="C247" s="2">
        <v>2</v>
      </c>
      <c r="D247" s="2">
        <v>3</v>
      </c>
      <c r="E247" s="168">
        <v>4</v>
      </c>
      <c r="F247" s="168">
        <v>5</v>
      </c>
      <c r="G247" s="168">
        <v>6</v>
      </c>
      <c r="H247" s="2">
        <v>7</v>
      </c>
      <c r="I247" s="2">
        <v>8</v>
      </c>
      <c r="J247" s="2">
        <v>9</v>
      </c>
      <c r="K247" s="2">
        <v>10</v>
      </c>
      <c r="L247" s="2">
        <v>11</v>
      </c>
      <c r="M247" s="2">
        <v>12</v>
      </c>
      <c r="N247" s="3"/>
    </row>
  </sheetData>
  <pageMargins left="0.70866141732283472" right="0.70866141732283472" top="0.74803149606299213" bottom="0.74803149606299213" header="0.31496062992125984" footer="0.31496062992125984"/>
  <pageSetup scale="17"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P162"/>
  <sheetViews>
    <sheetView showGridLines="0" zoomScale="115" zoomScaleNormal="115" workbookViewId="0">
      <pane xSplit="1" ySplit="3" topLeftCell="F42" activePane="bottomRight" state="frozen"/>
      <selection pane="topRight" activeCell="B1" sqref="B1"/>
      <selection pane="bottomLeft" activeCell="A4" sqref="A4"/>
      <selection pane="bottomRight" activeCell="H76" sqref="H76"/>
    </sheetView>
  </sheetViews>
  <sheetFormatPr baseColWidth="10" defaultColWidth="11.42578125" defaultRowHeight="14.25" x14ac:dyDescent="0.2"/>
  <cols>
    <col min="1" max="1" width="39.85546875" style="2" customWidth="1"/>
    <col min="2" max="6" width="18" style="2" customWidth="1"/>
    <col min="7" max="7" width="16.28515625" style="139" customWidth="1"/>
    <col min="8" max="8" width="15.28515625" style="7" bestFit="1" customWidth="1"/>
    <col min="9" max="9" width="17.5703125" style="7" bestFit="1" customWidth="1"/>
    <col min="10" max="10" width="14.28515625" style="7" customWidth="1"/>
    <col min="11" max="11" width="11.42578125" style="7"/>
    <col min="12" max="12" width="12.42578125" style="7" bestFit="1" customWidth="1"/>
    <col min="13" max="16384" width="11.42578125" style="7"/>
  </cols>
  <sheetData>
    <row r="1" spans="1:9" ht="15.75" x14ac:dyDescent="0.25">
      <c r="A1" s="69" t="s">
        <v>367</v>
      </c>
    </row>
    <row r="3" spans="1:9" ht="30" x14ac:dyDescent="0.25">
      <c r="A3" s="242" t="s">
        <v>359</v>
      </c>
      <c r="B3" s="6" t="s">
        <v>194</v>
      </c>
      <c r="C3" s="6" t="s">
        <v>200</v>
      </c>
      <c r="D3" s="6" t="s">
        <v>208</v>
      </c>
      <c r="E3" s="6" t="s">
        <v>0</v>
      </c>
      <c r="F3" s="6" t="s">
        <v>1</v>
      </c>
      <c r="G3" s="251" t="s">
        <v>31</v>
      </c>
    </row>
    <row r="4" spans="1:9" x14ac:dyDescent="0.2">
      <c r="A4" s="7"/>
      <c r="B4" s="7"/>
      <c r="G4" s="104"/>
    </row>
    <row r="5" spans="1:9" x14ac:dyDescent="0.2">
      <c r="A5" s="66" t="s">
        <v>2</v>
      </c>
      <c r="B5" s="20"/>
      <c r="C5" s="20"/>
      <c r="D5" s="20"/>
      <c r="E5" s="20"/>
      <c r="F5" s="20"/>
      <c r="G5" s="57"/>
    </row>
    <row r="6" spans="1:9" x14ac:dyDescent="0.2">
      <c r="A6" s="148"/>
      <c r="B6" s="21"/>
      <c r="C6" s="21"/>
      <c r="D6" s="21"/>
      <c r="E6" s="21"/>
      <c r="F6" s="21"/>
      <c r="G6" s="48"/>
    </row>
    <row r="7" spans="1:9" x14ac:dyDescent="0.2">
      <c r="A7" s="148" t="s">
        <v>9</v>
      </c>
      <c r="B7" s="70">
        <f>+B8+B9</f>
        <v>3881809.77</v>
      </c>
      <c r="C7" s="70">
        <f>+C8+C9</f>
        <v>3882001.17</v>
      </c>
      <c r="D7" s="70">
        <f>+D8+D9</f>
        <v>7554828.6399999997</v>
      </c>
      <c r="E7" s="70">
        <f>+E8+E9</f>
        <v>7444553.2799999993</v>
      </c>
      <c r="F7" s="70">
        <f>+F8+F9</f>
        <v>12078834.65</v>
      </c>
      <c r="G7" s="48">
        <f>F7/$F$37</f>
        <v>0.4934778135384339</v>
      </c>
    </row>
    <row r="8" spans="1:9" s="60" customFormat="1" ht="12.75" x14ac:dyDescent="0.2">
      <c r="A8" s="240" t="s">
        <v>25</v>
      </c>
      <c r="B8" s="286">
        <v>3881809.77</v>
      </c>
      <c r="C8" s="286">
        <v>3882001.17</v>
      </c>
      <c r="D8" s="286">
        <v>5954828.6399999997</v>
      </c>
      <c r="E8" s="286">
        <v>5839818.5899999999</v>
      </c>
      <c r="F8" s="286">
        <v>10469193.17</v>
      </c>
      <c r="G8" s="287">
        <f>+F8/$F$37</f>
        <v>0.42771630747036554</v>
      </c>
      <c r="H8" s="324"/>
    </row>
    <row r="9" spans="1:9" s="60" customFormat="1" x14ac:dyDescent="0.2">
      <c r="A9" s="240" t="s">
        <v>385</v>
      </c>
      <c r="B9" s="286">
        <v>0</v>
      </c>
      <c r="C9" s="286">
        <v>0</v>
      </c>
      <c r="D9" s="286">
        <v>1600000</v>
      </c>
      <c r="E9" s="286">
        <f>1628058.31-23323.62</f>
        <v>1604734.69</v>
      </c>
      <c r="F9" s="286">
        <f>1632965.1-23323.62</f>
        <v>1609641.48</v>
      </c>
      <c r="G9" s="287">
        <f>+F9/$F$37</f>
        <v>6.5761506068068312E-2</v>
      </c>
      <c r="H9" s="322"/>
      <c r="I9" s="245"/>
    </row>
    <row r="10" spans="1:9" x14ac:dyDescent="0.2">
      <c r="A10" s="148" t="s">
        <v>383</v>
      </c>
      <c r="B10" s="70">
        <f t="shared" ref="B10:C10" si="0">+B11</f>
        <v>0</v>
      </c>
      <c r="C10" s="70">
        <f t="shared" si="0"/>
        <v>0</v>
      </c>
      <c r="D10" s="70">
        <f>+D11</f>
        <v>4162612.5</v>
      </c>
      <c r="E10" s="70">
        <f>+E11</f>
        <v>4198487.5</v>
      </c>
      <c r="F10" s="70">
        <f>+F11</f>
        <v>12398121.189999999</v>
      </c>
      <c r="G10" s="48">
        <f>+F10/F37</f>
        <v>0.5065221864615661</v>
      </c>
      <c r="H10" s="245"/>
      <c r="I10" s="109"/>
    </row>
    <row r="11" spans="1:9" s="109" customFormat="1" ht="12.75" x14ac:dyDescent="0.2">
      <c r="A11" s="240" t="s">
        <v>380</v>
      </c>
      <c r="B11" s="286">
        <f t="shared" ref="B11:C11" si="1">+B12+B16</f>
        <v>0</v>
      </c>
      <c r="C11" s="286">
        <f t="shared" si="1"/>
        <v>0</v>
      </c>
      <c r="D11" s="286">
        <f>+D12+D16</f>
        <v>4162612.5</v>
      </c>
      <c r="E11" s="286">
        <f>+E12+E16</f>
        <v>4198487.5</v>
      </c>
      <c r="F11" s="286">
        <f>+F12+F16+F20+F24+F28+F32</f>
        <v>12398121.189999999</v>
      </c>
      <c r="G11" s="287">
        <f>+F11/F37</f>
        <v>0.5065221864615661</v>
      </c>
      <c r="H11" s="322"/>
    </row>
    <row r="12" spans="1:9" s="109" customFormat="1" ht="12.75" x14ac:dyDescent="0.2">
      <c r="A12" s="240" t="s">
        <v>182</v>
      </c>
      <c r="B12" s="286">
        <f t="shared" ref="B12:C12" si="2">SUM(B13:B15)</f>
        <v>0</v>
      </c>
      <c r="C12" s="286">
        <f t="shared" si="2"/>
        <v>0</v>
      </c>
      <c r="D12" s="286">
        <f>SUM(D13:D15)</f>
        <v>2974270.84</v>
      </c>
      <c r="E12" s="286">
        <f>SUM(E13:E15)</f>
        <v>2999895.84</v>
      </c>
      <c r="F12" s="286">
        <f>SUM(F13:F15)</f>
        <v>3026375</v>
      </c>
      <c r="G12" s="287">
        <f>+F12/F37</f>
        <v>0.12364180496066132</v>
      </c>
      <c r="H12" s="322"/>
      <c r="I12" s="322"/>
    </row>
    <row r="13" spans="1:9" s="109" customFormat="1" ht="12.75" x14ac:dyDescent="0.2">
      <c r="A13" s="240" t="s">
        <v>32</v>
      </c>
      <c r="B13" s="286">
        <v>0</v>
      </c>
      <c r="C13" s="286">
        <v>0</v>
      </c>
      <c r="D13" s="286">
        <v>3000000</v>
      </c>
      <c r="E13" s="286">
        <v>3000000</v>
      </c>
      <c r="F13" s="286">
        <v>3000000</v>
      </c>
      <c r="G13" s="287">
        <f>+F13/F37</f>
        <v>0.12256426083416098</v>
      </c>
      <c r="H13" s="322"/>
    </row>
    <row r="14" spans="1:9" s="109" customFormat="1" ht="12.75" x14ac:dyDescent="0.2">
      <c r="A14" s="240" t="s">
        <v>22</v>
      </c>
      <c r="B14" s="286">
        <v>0</v>
      </c>
      <c r="C14" s="286">
        <v>0</v>
      </c>
      <c r="D14" s="286">
        <v>4166.67</v>
      </c>
      <c r="E14" s="286">
        <v>29166.67</v>
      </c>
      <c r="F14" s="286">
        <v>55000</v>
      </c>
      <c r="G14" s="287">
        <f>+F14/F37</f>
        <v>2.2470114486262847E-3</v>
      </c>
      <c r="I14" s="130"/>
    </row>
    <row r="15" spans="1:9" s="109" customFormat="1" ht="12.75" x14ac:dyDescent="0.2">
      <c r="A15" s="240" t="s">
        <v>381</v>
      </c>
      <c r="B15" s="286">
        <v>0</v>
      </c>
      <c r="C15" s="286">
        <v>0</v>
      </c>
      <c r="D15" s="286">
        <v>-29895.83</v>
      </c>
      <c r="E15" s="286">
        <v>-29270.83</v>
      </c>
      <c r="F15" s="286">
        <v>-28625</v>
      </c>
      <c r="G15" s="287">
        <f>+F15/F37</f>
        <v>-1.1694673221259526E-3</v>
      </c>
      <c r="I15" s="137"/>
    </row>
    <row r="16" spans="1:9" s="109" customFormat="1" ht="12.75" x14ac:dyDescent="0.2">
      <c r="A16" s="240" t="s">
        <v>195</v>
      </c>
      <c r="B16" s="286">
        <f t="shared" ref="B16" si="3">SUM(B17:B19)</f>
        <v>0</v>
      </c>
      <c r="C16" s="286">
        <f t="shared" ref="C16" si="4">SUM(C17:C19)</f>
        <v>0</v>
      </c>
      <c r="D16" s="286">
        <f>SUM(D17:D19)</f>
        <v>1188341.6600000001</v>
      </c>
      <c r="E16" s="286">
        <f>SUM(E17:E19)</f>
        <v>1198591.6600000001</v>
      </c>
      <c r="F16" s="286">
        <f>SUM(F17:F19)</f>
        <v>1209183.3199999998</v>
      </c>
      <c r="G16" s="316">
        <f t="shared" ref="G16:G36" si="5">+F16/$F$37</f>
        <v>4.9400886609598911E-2</v>
      </c>
    </row>
    <row r="17" spans="1:9" s="109" customFormat="1" ht="12.75" x14ac:dyDescent="0.2">
      <c r="A17" s="240" t="s">
        <v>32</v>
      </c>
      <c r="B17" s="286">
        <v>0</v>
      </c>
      <c r="C17" s="286">
        <v>0</v>
      </c>
      <c r="D17" s="286">
        <v>1200000</v>
      </c>
      <c r="E17" s="286">
        <v>1200000</v>
      </c>
      <c r="F17" s="286">
        <v>1200000</v>
      </c>
      <c r="G17" s="287">
        <f t="shared" si="5"/>
        <v>4.9025704333664391E-2</v>
      </c>
      <c r="I17" s="322"/>
    </row>
    <row r="18" spans="1:9" s="109" customFormat="1" ht="12.75" x14ac:dyDescent="0.2">
      <c r="A18" s="240" t="s">
        <v>22</v>
      </c>
      <c r="B18" s="286">
        <v>0</v>
      </c>
      <c r="C18" s="286">
        <v>0</v>
      </c>
      <c r="D18" s="286">
        <v>333.33</v>
      </c>
      <c r="E18" s="286">
        <v>10333.33</v>
      </c>
      <c r="F18" s="286">
        <v>20666.66</v>
      </c>
      <c r="G18" s="316">
        <f t="shared" si="5"/>
        <v>8.4433130227030712E-4</v>
      </c>
    </row>
    <row r="19" spans="1:9" s="109" customFormat="1" ht="12.75" x14ac:dyDescent="0.2">
      <c r="A19" s="240" t="s">
        <v>381</v>
      </c>
      <c r="B19" s="286">
        <v>0</v>
      </c>
      <c r="C19" s="286">
        <v>0</v>
      </c>
      <c r="D19" s="286">
        <v>-11991.67</v>
      </c>
      <c r="E19" s="286">
        <v>-11741.67</v>
      </c>
      <c r="F19" s="286">
        <v>-11483.34</v>
      </c>
      <c r="G19" s="316">
        <f t="shared" si="5"/>
        <v>-4.6914902633578477E-4</v>
      </c>
    </row>
    <row r="20" spans="1:9" s="109" customFormat="1" ht="12.75" x14ac:dyDescent="0.2">
      <c r="A20" s="240" t="s">
        <v>391</v>
      </c>
      <c r="B20" s="286">
        <f t="shared" ref="B20:C20" si="6">SUM(B21:B23)</f>
        <v>0</v>
      </c>
      <c r="C20" s="286">
        <f t="shared" si="6"/>
        <v>0</v>
      </c>
      <c r="D20" s="286">
        <f>SUM(D21:D23)</f>
        <v>0</v>
      </c>
      <c r="E20" s="286">
        <f>SUM(E21:E23)</f>
        <v>0</v>
      </c>
      <c r="F20" s="286">
        <f>SUM(F21:F23)</f>
        <v>748245.55</v>
      </c>
      <c r="G20" s="316">
        <f t="shared" si="5"/>
        <v>3.0569387586066751E-2</v>
      </c>
    </row>
    <row r="21" spans="1:9" s="109" customFormat="1" ht="12.75" x14ac:dyDescent="0.2">
      <c r="A21" s="240" t="s">
        <v>32</v>
      </c>
      <c r="B21" s="286">
        <v>0</v>
      </c>
      <c r="C21" s="286">
        <v>0</v>
      </c>
      <c r="D21" s="286">
        <v>0</v>
      </c>
      <c r="E21" s="286">
        <v>0</v>
      </c>
      <c r="F21" s="286">
        <v>750000</v>
      </c>
      <c r="G21" s="287">
        <f t="shared" si="5"/>
        <v>3.0641065208540246E-2</v>
      </c>
    </row>
    <row r="22" spans="1:9" s="109" customFormat="1" ht="12.75" x14ac:dyDescent="0.2">
      <c r="A22" s="240" t="s">
        <v>22</v>
      </c>
      <c r="B22" s="286">
        <v>0</v>
      </c>
      <c r="C22" s="286">
        <v>0</v>
      </c>
      <c r="D22" s="286">
        <v>0</v>
      </c>
      <c r="E22" s="286">
        <v>0</v>
      </c>
      <c r="F22" s="286">
        <v>4125</v>
      </c>
      <c r="G22" s="316">
        <f t="shared" si="5"/>
        <v>1.6852585864697136E-4</v>
      </c>
    </row>
    <row r="23" spans="1:9" s="109" customFormat="1" ht="12.75" x14ac:dyDescent="0.2">
      <c r="A23" s="240" t="s">
        <v>381</v>
      </c>
      <c r="B23" s="286">
        <v>0</v>
      </c>
      <c r="C23" s="286">
        <v>0</v>
      </c>
      <c r="D23" s="286">
        <v>0</v>
      </c>
      <c r="E23" s="286">
        <v>0</v>
      </c>
      <c r="F23" s="286">
        <v>-5879.45</v>
      </c>
      <c r="G23" s="316">
        <f t="shared" si="5"/>
        <v>-2.4020348112046926E-4</v>
      </c>
    </row>
    <row r="24" spans="1:9" s="109" customFormat="1" ht="12.75" x14ac:dyDescent="0.2">
      <c r="A24" s="240" t="s">
        <v>392</v>
      </c>
      <c r="B24" s="286">
        <f t="shared" ref="B24:C24" si="7">SUM(B25:B27)</f>
        <v>0</v>
      </c>
      <c r="C24" s="286">
        <f t="shared" si="7"/>
        <v>0</v>
      </c>
      <c r="D24" s="286">
        <f>SUM(D25:D27)</f>
        <v>0</v>
      </c>
      <c r="E24" s="286">
        <f>SUM(E25:E27)</f>
        <v>0</v>
      </c>
      <c r="F24" s="286">
        <f>SUM(F25:F27)</f>
        <v>4949858.4000000004</v>
      </c>
      <c r="G24" s="316">
        <f t="shared" si="5"/>
        <v>0.20222524534325426</v>
      </c>
    </row>
    <row r="25" spans="1:9" s="109" customFormat="1" ht="12.75" x14ac:dyDescent="0.2">
      <c r="A25" s="240" t="s">
        <v>32</v>
      </c>
      <c r="B25" s="286">
        <v>0</v>
      </c>
      <c r="C25" s="286">
        <v>0</v>
      </c>
      <c r="D25" s="286">
        <v>0</v>
      </c>
      <c r="E25" s="286">
        <v>0</v>
      </c>
      <c r="F25" s="286">
        <f>5000000-8055.35</f>
        <v>4991944.6500000004</v>
      </c>
      <c r="G25" s="287">
        <f t="shared" si="5"/>
        <v>0.2039446687174315</v>
      </c>
    </row>
    <row r="26" spans="1:9" s="109" customFormat="1" ht="12.75" x14ac:dyDescent="0.2">
      <c r="A26" s="240" t="s">
        <v>22</v>
      </c>
      <c r="B26" s="286">
        <v>0</v>
      </c>
      <c r="C26" s="286">
        <v>0</v>
      </c>
      <c r="D26" s="286">
        <v>0</v>
      </c>
      <c r="E26" s="286">
        <v>0</v>
      </c>
      <c r="F26" s="286">
        <v>7543.38</v>
      </c>
      <c r="G26" s="316">
        <f t="shared" si="5"/>
        <v>3.0818293129706442E-4</v>
      </c>
    </row>
    <row r="27" spans="1:9" s="109" customFormat="1" ht="12.75" x14ac:dyDescent="0.2">
      <c r="A27" s="240" t="s">
        <v>381</v>
      </c>
      <c r="B27" s="286">
        <v>0</v>
      </c>
      <c r="C27" s="286">
        <v>0</v>
      </c>
      <c r="D27" s="286">
        <v>0</v>
      </c>
      <c r="E27" s="286">
        <v>0</v>
      </c>
      <c r="F27" s="286">
        <v>-49629.63</v>
      </c>
      <c r="G27" s="316">
        <f t="shared" si="5"/>
        <v>-2.0276063054743003E-3</v>
      </c>
    </row>
    <row r="28" spans="1:9" s="109" customFormat="1" ht="12.75" x14ac:dyDescent="0.2">
      <c r="A28" s="240" t="s">
        <v>393</v>
      </c>
      <c r="B28" s="286">
        <f t="shared" ref="B28:C28" si="8">SUM(B29:B31)</f>
        <v>0</v>
      </c>
      <c r="C28" s="286">
        <f t="shared" si="8"/>
        <v>0</v>
      </c>
      <c r="D28" s="286">
        <f>SUM(D29:D31)</f>
        <v>0</v>
      </c>
      <c r="E28" s="286">
        <f>SUM(E29:E31)</f>
        <v>0</v>
      </c>
      <c r="F28" s="286">
        <f>SUM(F29:F31)</f>
        <v>1969687</v>
      </c>
      <c r="G28" s="316">
        <f t="shared" si="5"/>
        <v>8.0471077076552017E-2</v>
      </c>
    </row>
    <row r="29" spans="1:9" s="109" customFormat="1" ht="12.75" x14ac:dyDescent="0.2">
      <c r="A29" s="240" t="s">
        <v>32</v>
      </c>
      <c r="B29" s="286">
        <v>0</v>
      </c>
      <c r="C29" s="286">
        <v>0</v>
      </c>
      <c r="D29" s="286">
        <v>0</v>
      </c>
      <c r="E29" s="286">
        <v>0</v>
      </c>
      <c r="F29" s="286">
        <f>2000000-11828.32</f>
        <v>1988171.68</v>
      </c>
      <c r="G29" s="287">
        <f t="shared" si="5"/>
        <v>8.1226264123537353E-2</v>
      </c>
    </row>
    <row r="30" spans="1:9" s="109" customFormat="1" ht="12.75" x14ac:dyDescent="0.2">
      <c r="A30" s="240" t="s">
        <v>22</v>
      </c>
      <c r="B30" s="286">
        <v>0</v>
      </c>
      <c r="C30" s="286">
        <v>0</v>
      </c>
      <c r="D30" s="286">
        <v>0</v>
      </c>
      <c r="E30" s="286">
        <v>0</v>
      </c>
      <c r="F30" s="286">
        <v>1487.54</v>
      </c>
      <c r="G30" s="316">
        <f t="shared" si="5"/>
        <v>6.077308018708261E-5</v>
      </c>
    </row>
    <row r="31" spans="1:9" s="109" customFormat="1" ht="12.75" x14ac:dyDescent="0.2">
      <c r="A31" s="240" t="s">
        <v>381</v>
      </c>
      <c r="B31" s="286">
        <v>0</v>
      </c>
      <c r="C31" s="286">
        <v>0</v>
      </c>
      <c r="D31" s="286">
        <v>0</v>
      </c>
      <c r="E31" s="286">
        <v>0</v>
      </c>
      <c r="F31" s="286">
        <v>-19972.22</v>
      </c>
      <c r="G31" s="316">
        <f t="shared" si="5"/>
        <v>-8.1596012717241562E-4</v>
      </c>
    </row>
    <row r="32" spans="1:9" s="109" customFormat="1" ht="12.75" x14ac:dyDescent="0.2">
      <c r="A32" s="240" t="s">
        <v>394</v>
      </c>
      <c r="B32" s="286">
        <f>SUM(B33:B34)</f>
        <v>0</v>
      </c>
      <c r="C32" s="286">
        <f>SUM(C33:C34)</f>
        <v>0</v>
      </c>
      <c r="D32" s="286">
        <f>SUM(D33:D34)</f>
        <v>0</v>
      </c>
      <c r="E32" s="286">
        <f>SUM(E33:E34)</f>
        <v>0</v>
      </c>
      <c r="F32" s="286">
        <f>SUM(F33:F34)</f>
        <v>494771.92</v>
      </c>
      <c r="G32" s="287">
        <f t="shared" si="5"/>
        <v>2.0213784885432878E-2</v>
      </c>
    </row>
    <row r="33" spans="1:9" s="109" customFormat="1" ht="12.75" x14ac:dyDescent="0.2">
      <c r="A33" s="240" t="s">
        <v>32</v>
      </c>
      <c r="B33" s="286">
        <v>0</v>
      </c>
      <c r="C33" s="286">
        <v>0</v>
      </c>
      <c r="D33" s="286">
        <v>0</v>
      </c>
      <c r="E33" s="286">
        <v>0</v>
      </c>
      <c r="F33" s="286">
        <f>500000-228.08</f>
        <v>499771.92</v>
      </c>
      <c r="G33" s="287">
        <f t="shared" si="5"/>
        <v>2.041805865348981E-2</v>
      </c>
    </row>
    <row r="34" spans="1:9" s="109" customFormat="1" ht="12.75" x14ac:dyDescent="0.2">
      <c r="A34" s="240" t="s">
        <v>381</v>
      </c>
      <c r="B34" s="286">
        <v>0</v>
      </c>
      <c r="C34" s="286">
        <v>0</v>
      </c>
      <c r="D34" s="286">
        <v>0</v>
      </c>
      <c r="E34" s="286">
        <v>0</v>
      </c>
      <c r="F34" s="286">
        <v>-5000</v>
      </c>
      <c r="G34" s="287">
        <f t="shared" si="5"/>
        <v>-2.0427376805693499E-4</v>
      </c>
    </row>
    <row r="35" spans="1:9" s="61" customFormat="1" x14ac:dyDescent="0.2">
      <c r="A35" s="148" t="s">
        <v>19</v>
      </c>
      <c r="B35" s="25">
        <v>32868.85</v>
      </c>
      <c r="C35" s="25">
        <v>0</v>
      </c>
      <c r="D35" s="25">
        <f>164404.37-54292.35-3278.69+3000+1470</f>
        <v>111303.32999999999</v>
      </c>
      <c r="E35" s="25">
        <f>164404.37-54292.35-3278.69+3000+1470-52540.98-4426.23-15300.55+1980+2000</f>
        <v>43015.569999999978</v>
      </c>
      <c r="F35" s="25">
        <v>0</v>
      </c>
      <c r="G35" s="48">
        <f t="shared" si="5"/>
        <v>0</v>
      </c>
      <c r="H35" s="109"/>
      <c r="I35" s="283"/>
    </row>
    <row r="36" spans="1:9" s="61" customFormat="1" x14ac:dyDescent="0.2">
      <c r="A36" s="148" t="s">
        <v>389</v>
      </c>
      <c r="B36" s="70">
        <v>0</v>
      </c>
      <c r="C36" s="70">
        <v>0</v>
      </c>
      <c r="D36" s="70">
        <v>0</v>
      </c>
      <c r="E36" s="70">
        <v>99615.65</v>
      </c>
      <c r="F36" s="70">
        <v>0</v>
      </c>
      <c r="G36" s="48">
        <f t="shared" si="5"/>
        <v>0</v>
      </c>
      <c r="H36" s="283"/>
      <c r="I36" s="283"/>
    </row>
    <row r="37" spans="1:9" ht="15" x14ac:dyDescent="0.25">
      <c r="A37" s="45" t="s">
        <v>3</v>
      </c>
      <c r="B37" s="300">
        <f>+B35+B7+B10+B36</f>
        <v>3914678.62</v>
      </c>
      <c r="C37" s="300">
        <f>+C35+C7+C10+C36</f>
        <v>3882001.17</v>
      </c>
      <c r="D37" s="300">
        <f>+D35+D7+D10+D36</f>
        <v>11828744.469999999</v>
      </c>
      <c r="E37" s="300">
        <f>+E35+E7+E10+E36</f>
        <v>11785672</v>
      </c>
      <c r="F37" s="300">
        <f>+F35+F7+F10+F36</f>
        <v>24476955.84</v>
      </c>
      <c r="G37" s="47">
        <f>+F37/F37</f>
        <v>1</v>
      </c>
    </row>
    <row r="38" spans="1:9" x14ac:dyDescent="0.2">
      <c r="A38" s="7"/>
      <c r="B38" s="218"/>
      <c r="C38" s="218"/>
      <c r="D38" s="218"/>
      <c r="E38" s="218"/>
      <c r="F38" s="218"/>
      <c r="G38" s="265"/>
    </row>
    <row r="39" spans="1:9" x14ac:dyDescent="0.2">
      <c r="A39" s="246" t="s">
        <v>4</v>
      </c>
      <c r="B39" s="25"/>
      <c r="C39" s="25"/>
      <c r="D39" s="25"/>
      <c r="E39" s="25"/>
      <c r="F39" s="25"/>
      <c r="G39" s="48"/>
    </row>
    <row r="40" spans="1:9" x14ac:dyDescent="0.2">
      <c r="A40" s="247"/>
      <c r="B40" s="25"/>
      <c r="C40" s="25"/>
      <c r="D40" s="25"/>
      <c r="E40" s="25"/>
      <c r="F40" s="25"/>
      <c r="G40" s="48"/>
    </row>
    <row r="41" spans="1:9" x14ac:dyDescent="0.2">
      <c r="A41" s="248" t="s">
        <v>23</v>
      </c>
      <c r="B41" s="25"/>
      <c r="C41" s="25"/>
      <c r="D41" s="25"/>
      <c r="E41" s="25"/>
      <c r="F41" s="25"/>
      <c r="G41" s="48"/>
    </row>
    <row r="42" spans="1:9" s="109" customFormat="1" x14ac:dyDescent="0.2">
      <c r="A42" s="247" t="s">
        <v>20</v>
      </c>
      <c r="B42" s="25">
        <f t="shared" ref="B42" si="9">+SUM(B43:B51)</f>
        <v>0</v>
      </c>
      <c r="C42" s="25">
        <f>+SUM(C43:C51)</f>
        <v>4112.0185245901603</v>
      </c>
      <c r="D42" s="25">
        <f>+SUM(D43:D51)</f>
        <v>6000</v>
      </c>
      <c r="E42" s="25">
        <f>+SUM(E43:E51)</f>
        <v>26750</v>
      </c>
      <c r="F42" s="25">
        <f>+SUM(F43:F51)</f>
        <v>112105.7</v>
      </c>
      <c r="G42" s="48">
        <f>+F42/F85</f>
        <v>4.5800507519320674E-3</v>
      </c>
    </row>
    <row r="43" spans="1:9" s="109" customFormat="1" ht="12.75" x14ac:dyDescent="0.2">
      <c r="A43" s="24" t="s">
        <v>225</v>
      </c>
      <c r="B43" s="212">
        <v>0</v>
      </c>
      <c r="C43" s="298">
        <v>0</v>
      </c>
      <c r="D43" s="298">
        <v>0</v>
      </c>
      <c r="E43" s="298">
        <v>10000</v>
      </c>
      <c r="F43" s="298">
        <f>4900+10000</f>
        <v>14900</v>
      </c>
      <c r="G43" s="211">
        <f>F43/$F$85</f>
        <v>6.087358288096663E-4</v>
      </c>
    </row>
    <row r="44" spans="1:9" s="109" customFormat="1" ht="12.75" x14ac:dyDescent="0.2">
      <c r="A44" s="240" t="s">
        <v>124</v>
      </c>
      <c r="B44" s="212">
        <v>0</v>
      </c>
      <c r="C44" s="298">
        <v>0</v>
      </c>
      <c r="D44" s="298">
        <v>0</v>
      </c>
      <c r="E44" s="298">
        <v>2000</v>
      </c>
      <c r="F44" s="298">
        <v>0</v>
      </c>
      <c r="G44" s="211">
        <f t="shared" ref="G44:G48" si="10">F44/$F$85</f>
        <v>0</v>
      </c>
    </row>
    <row r="45" spans="1:9" s="109" customFormat="1" ht="12.75" x14ac:dyDescent="0.2">
      <c r="A45" s="240" t="s">
        <v>184</v>
      </c>
      <c r="B45" s="212">
        <v>0</v>
      </c>
      <c r="C45" s="298">
        <v>0</v>
      </c>
      <c r="D45" s="298">
        <v>0</v>
      </c>
      <c r="E45" s="298">
        <v>3750</v>
      </c>
      <c r="F45" s="298">
        <v>0</v>
      </c>
      <c r="G45" s="211">
        <f t="shared" si="10"/>
        <v>0</v>
      </c>
    </row>
    <row r="46" spans="1:9" s="109" customFormat="1" ht="12.75" x14ac:dyDescent="0.2">
      <c r="A46" s="240" t="s">
        <v>402</v>
      </c>
      <c r="B46" s="212">
        <v>0</v>
      </c>
      <c r="C46" s="298">
        <v>833.33</v>
      </c>
      <c r="D46" s="298">
        <f>833.33+5166.67</f>
        <v>6000</v>
      </c>
      <c r="E46" s="298">
        <v>11000</v>
      </c>
      <c r="F46" s="298">
        <v>20555.560000000001</v>
      </c>
      <c r="G46" s="211">
        <f t="shared" si="10"/>
        <v>8.397923391440823E-4</v>
      </c>
    </row>
    <row r="47" spans="1:9" s="109" customFormat="1" ht="12.75" x14ac:dyDescent="0.2">
      <c r="A47" s="24" t="s">
        <v>185</v>
      </c>
      <c r="B47" s="212">
        <v>0</v>
      </c>
      <c r="C47" s="298">
        <v>0</v>
      </c>
      <c r="D47" s="298">
        <v>0</v>
      </c>
      <c r="E47" s="298">
        <v>0</v>
      </c>
      <c r="F47" s="298">
        <v>1275</v>
      </c>
      <c r="G47" s="211">
        <f t="shared" si="10"/>
        <v>5.2089810854518426E-5</v>
      </c>
    </row>
    <row r="48" spans="1:9" s="109" customFormat="1" ht="12.75" x14ac:dyDescent="0.2">
      <c r="A48" s="24" t="s">
        <v>226</v>
      </c>
      <c r="B48" s="212">
        <v>0</v>
      </c>
      <c r="C48" s="298">
        <v>3278.6885245901599</v>
      </c>
      <c r="D48" s="298">
        <v>0</v>
      </c>
      <c r="E48" s="298">
        <v>0</v>
      </c>
      <c r="F48" s="298">
        <v>75375.14</v>
      </c>
      <c r="G48" s="211">
        <f t="shared" si="10"/>
        <v>3.0794327731238007E-3</v>
      </c>
      <c r="H48" s="137"/>
      <c r="I48" s="276"/>
    </row>
    <row r="49" spans="1:16" s="109" customFormat="1" ht="12.75" hidden="1" x14ac:dyDescent="0.2">
      <c r="A49" s="24" t="s">
        <v>288</v>
      </c>
      <c r="B49" s="212"/>
      <c r="C49" s="298"/>
      <c r="D49" s="298"/>
      <c r="E49" s="298"/>
      <c r="F49" s="298"/>
      <c r="G49" s="211">
        <f>B49/$B$85</f>
        <v>0</v>
      </c>
    </row>
    <row r="50" spans="1:16" s="109" customFormat="1" ht="12.75" hidden="1" x14ac:dyDescent="0.2">
      <c r="A50" s="24" t="s">
        <v>291</v>
      </c>
      <c r="B50" s="212">
        <v>0</v>
      </c>
      <c r="C50" s="298">
        <v>0</v>
      </c>
      <c r="D50" s="298">
        <v>0</v>
      </c>
      <c r="E50" s="298">
        <v>0</v>
      </c>
      <c r="F50" s="298">
        <v>0</v>
      </c>
      <c r="G50" s="211">
        <f>B50/$B$85</f>
        <v>0</v>
      </c>
      <c r="H50" s="130"/>
    </row>
    <row r="51" spans="1:16" s="109" customFormat="1" ht="12.75" hidden="1" x14ac:dyDescent="0.2">
      <c r="A51" s="24" t="s">
        <v>219</v>
      </c>
      <c r="B51" s="212">
        <v>0</v>
      </c>
      <c r="C51" s="298">
        <v>0</v>
      </c>
      <c r="D51" s="298">
        <v>0</v>
      </c>
      <c r="E51" s="298">
        <v>0</v>
      </c>
      <c r="F51" s="298">
        <v>0</v>
      </c>
      <c r="G51" s="211">
        <f>B51/$B$85</f>
        <v>0</v>
      </c>
      <c r="J51" s="266"/>
    </row>
    <row r="52" spans="1:16" s="109" customFormat="1" ht="12.75" x14ac:dyDescent="0.2">
      <c r="B52" s="212"/>
      <c r="C52" s="298"/>
      <c r="D52" s="298"/>
      <c r="E52" s="298"/>
      <c r="F52" s="298"/>
      <c r="G52" s="211"/>
      <c r="J52" s="266"/>
    </row>
    <row r="53" spans="1:16" s="109" customFormat="1" x14ac:dyDescent="0.2">
      <c r="A53" s="305" t="s">
        <v>395</v>
      </c>
      <c r="B53" s="212"/>
      <c r="C53" s="298"/>
      <c r="D53" s="298"/>
      <c r="E53" s="298"/>
      <c r="F53" s="298"/>
      <c r="G53" s="211"/>
      <c r="J53" s="266"/>
    </row>
    <row r="54" spans="1:16" s="109" customFormat="1" ht="12.75" x14ac:dyDescent="0.2">
      <c r="B54" s="212"/>
      <c r="C54" s="298"/>
      <c r="D54" s="298"/>
      <c r="E54" s="298"/>
      <c r="F54" s="298"/>
      <c r="G54" s="211"/>
      <c r="J54" s="266"/>
    </row>
    <row r="55" spans="1:16" s="307" customFormat="1" x14ac:dyDescent="0.2">
      <c r="A55" s="306" t="s">
        <v>175</v>
      </c>
      <c r="B55" s="309"/>
      <c r="C55" s="309"/>
      <c r="D55" s="309"/>
      <c r="E55" s="309"/>
      <c r="F55" s="309">
        <f>+F56+F62+F59</f>
        <v>13032200</v>
      </c>
      <c r="G55" s="317">
        <f>+F55/F85</f>
        <v>0.5324273200143177</v>
      </c>
      <c r="H55" s="319"/>
      <c r="I55" s="321"/>
      <c r="J55" s="321"/>
      <c r="K55" s="321"/>
      <c r="L55" s="321"/>
      <c r="M55" s="323"/>
      <c r="N55" s="16"/>
      <c r="O55" s="16"/>
      <c r="P55" s="266"/>
    </row>
    <row r="56" spans="1:16" s="307" customFormat="1" ht="12.75" x14ac:dyDescent="0.2">
      <c r="A56" s="307" t="s">
        <v>173</v>
      </c>
      <c r="B56" s="309">
        <f t="shared" ref="B56:E56" si="11">+B57+B58</f>
        <v>0</v>
      </c>
      <c r="C56" s="309">
        <f t="shared" si="11"/>
        <v>0</v>
      </c>
      <c r="D56" s="309">
        <f t="shared" si="11"/>
        <v>0</v>
      </c>
      <c r="E56" s="309">
        <f t="shared" si="11"/>
        <v>0</v>
      </c>
      <c r="F56" s="309">
        <f>+F57+F58</f>
        <v>5012444.444444444</v>
      </c>
      <c r="G56" s="317">
        <f>+F56/$F$85</f>
        <v>0.20478218276854337</v>
      </c>
      <c r="H56" s="319"/>
      <c r="I56" s="321"/>
      <c r="J56" s="321"/>
      <c r="K56" s="321"/>
      <c r="L56" s="321"/>
      <c r="M56" s="323"/>
      <c r="N56" s="16"/>
      <c r="O56" s="16"/>
    </row>
    <row r="57" spans="1:16" s="307" customFormat="1" ht="12.75" x14ac:dyDescent="0.2">
      <c r="A57" s="308" t="s">
        <v>32</v>
      </c>
      <c r="B57" s="310">
        <v>0</v>
      </c>
      <c r="C57" s="310">
        <v>0</v>
      </c>
      <c r="D57" s="310">
        <v>0</v>
      </c>
      <c r="E57" s="310">
        <v>0</v>
      </c>
      <c r="F57" s="310">
        <v>5000000</v>
      </c>
      <c r="G57" s="318">
        <f>+F57/$F$85</f>
        <v>0.20427376805693501</v>
      </c>
      <c r="H57" s="320"/>
      <c r="I57" s="55"/>
      <c r="J57" s="55"/>
      <c r="K57" s="55"/>
      <c r="L57" s="55"/>
      <c r="M57" s="282"/>
      <c r="N57" s="16"/>
      <c r="O57" s="16"/>
    </row>
    <row r="58" spans="1:16" s="307" customFormat="1" ht="12.75" x14ac:dyDescent="0.2">
      <c r="A58" s="308" t="s">
        <v>22</v>
      </c>
      <c r="B58" s="310">
        <v>0</v>
      </c>
      <c r="C58" s="310">
        <v>0</v>
      </c>
      <c r="D58" s="310">
        <v>0</v>
      </c>
      <c r="E58" s="310">
        <v>0</v>
      </c>
      <c r="F58" s="310">
        <v>12444.444444444445</v>
      </c>
      <c r="G58" s="318">
        <f>+F58/$F$85</f>
        <v>5.0841471160837162E-4</v>
      </c>
      <c r="H58" s="320"/>
      <c r="I58" s="55"/>
      <c r="J58" s="55"/>
      <c r="K58" s="55"/>
      <c r="L58" s="55"/>
      <c r="M58" s="282"/>
      <c r="N58" s="16"/>
      <c r="O58" s="16"/>
    </row>
    <row r="59" spans="1:16" s="307" customFormat="1" ht="12.75" x14ac:dyDescent="0.2">
      <c r="A59" s="307" t="s">
        <v>37</v>
      </c>
      <c r="B59" s="309">
        <f t="shared" ref="B59:E59" si="12">+B60+B61</f>
        <v>0</v>
      </c>
      <c r="C59" s="309">
        <f t="shared" si="12"/>
        <v>0</v>
      </c>
      <c r="D59" s="309">
        <f t="shared" si="12"/>
        <v>0</v>
      </c>
      <c r="E59" s="309">
        <f t="shared" si="12"/>
        <v>0</v>
      </c>
      <c r="F59" s="309">
        <f>+F60+F61</f>
        <v>5015555.555555556</v>
      </c>
      <c r="G59" s="317">
        <f t="shared" ref="G59:G64" si="13">+F59/$F$85</f>
        <v>0.20490928644644549</v>
      </c>
      <c r="H59" s="319"/>
      <c r="I59" s="321"/>
      <c r="J59" s="321"/>
      <c r="K59" s="321"/>
      <c r="L59" s="321"/>
      <c r="M59" s="323"/>
      <c r="N59" s="16"/>
      <c r="O59" s="16"/>
    </row>
    <row r="60" spans="1:16" s="307" customFormat="1" ht="12.75" x14ac:dyDescent="0.2">
      <c r="A60" s="308" t="s">
        <v>32</v>
      </c>
      <c r="B60" s="310">
        <v>0</v>
      </c>
      <c r="C60" s="310">
        <v>0</v>
      </c>
      <c r="D60" s="310">
        <v>0</v>
      </c>
      <c r="E60" s="310">
        <v>0</v>
      </c>
      <c r="F60" s="310">
        <v>5000000</v>
      </c>
      <c r="G60" s="318">
        <f t="shared" si="13"/>
        <v>0.20427376805693501</v>
      </c>
      <c r="H60" s="320"/>
      <c r="I60" s="55"/>
      <c r="J60" s="55"/>
      <c r="K60" s="55"/>
      <c r="L60" s="55"/>
      <c r="M60" s="282"/>
      <c r="N60" s="16"/>
      <c r="O60" s="16"/>
    </row>
    <row r="61" spans="1:16" s="307" customFormat="1" ht="12.75" x14ac:dyDescent="0.2">
      <c r="A61" s="308" t="s">
        <v>22</v>
      </c>
      <c r="B61" s="310">
        <v>0</v>
      </c>
      <c r="C61" s="310">
        <v>0</v>
      </c>
      <c r="D61" s="310">
        <v>0</v>
      </c>
      <c r="E61" s="310">
        <v>0</v>
      </c>
      <c r="F61" s="310">
        <v>15555.555555555557</v>
      </c>
      <c r="G61" s="318">
        <f t="shared" si="13"/>
        <v>6.3551838951046453E-4</v>
      </c>
      <c r="H61" s="320"/>
      <c r="I61" s="55"/>
      <c r="J61" s="55"/>
      <c r="K61" s="55"/>
      <c r="L61" s="55"/>
      <c r="M61" s="282"/>
      <c r="N61" s="16"/>
      <c r="O61" s="16"/>
    </row>
    <row r="62" spans="1:16" s="307" customFormat="1" ht="12.75" x14ac:dyDescent="0.2">
      <c r="A62" s="307" t="s">
        <v>396</v>
      </c>
      <c r="B62" s="309">
        <f t="shared" ref="B62:E62" si="14">+B63+B64</f>
        <v>0</v>
      </c>
      <c r="C62" s="309">
        <f t="shared" si="14"/>
        <v>0</v>
      </c>
      <c r="D62" s="309">
        <f t="shared" si="14"/>
        <v>0</v>
      </c>
      <c r="E62" s="309">
        <f t="shared" si="14"/>
        <v>0</v>
      </c>
      <c r="F62" s="309">
        <f>+F63+F64</f>
        <v>3004200</v>
      </c>
      <c r="G62" s="317">
        <f t="shared" si="13"/>
        <v>0.12273585079932883</v>
      </c>
      <c r="H62" s="319"/>
      <c r="I62" s="321"/>
      <c r="J62" s="321"/>
      <c r="K62" s="321"/>
      <c r="L62" s="321"/>
      <c r="M62" s="323"/>
      <c r="N62" s="16"/>
      <c r="O62" s="16"/>
    </row>
    <row r="63" spans="1:16" s="307" customFormat="1" ht="12.75" x14ac:dyDescent="0.2">
      <c r="A63" s="308" t="s">
        <v>32</v>
      </c>
      <c r="B63" s="310">
        <v>0</v>
      </c>
      <c r="C63" s="310">
        <v>0</v>
      </c>
      <c r="D63" s="310">
        <v>0</v>
      </c>
      <c r="E63" s="310">
        <v>0</v>
      </c>
      <c r="F63" s="310">
        <v>3000000</v>
      </c>
      <c r="G63" s="318">
        <f t="shared" si="13"/>
        <v>0.122564260834161</v>
      </c>
      <c r="H63" s="320"/>
      <c r="I63" s="55"/>
      <c r="J63" s="55"/>
      <c r="K63" s="55"/>
      <c r="L63" s="55"/>
      <c r="M63" s="282"/>
      <c r="N63" s="16"/>
      <c r="O63" s="16"/>
    </row>
    <row r="64" spans="1:16" s="307" customFormat="1" ht="12.75" x14ac:dyDescent="0.2">
      <c r="A64" s="308" t="s">
        <v>22</v>
      </c>
      <c r="B64" s="310">
        <v>0</v>
      </c>
      <c r="C64" s="310">
        <v>0</v>
      </c>
      <c r="D64" s="310">
        <v>0</v>
      </c>
      <c r="E64" s="310">
        <v>0</v>
      </c>
      <c r="F64" s="310">
        <v>4200</v>
      </c>
      <c r="G64" s="318">
        <f t="shared" si="13"/>
        <v>1.715899651678254E-4</v>
      </c>
      <c r="H64" s="320"/>
      <c r="I64" s="55"/>
      <c r="J64" s="55"/>
      <c r="K64" s="55"/>
      <c r="L64" s="55"/>
      <c r="M64" s="282"/>
      <c r="N64" s="16"/>
      <c r="O64" s="16"/>
    </row>
    <row r="65" spans="1:12" s="109" customFormat="1" x14ac:dyDescent="0.2">
      <c r="A65" s="306" t="s">
        <v>389</v>
      </c>
      <c r="B65" s="147">
        <v>0</v>
      </c>
      <c r="C65" s="147">
        <v>0</v>
      </c>
      <c r="D65" s="147">
        <v>0</v>
      </c>
      <c r="E65" s="147">
        <v>0</v>
      </c>
      <c r="F65" s="70">
        <v>-222607.48</v>
      </c>
      <c r="G65" s="158">
        <f>+F65/F85</f>
        <v>-9.0945737474517601E-3</v>
      </c>
    </row>
    <row r="66" spans="1:12" ht="15" x14ac:dyDescent="0.25">
      <c r="A66" s="128" t="s">
        <v>5</v>
      </c>
      <c r="B66" s="32">
        <f>+B42</f>
        <v>0</v>
      </c>
      <c r="C66" s="32">
        <f>+C42</f>
        <v>4112.0185245901603</v>
      </c>
      <c r="D66" s="32">
        <f>+D42</f>
        <v>6000</v>
      </c>
      <c r="E66" s="32">
        <f>+E42</f>
        <v>26750</v>
      </c>
      <c r="F66" s="32">
        <f>+F42+F55+F65</f>
        <v>12921698.219999999</v>
      </c>
      <c r="G66" s="47">
        <f>+E66/E85</f>
        <v>2.2697051113874074E-3</v>
      </c>
    </row>
    <row r="67" spans="1:12" x14ac:dyDescent="0.2">
      <c r="A67" s="7"/>
      <c r="B67" s="157"/>
      <c r="C67" s="34"/>
      <c r="D67" s="34"/>
      <c r="E67" s="34"/>
      <c r="F67" s="34"/>
      <c r="G67" s="245"/>
    </row>
    <row r="68" spans="1:12" x14ac:dyDescent="0.2">
      <c r="A68" s="66" t="s">
        <v>6</v>
      </c>
      <c r="B68" s="219"/>
      <c r="C68" s="219"/>
      <c r="D68" s="219"/>
      <c r="E68" s="219"/>
      <c r="F68" s="219" t="s">
        <v>413</v>
      </c>
      <c r="G68" s="159"/>
      <c r="I68" s="165"/>
    </row>
    <row r="69" spans="1:12" x14ac:dyDescent="0.2">
      <c r="A69" s="148"/>
      <c r="B69" s="12"/>
      <c r="C69" s="12"/>
      <c r="D69" s="12"/>
      <c r="E69" s="12"/>
      <c r="F69" s="12"/>
      <c r="G69" s="160"/>
      <c r="J69" s="299"/>
    </row>
    <row r="70" spans="1:12" s="60" customFormat="1" x14ac:dyDescent="0.2">
      <c r="A70" s="148" t="s">
        <v>42</v>
      </c>
      <c r="B70" s="12">
        <f>SUM(B71:B77)</f>
        <v>4050000</v>
      </c>
      <c r="C70" s="12">
        <f>SUM(C71:C77)</f>
        <v>4050000</v>
      </c>
      <c r="D70" s="12">
        <f>SUM(D71:D77)</f>
        <v>12050000</v>
      </c>
      <c r="E70" s="12">
        <f>SUM(E71:E77)</f>
        <v>12050000</v>
      </c>
      <c r="F70" s="12">
        <f>SUM(F71:F77)</f>
        <v>12050000</v>
      </c>
      <c r="G70" s="160">
        <f>+F70/$F$85</f>
        <v>0.49229978101721339</v>
      </c>
      <c r="H70" s="256"/>
      <c r="I70" s="255"/>
      <c r="J70" s="284"/>
    </row>
    <row r="71" spans="1:12" s="60" customFormat="1" ht="12.75" x14ac:dyDescent="0.2">
      <c r="A71" s="240" t="s">
        <v>370</v>
      </c>
      <c r="B71" s="102">
        <v>1200000</v>
      </c>
      <c r="C71" s="301">
        <v>1200000</v>
      </c>
      <c r="D71" s="301">
        <f>1200000+2400000</f>
        <v>3600000</v>
      </c>
      <c r="E71" s="301">
        <f>1200000+2400000</f>
        <v>3600000</v>
      </c>
      <c r="F71" s="301">
        <f>1200000+2400000</f>
        <v>3600000</v>
      </c>
      <c r="G71" s="213">
        <f>+F71/$F$85</f>
        <v>0.14707711300099321</v>
      </c>
      <c r="H71" s="327"/>
      <c r="I71" s="327"/>
      <c r="J71" s="275"/>
    </row>
    <row r="72" spans="1:12" s="60" customFormat="1" x14ac:dyDescent="0.2">
      <c r="A72" s="240" t="s">
        <v>376</v>
      </c>
      <c r="B72" s="76">
        <v>800000</v>
      </c>
      <c r="C72" s="301">
        <v>800000</v>
      </c>
      <c r="D72" s="301">
        <f t="shared" ref="D72:F74" si="15">800000+1600000</f>
        <v>2400000</v>
      </c>
      <c r="E72" s="301">
        <f t="shared" si="15"/>
        <v>2400000</v>
      </c>
      <c r="F72" s="301">
        <f t="shared" si="15"/>
        <v>2400000</v>
      </c>
      <c r="G72" s="213">
        <f t="shared" ref="G72:G77" si="16">+F72/$F$85</f>
        <v>9.805140866732881E-2</v>
      </c>
      <c r="H72" s="280"/>
      <c r="I72" s="280"/>
      <c r="J72" s="280"/>
      <c r="K72" s="295"/>
      <c r="L72" s="295"/>
    </row>
    <row r="73" spans="1:12" s="60" customFormat="1" ht="12.75" x14ac:dyDescent="0.2">
      <c r="A73" s="240" t="s">
        <v>375</v>
      </c>
      <c r="B73" s="76">
        <v>800000</v>
      </c>
      <c r="C73" s="301">
        <v>800000</v>
      </c>
      <c r="D73" s="301">
        <f t="shared" si="15"/>
        <v>2400000</v>
      </c>
      <c r="E73" s="301">
        <f t="shared" si="15"/>
        <v>2400000</v>
      </c>
      <c r="F73" s="301">
        <f t="shared" si="15"/>
        <v>2400000</v>
      </c>
      <c r="G73" s="213">
        <f t="shared" si="16"/>
        <v>9.805140866732881E-2</v>
      </c>
      <c r="H73" s="284"/>
      <c r="I73" s="284"/>
      <c r="J73" s="284"/>
      <c r="K73" s="244"/>
      <c r="L73" s="244"/>
    </row>
    <row r="74" spans="1:12" s="60" customFormat="1" ht="12.75" x14ac:dyDescent="0.2">
      <c r="A74" s="240" t="s">
        <v>371</v>
      </c>
      <c r="B74" s="76">
        <v>800000</v>
      </c>
      <c r="C74" s="301">
        <v>800000</v>
      </c>
      <c r="D74" s="301">
        <f t="shared" si="15"/>
        <v>2400000</v>
      </c>
      <c r="E74" s="301">
        <f t="shared" si="15"/>
        <v>2400000</v>
      </c>
      <c r="F74" s="301">
        <f t="shared" si="15"/>
        <v>2400000</v>
      </c>
      <c r="G74" s="213">
        <f t="shared" si="16"/>
        <v>9.805140866732881E-2</v>
      </c>
      <c r="H74" s="279"/>
      <c r="J74" s="284"/>
    </row>
    <row r="75" spans="1:12" s="60" customFormat="1" ht="12.75" x14ac:dyDescent="0.2">
      <c r="A75" s="240" t="s">
        <v>372</v>
      </c>
      <c r="B75" s="102">
        <v>200000</v>
      </c>
      <c r="C75" s="301">
        <v>200000</v>
      </c>
      <c r="D75" s="301">
        <f t="shared" ref="D75:F76" si="17">200000+400000</f>
        <v>600000</v>
      </c>
      <c r="E75" s="301">
        <f t="shared" si="17"/>
        <v>600000</v>
      </c>
      <c r="F75" s="301">
        <f t="shared" si="17"/>
        <v>600000</v>
      </c>
      <c r="G75" s="213">
        <f t="shared" si="16"/>
        <v>2.4512852166832202E-2</v>
      </c>
      <c r="H75" s="255"/>
      <c r="I75" s="255"/>
    </row>
    <row r="76" spans="1:12" s="60" customFormat="1" ht="12.75" x14ac:dyDescent="0.2">
      <c r="A76" s="240" t="s">
        <v>373</v>
      </c>
      <c r="B76" s="102">
        <v>200000</v>
      </c>
      <c r="C76" s="301">
        <v>200000</v>
      </c>
      <c r="D76" s="301">
        <f t="shared" si="17"/>
        <v>600000</v>
      </c>
      <c r="E76" s="301">
        <f t="shared" si="17"/>
        <v>600000</v>
      </c>
      <c r="F76" s="301">
        <f t="shared" si="17"/>
        <v>600000</v>
      </c>
      <c r="G76" s="213">
        <f t="shared" si="16"/>
        <v>2.4512852166832202E-2</v>
      </c>
      <c r="H76" s="297"/>
      <c r="I76" s="328"/>
      <c r="J76" s="284"/>
    </row>
    <row r="77" spans="1:12" s="60" customFormat="1" ht="12.75" x14ac:dyDescent="0.2">
      <c r="A77" s="240" t="s">
        <v>374</v>
      </c>
      <c r="B77" s="76">
        <v>50000</v>
      </c>
      <c r="C77" s="301">
        <v>50000</v>
      </c>
      <c r="D77" s="301">
        <v>50000</v>
      </c>
      <c r="E77" s="301">
        <v>50000</v>
      </c>
      <c r="F77" s="301">
        <v>50000</v>
      </c>
      <c r="G77" s="213">
        <f t="shared" si="16"/>
        <v>2.0427376805693502E-3</v>
      </c>
      <c r="H77" s="297"/>
      <c r="I77" s="284"/>
      <c r="J77" s="284"/>
      <c r="K77" s="244"/>
    </row>
    <row r="78" spans="1:12" hidden="1" x14ac:dyDescent="0.2">
      <c r="A78" s="267" t="s">
        <v>136</v>
      </c>
      <c r="B78" s="268">
        <v>0</v>
      </c>
      <c r="C78" s="12">
        <v>0</v>
      </c>
      <c r="D78" s="12">
        <v>0</v>
      </c>
      <c r="E78" s="12">
        <v>0</v>
      </c>
      <c r="F78" s="12">
        <v>0</v>
      </c>
      <c r="G78" s="160">
        <f t="shared" ref="G78:G81" si="18">+B78/$B$85</f>
        <v>0</v>
      </c>
      <c r="H78" s="295"/>
    </row>
    <row r="79" spans="1:12" hidden="1" x14ac:dyDescent="0.2">
      <c r="A79" s="267" t="s">
        <v>167</v>
      </c>
      <c r="B79" s="268">
        <f t="shared" ref="B79" si="19">+B80+B81</f>
        <v>0</v>
      </c>
      <c r="C79" s="12">
        <f>+C80+C81</f>
        <v>0</v>
      </c>
      <c r="D79" s="12">
        <f>+D80+D81</f>
        <v>0</v>
      </c>
      <c r="E79" s="12">
        <f>+E80+E81</f>
        <v>0</v>
      </c>
      <c r="F79" s="12">
        <f>+F80+F81</f>
        <v>0</v>
      </c>
      <c r="G79" s="160">
        <f t="shared" si="18"/>
        <v>0</v>
      </c>
      <c r="H79" s="295"/>
      <c r="I79" s="165"/>
    </row>
    <row r="80" spans="1:12" s="60" customFormat="1" ht="12.75" hidden="1" x14ac:dyDescent="0.2">
      <c r="A80" s="240" t="s">
        <v>222</v>
      </c>
      <c r="B80" s="76">
        <v>0</v>
      </c>
      <c r="C80" s="301">
        <v>0</v>
      </c>
      <c r="D80" s="301">
        <v>0</v>
      </c>
      <c r="E80" s="301">
        <v>0</v>
      </c>
      <c r="F80" s="301">
        <v>0</v>
      </c>
      <c r="G80" s="213">
        <f t="shared" si="18"/>
        <v>0</v>
      </c>
      <c r="H80" s="275"/>
    </row>
    <row r="81" spans="1:12" s="60" customFormat="1" ht="12.75" hidden="1" x14ac:dyDescent="0.2">
      <c r="A81" s="240" t="s">
        <v>168</v>
      </c>
      <c r="B81" s="76">
        <v>0</v>
      </c>
      <c r="C81" s="301">
        <v>0</v>
      </c>
      <c r="D81" s="301">
        <v>0</v>
      </c>
      <c r="E81" s="301">
        <v>0</v>
      </c>
      <c r="F81" s="301">
        <v>0</v>
      </c>
      <c r="G81" s="213">
        <f t="shared" si="18"/>
        <v>0</v>
      </c>
      <c r="H81" s="275"/>
    </row>
    <row r="82" spans="1:12" x14ac:dyDescent="0.2">
      <c r="A82" s="148" t="s">
        <v>368</v>
      </c>
      <c r="B82" s="12">
        <f t="shared" ref="B82:E82" si="20">+B154</f>
        <v>-135321.38</v>
      </c>
      <c r="C82" s="12">
        <f t="shared" si="20"/>
        <v>-172110.85098360662</v>
      </c>
      <c r="D82" s="12">
        <f t="shared" si="20"/>
        <v>-227255.53098360662</v>
      </c>
      <c r="E82" s="12">
        <f t="shared" si="20"/>
        <v>-291077.99098360661</v>
      </c>
      <c r="F82" s="12">
        <f>+F154</f>
        <v>-494742.37999999995</v>
      </c>
      <c r="G82" s="160">
        <f>+F82/$F$85</f>
        <v>-2.0212578036011199E-2</v>
      </c>
      <c r="H82" s="295"/>
      <c r="I82" s="245"/>
      <c r="L82" s="165"/>
    </row>
    <row r="83" spans="1:12" x14ac:dyDescent="0.2">
      <c r="A83" s="148"/>
      <c r="B83" s="12"/>
      <c r="C83" s="12"/>
      <c r="D83" s="12"/>
      <c r="E83" s="12"/>
      <c r="F83" s="12"/>
      <c r="G83" s="160"/>
      <c r="H83" s="245"/>
      <c r="I83" s="245"/>
      <c r="J83" s="165"/>
    </row>
    <row r="84" spans="1:12" ht="15" x14ac:dyDescent="0.25">
      <c r="A84" s="250" t="s">
        <v>7</v>
      </c>
      <c r="B84" s="32">
        <f>+B70+B78+B79+B82</f>
        <v>3914678.62</v>
      </c>
      <c r="C84" s="32">
        <f>+C70+C78+C79+C82</f>
        <v>3877889.1490163933</v>
      </c>
      <c r="D84" s="32">
        <f>+D70+D78+D79+D82</f>
        <v>11822744.469016394</v>
      </c>
      <c r="E84" s="32">
        <f>+E70+E78+E79+E82</f>
        <v>11758922.009016393</v>
      </c>
      <c r="F84" s="32">
        <f>+F70+F78+F79+F82</f>
        <v>11555257.619999999</v>
      </c>
      <c r="G84" s="47">
        <f>+F84/F85</f>
        <v>0.47208720298120216</v>
      </c>
      <c r="I84" s="165"/>
      <c r="J84" s="165"/>
    </row>
    <row r="85" spans="1:12" ht="15" x14ac:dyDescent="0.25">
      <c r="A85" s="45" t="s">
        <v>11</v>
      </c>
      <c r="B85" s="32">
        <f>+B66+B84</f>
        <v>3914678.62</v>
      </c>
      <c r="C85" s="32">
        <f>+C66+C84</f>
        <v>3882001.1675409833</v>
      </c>
      <c r="D85" s="32">
        <f>+D66+D84</f>
        <v>11828744.469016394</v>
      </c>
      <c r="E85" s="32">
        <f>+E66+E84</f>
        <v>11785672.009016393</v>
      </c>
      <c r="F85" s="32">
        <f>+F66+F84</f>
        <v>24476955.839999996</v>
      </c>
      <c r="G85" s="47">
        <f>+F85/F85</f>
        <v>1</v>
      </c>
      <c r="I85" s="165"/>
      <c r="J85" s="165"/>
    </row>
    <row r="86" spans="1:12" ht="15" x14ac:dyDescent="0.25">
      <c r="A86" s="129"/>
      <c r="B86" s="220"/>
      <c r="C86" s="220"/>
      <c r="D86" s="220"/>
      <c r="E86" s="220"/>
      <c r="F86" s="220"/>
      <c r="G86" s="252"/>
      <c r="I86" s="165"/>
      <c r="J86" s="165"/>
    </row>
    <row r="87" spans="1:12" ht="15" x14ac:dyDescent="0.25">
      <c r="A87" s="250" t="s">
        <v>269</v>
      </c>
      <c r="B87" s="221" t="str">
        <f>+B3</f>
        <v>August</v>
      </c>
      <c r="C87" s="221" t="str">
        <f>+C3</f>
        <v>September</v>
      </c>
      <c r="D87" s="221" t="str">
        <f>+D3</f>
        <v>October</v>
      </c>
      <c r="E87" s="221" t="str">
        <f>+E3</f>
        <v>November</v>
      </c>
      <c r="F87" s="221" t="str">
        <f>+F3</f>
        <v>December</v>
      </c>
      <c r="G87" s="221" t="str">
        <f>+F87</f>
        <v>December</v>
      </c>
    </row>
    <row r="88" spans="1:12" ht="15" x14ac:dyDescent="0.25">
      <c r="A88" s="64"/>
      <c r="B88" s="222"/>
      <c r="C88" s="222"/>
      <c r="D88" s="222"/>
      <c r="E88" s="222"/>
      <c r="F88" s="222"/>
      <c r="G88" s="85" t="s">
        <v>30</v>
      </c>
    </row>
    <row r="89" spans="1:12" s="109" customFormat="1" x14ac:dyDescent="0.2">
      <c r="A89" s="148" t="s">
        <v>12</v>
      </c>
      <c r="B89" s="223"/>
      <c r="C89" s="223"/>
      <c r="D89" s="223"/>
      <c r="E89" s="223"/>
      <c r="F89" s="223"/>
      <c r="G89" s="66"/>
    </row>
    <row r="90" spans="1:12" s="109" customFormat="1" x14ac:dyDescent="0.2">
      <c r="A90" s="240" t="str">
        <f>+A125</f>
        <v xml:space="preserve">Loans Interests </v>
      </c>
      <c r="B90" s="25">
        <v>0</v>
      </c>
      <c r="C90" s="25">
        <v>0</v>
      </c>
      <c r="D90" s="298">
        <f t="shared" ref="D90:F92" si="21">+D125-C125</f>
        <v>4500</v>
      </c>
      <c r="E90" s="298">
        <f t="shared" si="21"/>
        <v>35000</v>
      </c>
      <c r="F90" s="298">
        <f t="shared" si="21"/>
        <v>49343.630000000005</v>
      </c>
      <c r="G90" s="125">
        <f>SUM(B90:F90)</f>
        <v>88843.63</v>
      </c>
    </row>
    <row r="91" spans="1:12" s="109" customFormat="1" ht="12.75" x14ac:dyDescent="0.2">
      <c r="A91" s="240" t="str">
        <f>+A126</f>
        <v>Disbursement Fee</v>
      </c>
      <c r="B91" s="125">
        <v>0</v>
      </c>
      <c r="C91" s="298">
        <v>0</v>
      </c>
      <c r="D91" s="298">
        <f t="shared" si="21"/>
        <v>112.5</v>
      </c>
      <c r="E91" s="298">
        <f t="shared" si="21"/>
        <v>875</v>
      </c>
      <c r="F91" s="298">
        <f t="shared" si="21"/>
        <v>1422.8600000000001</v>
      </c>
      <c r="G91" s="125">
        <f t="shared" ref="G91:G92" si="22">SUM(B91:F91)</f>
        <v>2410.36</v>
      </c>
    </row>
    <row r="92" spans="1:12" s="109" customFormat="1" ht="12.75" x14ac:dyDescent="0.2">
      <c r="A92" s="240" t="str">
        <f>+A127</f>
        <v>Other Income</v>
      </c>
      <c r="B92" s="125">
        <f>+B127</f>
        <v>61.59</v>
      </c>
      <c r="C92" s="298">
        <f>+C127-B127</f>
        <v>191.4</v>
      </c>
      <c r="D92" s="298">
        <f t="shared" si="21"/>
        <v>192</v>
      </c>
      <c r="E92" s="298">
        <f t="shared" si="21"/>
        <v>5026.8000000000011</v>
      </c>
      <c r="F92" s="298">
        <f t="shared" si="21"/>
        <v>5484.8599999999969</v>
      </c>
      <c r="G92" s="125">
        <f t="shared" si="22"/>
        <v>10956.649999999998</v>
      </c>
    </row>
    <row r="93" spans="1:12" s="109" customFormat="1" ht="12.75" x14ac:dyDescent="0.2">
      <c r="A93" s="240" t="s">
        <v>8</v>
      </c>
      <c r="B93" s="298">
        <f t="shared" ref="B93:G93" si="23">SUM(B90:B92)</f>
        <v>61.59</v>
      </c>
      <c r="C93" s="298">
        <f t="shared" si="23"/>
        <v>191.4</v>
      </c>
      <c r="D93" s="298">
        <f t="shared" si="23"/>
        <v>4804.5</v>
      </c>
      <c r="E93" s="298">
        <f t="shared" si="23"/>
        <v>40901.800000000003</v>
      </c>
      <c r="F93" s="298">
        <f t="shared" si="23"/>
        <v>56251.350000000006</v>
      </c>
      <c r="G93" s="125">
        <f t="shared" si="23"/>
        <v>102210.64</v>
      </c>
    </row>
    <row r="94" spans="1:12" x14ac:dyDescent="0.2">
      <c r="A94" s="148"/>
      <c r="B94" s="25"/>
      <c r="C94" s="25"/>
      <c r="D94" s="25"/>
      <c r="E94" s="25"/>
      <c r="F94" s="25"/>
      <c r="G94" s="25"/>
    </row>
    <row r="95" spans="1:12" s="109" customFormat="1" x14ac:dyDescent="0.2">
      <c r="A95" s="148" t="s">
        <v>13</v>
      </c>
      <c r="B95" s="25"/>
      <c r="C95" s="25"/>
      <c r="D95" s="25"/>
      <c r="E95" s="25"/>
      <c r="F95" s="25"/>
      <c r="G95" s="25"/>
    </row>
    <row r="96" spans="1:12" s="109" customFormat="1" ht="12.75" x14ac:dyDescent="0.2">
      <c r="A96" s="240" t="str">
        <f t="shared" ref="A96:A97" si="24">+A131</f>
        <v>Management Fees</v>
      </c>
      <c r="B96" s="125">
        <f>+B131</f>
        <v>-26986.34</v>
      </c>
      <c r="C96" s="298">
        <f t="shared" ref="C96:F96" si="25">+C131-B131</f>
        <v>-36147.54098360661</v>
      </c>
      <c r="D96" s="298">
        <f t="shared" si="25"/>
        <v>-49822.349999999991</v>
      </c>
      <c r="E96" s="298">
        <f t="shared" si="25"/>
        <v>-68287.760000000009</v>
      </c>
      <c r="F96" s="298">
        <f t="shared" si="25"/>
        <v>-118390.7090163934</v>
      </c>
      <c r="G96" s="125">
        <f>SUM(B96:F96)</f>
        <v>-299634.7</v>
      </c>
    </row>
    <row r="97" spans="1:7" s="109" customFormat="1" ht="12.75" x14ac:dyDescent="0.2">
      <c r="A97" s="240" t="str">
        <f t="shared" si="24"/>
        <v>Senior Loans Interests</v>
      </c>
      <c r="B97" s="125">
        <f>+B132</f>
        <v>0</v>
      </c>
      <c r="C97" s="298">
        <f t="shared" ref="C97" si="26">+C132-B132</f>
        <v>0</v>
      </c>
      <c r="D97" s="298">
        <f t="shared" ref="D97" si="27">+D132-C132</f>
        <v>0</v>
      </c>
      <c r="E97" s="298">
        <f t="shared" ref="E97" si="28">+E132-D132</f>
        <v>0</v>
      </c>
      <c r="F97" s="298">
        <f t="shared" ref="F97" si="29">+F132-E132</f>
        <v>-35311.11</v>
      </c>
      <c r="G97" s="125">
        <f>SUM(B97:F97)</f>
        <v>-35311.11</v>
      </c>
    </row>
    <row r="98" spans="1:7" s="109" customFormat="1" ht="12.75" x14ac:dyDescent="0.2">
      <c r="A98" s="240" t="str">
        <f>+A133</f>
        <v>Senior Loans Fees</v>
      </c>
      <c r="B98" s="125">
        <v>0</v>
      </c>
      <c r="C98" s="298">
        <f t="shared" ref="C98:F101" si="30">+C133-B133</f>
        <v>-833.33</v>
      </c>
      <c r="D98" s="298">
        <f t="shared" si="30"/>
        <v>-5166.67</v>
      </c>
      <c r="E98" s="298">
        <f t="shared" si="30"/>
        <v>-10384.349999999999</v>
      </c>
      <c r="F98" s="298">
        <f t="shared" si="30"/>
        <v>-11563.730000000003</v>
      </c>
      <c r="G98" s="125">
        <f t="shared" ref="G98:G99" si="31">SUM(B98:F98)</f>
        <v>-27948.080000000002</v>
      </c>
    </row>
    <row r="99" spans="1:7" s="109" customFormat="1" ht="12.75" x14ac:dyDescent="0.2">
      <c r="A99" s="240" t="str">
        <f t="shared" ref="A99:B102" si="32">+A134</f>
        <v>Organizational Expenses</v>
      </c>
      <c r="B99" s="125">
        <f t="shared" si="32"/>
        <v>-108091.63</v>
      </c>
      <c r="C99" s="298">
        <f t="shared" si="30"/>
        <v>0</v>
      </c>
      <c r="D99" s="298">
        <f t="shared" si="30"/>
        <v>0</v>
      </c>
      <c r="E99" s="298">
        <f t="shared" si="30"/>
        <v>0</v>
      </c>
      <c r="F99" s="298">
        <f t="shared" si="30"/>
        <v>0</v>
      </c>
      <c r="G99" s="125">
        <f t="shared" si="31"/>
        <v>-108091.63</v>
      </c>
    </row>
    <row r="100" spans="1:7" s="249" customFormat="1" ht="11.25" x14ac:dyDescent="0.2">
      <c r="A100" s="281" t="str">
        <f t="shared" si="32"/>
        <v>Non-legal pre-operational expenses</v>
      </c>
      <c r="B100" s="147">
        <f t="shared" si="32"/>
        <v>-91234.67</v>
      </c>
      <c r="C100" s="147">
        <f t="shared" si="30"/>
        <v>0</v>
      </c>
      <c r="D100" s="147">
        <f t="shared" si="30"/>
        <v>0</v>
      </c>
      <c r="E100" s="147">
        <f t="shared" si="30"/>
        <v>0</v>
      </c>
      <c r="F100" s="147">
        <f t="shared" si="30"/>
        <v>0</v>
      </c>
      <c r="G100" s="147">
        <f>SUM(B100:F100)</f>
        <v>-91234.67</v>
      </c>
    </row>
    <row r="101" spans="1:7" s="249" customFormat="1" ht="11.25" x14ac:dyDescent="0.2">
      <c r="A101" s="281" t="str">
        <f t="shared" si="32"/>
        <v>Legal expenses</v>
      </c>
      <c r="B101" s="147">
        <f t="shared" si="32"/>
        <v>-16856.96</v>
      </c>
      <c r="C101" s="147">
        <f t="shared" si="30"/>
        <v>0</v>
      </c>
      <c r="D101" s="147">
        <f t="shared" si="30"/>
        <v>0</v>
      </c>
      <c r="E101" s="147">
        <f t="shared" si="30"/>
        <v>0</v>
      </c>
      <c r="F101" s="147">
        <f t="shared" si="30"/>
        <v>0</v>
      </c>
      <c r="G101" s="147">
        <f>SUM(B101:F101)</f>
        <v>-16856.96</v>
      </c>
    </row>
    <row r="102" spans="1:7" s="109" customFormat="1" ht="12.75" x14ac:dyDescent="0.2">
      <c r="A102" s="240" t="str">
        <f t="shared" si="32"/>
        <v>Legal Expenses</v>
      </c>
      <c r="B102" s="125">
        <v>0</v>
      </c>
      <c r="C102" s="298">
        <v>0</v>
      </c>
      <c r="D102" s="298">
        <f>+D137-C137</f>
        <v>-4785.16</v>
      </c>
      <c r="E102" s="298">
        <f>+E137-D137</f>
        <v>-10227.15</v>
      </c>
      <c r="F102" s="298">
        <f>+F137-E137</f>
        <v>-65758.2</v>
      </c>
      <c r="G102" s="291">
        <f>SUM(B102:F102)</f>
        <v>-80770.509999999995</v>
      </c>
    </row>
    <row r="103" spans="1:7" s="249" customFormat="1" ht="11.25" x14ac:dyDescent="0.2">
      <c r="A103" s="281" t="str">
        <f t="shared" ref="A103" si="33">+A138</f>
        <v>Operational - Legal Expenses</v>
      </c>
      <c r="B103" s="292">
        <v>0</v>
      </c>
      <c r="C103" s="292">
        <v>0</v>
      </c>
      <c r="D103" s="292">
        <f t="shared" ref="D103:F105" si="34">+D138-C138</f>
        <v>0</v>
      </c>
      <c r="E103" s="292">
        <f t="shared" si="34"/>
        <v>0</v>
      </c>
      <c r="F103" s="292">
        <f t="shared" si="34"/>
        <v>-1459.77</v>
      </c>
      <c r="G103" s="293">
        <f>SUM(B103:F103)</f>
        <v>-1459.77</v>
      </c>
    </row>
    <row r="104" spans="1:7" s="249" customFormat="1" ht="11.25" x14ac:dyDescent="0.2">
      <c r="A104" s="281" t="str">
        <f t="shared" ref="A104:A106" si="35">+A139</f>
        <v>Senior Loans - Legal Expenses</v>
      </c>
      <c r="B104" s="292">
        <v>0</v>
      </c>
      <c r="C104" s="292">
        <v>0</v>
      </c>
      <c r="D104" s="292">
        <f t="shared" si="34"/>
        <v>-4785.16</v>
      </c>
      <c r="E104" s="292">
        <f t="shared" si="34"/>
        <v>-10227.15</v>
      </c>
      <c r="F104" s="292">
        <f t="shared" si="34"/>
        <v>-64298.429999999993</v>
      </c>
      <c r="G104" s="293">
        <f>SUM(B104:F104)</f>
        <v>-79310.739999999991</v>
      </c>
    </row>
    <row r="105" spans="1:7" s="290" customFormat="1" ht="9" hidden="1" x14ac:dyDescent="0.15">
      <c r="A105" s="288" t="str">
        <f t="shared" si="35"/>
        <v>Davies</v>
      </c>
      <c r="B105" s="294"/>
      <c r="C105" s="294"/>
      <c r="D105" s="294">
        <f t="shared" si="34"/>
        <v>-3710.16</v>
      </c>
      <c r="E105" s="294">
        <f t="shared" si="34"/>
        <v>-9152.15</v>
      </c>
      <c r="F105" s="294">
        <f t="shared" si="34"/>
        <v>-31073.43</v>
      </c>
      <c r="G105" s="296">
        <f>SUM(B105:D105)</f>
        <v>-3710.16</v>
      </c>
    </row>
    <row r="106" spans="1:7" s="290" customFormat="1" ht="9" hidden="1" x14ac:dyDescent="0.15">
      <c r="A106" s="288" t="str">
        <f t="shared" si="35"/>
        <v>Cogency Global</v>
      </c>
      <c r="B106" s="294"/>
      <c r="C106" s="294"/>
      <c r="D106" s="294">
        <f t="shared" ref="D106:F106" si="36">+D141-C141</f>
        <v>-1075</v>
      </c>
      <c r="E106" s="294">
        <f t="shared" si="36"/>
        <v>-1075</v>
      </c>
      <c r="F106" s="294">
        <f t="shared" si="36"/>
        <v>-3225</v>
      </c>
      <c r="G106" s="296">
        <f>SUM(B106:D106)</f>
        <v>-1075</v>
      </c>
    </row>
    <row r="107" spans="1:7" s="109" customFormat="1" ht="12.75" x14ac:dyDescent="0.2">
      <c r="A107" s="240" t="str">
        <f>+A143</f>
        <v>Bank and Account Charges</v>
      </c>
      <c r="B107" s="125">
        <f>+B143</f>
        <v>-305</v>
      </c>
      <c r="C107" s="298">
        <f>+C143-B143</f>
        <v>0</v>
      </c>
      <c r="D107" s="298">
        <f>+D143-C143</f>
        <v>-175</v>
      </c>
      <c r="E107" s="298">
        <f>+E143-D143</f>
        <v>-75</v>
      </c>
      <c r="F107" s="298">
        <f>+F143-E143</f>
        <v>-600</v>
      </c>
      <c r="G107" s="125">
        <f>SUM(B107:F107)</f>
        <v>-1155</v>
      </c>
    </row>
    <row r="108" spans="1:7" s="109" customFormat="1" ht="12.75" x14ac:dyDescent="0.2">
      <c r="A108" s="240" t="str">
        <f t="shared" ref="A108:A111" si="37">+A144</f>
        <v>Credit Committe Meetings Costs</v>
      </c>
      <c r="B108" s="125">
        <v>0</v>
      </c>
      <c r="C108" s="298">
        <v>0</v>
      </c>
      <c r="D108" s="298">
        <f t="shared" ref="D108:F108" si="38">+D144-C144</f>
        <v>0</v>
      </c>
      <c r="E108" s="298">
        <f t="shared" si="38"/>
        <v>-2000</v>
      </c>
      <c r="F108" s="298">
        <f t="shared" si="38"/>
        <v>-750</v>
      </c>
      <c r="G108" s="125">
        <f>SUM(B108:F108)</f>
        <v>-2750</v>
      </c>
    </row>
    <row r="109" spans="1:7" s="109" customFormat="1" ht="12.75" x14ac:dyDescent="0.2">
      <c r="A109" s="240" t="str">
        <f t="shared" si="37"/>
        <v>Advisory Committee Meetings Costs</v>
      </c>
      <c r="B109" s="125">
        <v>0</v>
      </c>
      <c r="C109" s="298">
        <v>0</v>
      </c>
      <c r="D109" s="298">
        <f t="shared" ref="D109:F109" si="39">+D145-C145</f>
        <v>0</v>
      </c>
      <c r="E109" s="298">
        <f t="shared" si="39"/>
        <v>-3750</v>
      </c>
      <c r="F109" s="298">
        <f t="shared" si="39"/>
        <v>3750</v>
      </c>
      <c r="G109" s="125">
        <f>SUM(B109:F109)</f>
        <v>0</v>
      </c>
    </row>
    <row r="110" spans="1:7" s="109" customFormat="1" ht="12.75" x14ac:dyDescent="0.2">
      <c r="A110" s="240" t="str">
        <f t="shared" si="37"/>
        <v>External Audit and Report Expenses</v>
      </c>
      <c r="B110" s="125">
        <v>0</v>
      </c>
      <c r="C110" s="298">
        <v>0</v>
      </c>
      <c r="D110" s="298">
        <f t="shared" ref="D110" si="40">+D146-C146</f>
        <v>0</v>
      </c>
      <c r="E110" s="298">
        <f t="shared" ref="E110:F110" si="41">+E146-D146</f>
        <v>-10000</v>
      </c>
      <c r="F110" s="298">
        <f t="shared" si="41"/>
        <v>-9800</v>
      </c>
      <c r="G110" s="125">
        <f>SUM(B110:F110)</f>
        <v>-19800</v>
      </c>
    </row>
    <row r="111" spans="1:7" s="109" customFormat="1" ht="12.75" x14ac:dyDescent="0.2">
      <c r="A111" s="240" t="str">
        <f t="shared" si="37"/>
        <v>Others</v>
      </c>
      <c r="B111" s="125">
        <v>0</v>
      </c>
      <c r="C111" s="298">
        <v>0</v>
      </c>
      <c r="D111" s="298">
        <f t="shared" ref="D111" si="42">+D147-C147</f>
        <v>0</v>
      </c>
      <c r="E111" s="298">
        <f t="shared" ref="E111" si="43">+E147-D147</f>
        <v>0</v>
      </c>
      <c r="F111" s="298">
        <f t="shared" ref="F111" si="44">+F147-E147</f>
        <v>-1359.19</v>
      </c>
      <c r="G111" s="125">
        <f>SUM(B111:F111)</f>
        <v>-1359.19</v>
      </c>
    </row>
    <row r="112" spans="1:7" s="109" customFormat="1" ht="12.75" x14ac:dyDescent="0.2">
      <c r="A112" s="240" t="str">
        <f>+A148</f>
        <v>TOTAL EXPENSES</v>
      </c>
      <c r="B112" s="125">
        <f t="shared" ref="B112:D112" si="45">+B96+B99+B107+B98+B102</f>
        <v>-135382.97</v>
      </c>
      <c r="C112" s="125">
        <f t="shared" si="45"/>
        <v>-36980.870983606612</v>
      </c>
      <c r="D112" s="125">
        <f t="shared" si="45"/>
        <v>-59949.179999999993</v>
      </c>
      <c r="E112" s="125">
        <f>+E96+E99+E107+E98+E102+E108+E109+E110</f>
        <v>-104724.26000000001</v>
      </c>
      <c r="F112" s="125">
        <f>+F96+F99+F107+F98+F102+F108+F109+F110+F111+F97</f>
        <v>-239782.93901639339</v>
      </c>
      <c r="G112" s="125">
        <f>+G96+G99+G107+G98+G102+G108+G109+G110+G111+G97</f>
        <v>-576820.22</v>
      </c>
    </row>
    <row r="113" spans="1:7" x14ac:dyDescent="0.2">
      <c r="A113" s="63"/>
      <c r="B113" s="224"/>
      <c r="C113" s="224"/>
      <c r="D113" s="224"/>
      <c r="E113" s="224"/>
      <c r="F113" s="224"/>
      <c r="G113" s="224"/>
    </row>
    <row r="114" spans="1:7" ht="15" x14ac:dyDescent="0.25">
      <c r="A114" s="45" t="s">
        <v>398</v>
      </c>
      <c r="B114" s="32">
        <f t="shared" ref="B114:G114" si="46">+B93+B112</f>
        <v>-135321.38</v>
      </c>
      <c r="C114" s="32">
        <f t="shared" si="46"/>
        <v>-36789.47098360661</v>
      </c>
      <c r="D114" s="32">
        <f t="shared" si="46"/>
        <v>-55144.679999999993</v>
      </c>
      <c r="E114" s="304">
        <f t="shared" si="46"/>
        <v>-63822.460000000006</v>
      </c>
      <c r="F114" s="32">
        <f t="shared" si="46"/>
        <v>-183531.58901639338</v>
      </c>
      <c r="G114" s="32">
        <f t="shared" si="46"/>
        <v>-474609.57999999996</v>
      </c>
    </row>
    <row r="115" spans="1:7" ht="15" x14ac:dyDescent="0.25">
      <c r="A115" s="246"/>
      <c r="B115" s="124"/>
      <c r="C115" s="124"/>
      <c r="D115" s="124"/>
      <c r="E115" s="124"/>
      <c r="F115" s="124"/>
      <c r="G115" s="66"/>
    </row>
    <row r="116" spans="1:7" x14ac:dyDescent="0.2">
      <c r="A116" s="22" t="s">
        <v>142</v>
      </c>
      <c r="B116" s="311">
        <v>0</v>
      </c>
      <c r="C116" s="311">
        <v>0</v>
      </c>
      <c r="D116" s="311">
        <v>0</v>
      </c>
      <c r="E116" s="311">
        <v>0</v>
      </c>
      <c r="F116" s="311">
        <f>+F152</f>
        <v>-20132.800000000003</v>
      </c>
      <c r="G116" s="311">
        <f>SUM(B116:F116)</f>
        <v>-20132.800000000003</v>
      </c>
    </row>
    <row r="117" spans="1:7" x14ac:dyDescent="0.2">
      <c r="A117" s="120"/>
      <c r="B117" s="314"/>
      <c r="C117" s="313"/>
      <c r="D117" s="314"/>
      <c r="E117" s="313"/>
      <c r="F117" s="309"/>
      <c r="G117" s="13"/>
    </row>
    <row r="118" spans="1:7" ht="15" x14ac:dyDescent="0.25">
      <c r="A118" s="26" t="s">
        <v>399</v>
      </c>
      <c r="B118" s="312">
        <f t="shared" ref="B118:E118" si="47">+B114+B116</f>
        <v>-135321.38</v>
      </c>
      <c r="C118" s="312">
        <f t="shared" si="47"/>
        <v>-36789.47098360661</v>
      </c>
      <c r="D118" s="312">
        <f t="shared" si="47"/>
        <v>-55144.679999999993</v>
      </c>
      <c r="E118" s="312">
        <f t="shared" si="47"/>
        <v>-63822.460000000006</v>
      </c>
      <c r="F118" s="312">
        <f>+F114+F116</f>
        <v>-203664.3890163934</v>
      </c>
      <c r="G118" s="312">
        <f>+G114+G116</f>
        <v>-494742.37999999995</v>
      </c>
    </row>
    <row r="119" spans="1:7" ht="15" x14ac:dyDescent="0.25">
      <c r="A119" s="129"/>
      <c r="B119" s="33"/>
      <c r="C119" s="33"/>
      <c r="D119" s="33"/>
      <c r="E119" s="33"/>
      <c r="F119" s="33"/>
      <c r="G119" s="33"/>
    </row>
    <row r="120" spans="1:7" ht="15" x14ac:dyDescent="0.25">
      <c r="A120" s="129"/>
      <c r="B120" s="33"/>
      <c r="C120" s="302"/>
      <c r="D120" s="302"/>
      <c r="E120" s="302"/>
      <c r="F120" s="302"/>
      <c r="G120" s="253"/>
    </row>
    <row r="121" spans="1:7" ht="15" x14ac:dyDescent="0.25">
      <c r="A121" s="129"/>
      <c r="B121" s="210"/>
      <c r="C121" s="303"/>
      <c r="D121" s="303"/>
      <c r="E121" s="303"/>
      <c r="F121" s="303"/>
      <c r="G121" s="254"/>
    </row>
    <row r="122" spans="1:7" x14ac:dyDescent="0.2">
      <c r="A122" s="66" t="s">
        <v>277</v>
      </c>
      <c r="B122" s="223"/>
      <c r="C122" s="223"/>
      <c r="D122" s="223"/>
      <c r="E122" s="223"/>
      <c r="F122" s="223"/>
      <c r="G122" s="104"/>
    </row>
    <row r="123" spans="1:7" x14ac:dyDescent="0.2">
      <c r="A123" s="148"/>
      <c r="B123" s="25"/>
      <c r="C123" s="25"/>
      <c r="D123" s="25"/>
      <c r="E123" s="25"/>
      <c r="F123" s="25"/>
      <c r="G123" s="214"/>
    </row>
    <row r="124" spans="1:7" s="109" customFormat="1" x14ac:dyDescent="0.2">
      <c r="A124" s="148" t="s">
        <v>12</v>
      </c>
      <c r="B124" s="25"/>
      <c r="C124" s="25"/>
      <c r="D124" s="25"/>
      <c r="E124" s="25"/>
      <c r="F124" s="25"/>
      <c r="G124" s="214"/>
    </row>
    <row r="125" spans="1:7" s="109" customFormat="1" ht="12.75" x14ac:dyDescent="0.2">
      <c r="A125" s="240" t="s">
        <v>49</v>
      </c>
      <c r="B125" s="125">
        <v>0</v>
      </c>
      <c r="C125" s="298">
        <v>0</v>
      </c>
      <c r="D125" s="298">
        <v>4500</v>
      </c>
      <c r="E125" s="298">
        <f>4500+35000</f>
        <v>39500</v>
      </c>
      <c r="F125" s="298">
        <v>88843.63</v>
      </c>
      <c r="G125" s="259"/>
    </row>
    <row r="126" spans="1:7" s="109" customFormat="1" ht="12.75" x14ac:dyDescent="0.2">
      <c r="A126" s="240" t="s">
        <v>382</v>
      </c>
      <c r="B126" s="125">
        <v>0</v>
      </c>
      <c r="C126" s="298">
        <v>0</v>
      </c>
      <c r="D126" s="298">
        <v>112.5</v>
      </c>
      <c r="E126" s="298">
        <f>112.5+875</f>
        <v>987.5</v>
      </c>
      <c r="F126" s="298">
        <v>2410.36</v>
      </c>
      <c r="G126" s="259"/>
    </row>
    <row r="127" spans="1:7" s="109" customFormat="1" ht="12.75" x14ac:dyDescent="0.2">
      <c r="A127" s="240" t="s">
        <v>369</v>
      </c>
      <c r="B127" s="125">
        <v>61.59</v>
      </c>
      <c r="C127" s="298">
        <v>252.99</v>
      </c>
      <c r="D127" s="298">
        <f>252.99+192</f>
        <v>444.99</v>
      </c>
      <c r="E127" s="326">
        <f>252.99+192+292.1+28058.32-23323.62</f>
        <v>5471.7900000000009</v>
      </c>
      <c r="F127" s="298">
        <f>32965.1+1315.17-23323.62</f>
        <v>10956.649999999998</v>
      </c>
      <c r="G127" s="259"/>
    </row>
    <row r="128" spans="1:7" x14ac:dyDescent="0.2">
      <c r="A128" s="148" t="s">
        <v>8</v>
      </c>
      <c r="B128" s="25">
        <f>SUM(B125:B127)</f>
        <v>61.59</v>
      </c>
      <c r="C128" s="25">
        <f>SUM(C125:C127)</f>
        <v>252.99</v>
      </c>
      <c r="D128" s="25">
        <f>SUM(D125:D127)</f>
        <v>5057.49</v>
      </c>
      <c r="E128" s="25">
        <f>SUM(E125:E127)</f>
        <v>45959.29</v>
      </c>
      <c r="F128" s="25">
        <f>SUM(F125:F127)</f>
        <v>102210.64</v>
      </c>
      <c r="G128" s="104"/>
    </row>
    <row r="129" spans="1:7" x14ac:dyDescent="0.2">
      <c r="A129" s="148"/>
      <c r="B129" s="25"/>
      <c r="C129" s="25"/>
      <c r="D129" s="25"/>
      <c r="E129" s="25"/>
      <c r="F129" s="25"/>
      <c r="G129" s="245"/>
    </row>
    <row r="130" spans="1:7" s="109" customFormat="1" x14ac:dyDescent="0.2">
      <c r="A130" s="148" t="s">
        <v>13</v>
      </c>
      <c r="B130" s="25"/>
      <c r="C130" s="25"/>
      <c r="D130" s="25"/>
      <c r="E130" s="25"/>
      <c r="F130" s="25"/>
      <c r="G130" s="104"/>
    </row>
    <row r="131" spans="1:7" s="109" customFormat="1" ht="12.75" x14ac:dyDescent="0.2">
      <c r="A131" s="240" t="s">
        <v>14</v>
      </c>
      <c r="B131" s="125">
        <v>-26986.34</v>
      </c>
      <c r="C131" s="298">
        <v>-63133.880983606607</v>
      </c>
      <c r="D131" s="298">
        <f>-63133.8809836066-54292.35+4470</f>
        <v>-112956.2309836066</v>
      </c>
      <c r="E131" s="298">
        <f>-63133.8809836066-54292.35+4470-52540.98-4426.23-15300.55+1980+2000</f>
        <v>-181243.99098360661</v>
      </c>
      <c r="F131" s="298">
        <v>-299634.7</v>
      </c>
      <c r="G131" s="285"/>
    </row>
    <row r="132" spans="1:7" s="109" customFormat="1" ht="12.75" x14ac:dyDescent="0.2">
      <c r="A132" s="240" t="s">
        <v>176</v>
      </c>
      <c r="B132" s="125">
        <v>0</v>
      </c>
      <c r="C132" s="298">
        <v>0</v>
      </c>
      <c r="D132" s="298">
        <v>0</v>
      </c>
      <c r="E132" s="298">
        <v>0</v>
      </c>
      <c r="F132" s="298">
        <f>-24111.11-11200</f>
        <v>-35311.11</v>
      </c>
      <c r="G132" s="285"/>
    </row>
    <row r="133" spans="1:7" s="109" customFormat="1" ht="12.75" x14ac:dyDescent="0.2">
      <c r="A133" s="240" t="s">
        <v>400</v>
      </c>
      <c r="B133" s="125">
        <v>0</v>
      </c>
      <c r="C133" s="298">
        <v>-833.33</v>
      </c>
      <c r="D133" s="298">
        <f>-833.33-5166.67</f>
        <v>-6000</v>
      </c>
      <c r="E133" s="298">
        <f>-833.33-5166.67-5000-384.35-5000</f>
        <v>-16384.349999999999</v>
      </c>
      <c r="F133" s="298">
        <v>-27948.080000000002</v>
      </c>
      <c r="G133" s="285"/>
    </row>
    <row r="134" spans="1:7" s="109" customFormat="1" ht="12.75" x14ac:dyDescent="0.2">
      <c r="A134" s="240" t="s">
        <v>377</v>
      </c>
      <c r="B134" s="125">
        <f>+B135+B136</f>
        <v>-108091.63</v>
      </c>
      <c r="C134" s="298">
        <f>+C135+C136</f>
        <v>-108091.63</v>
      </c>
      <c r="D134" s="298">
        <f>+D135+D136</f>
        <v>-108091.63</v>
      </c>
      <c r="E134" s="298">
        <f>+E135+E136</f>
        <v>-108091.63</v>
      </c>
      <c r="F134" s="298">
        <f>+F135+F136</f>
        <v>-108091.63</v>
      </c>
      <c r="G134" s="256"/>
    </row>
    <row r="135" spans="1:7" s="249" customFormat="1" ht="11.25" x14ac:dyDescent="0.2">
      <c r="A135" s="281" t="s">
        <v>378</v>
      </c>
      <c r="B135" s="147">
        <v>-91234.67</v>
      </c>
      <c r="C135" s="147">
        <v>-91234.67</v>
      </c>
      <c r="D135" s="147">
        <v>-91234.67</v>
      </c>
      <c r="E135" s="147">
        <v>-91234.67</v>
      </c>
      <c r="F135" s="147">
        <v>-91234.67</v>
      </c>
      <c r="G135" s="282"/>
    </row>
    <row r="136" spans="1:7" s="249" customFormat="1" ht="11.25" x14ac:dyDescent="0.2">
      <c r="A136" s="281" t="s">
        <v>379</v>
      </c>
      <c r="B136" s="147">
        <v>-16856.96</v>
      </c>
      <c r="C136" s="147">
        <v>-16856.96</v>
      </c>
      <c r="D136" s="147">
        <v>-16856.96</v>
      </c>
      <c r="E136" s="147">
        <v>-16856.96</v>
      </c>
      <c r="F136" s="147">
        <v>-16856.96</v>
      </c>
      <c r="G136" s="282"/>
    </row>
    <row r="137" spans="1:7" s="109" customFormat="1" ht="12.75" x14ac:dyDescent="0.2">
      <c r="A137" s="240" t="s">
        <v>24</v>
      </c>
      <c r="B137" s="125">
        <f t="shared" ref="B137:C137" si="48">+B138+B139</f>
        <v>0</v>
      </c>
      <c r="C137" s="298">
        <f t="shared" si="48"/>
        <v>0</v>
      </c>
      <c r="D137" s="298">
        <f>+D138+D139</f>
        <v>-4785.16</v>
      </c>
      <c r="E137" s="298">
        <f>+E138+E139</f>
        <v>-15012.31</v>
      </c>
      <c r="F137" s="298">
        <f>+F138+F139</f>
        <v>-80770.509999999995</v>
      </c>
      <c r="G137" s="256"/>
    </row>
    <row r="138" spans="1:7" s="249" customFormat="1" ht="11.25" x14ac:dyDescent="0.2">
      <c r="A138" s="281" t="s">
        <v>387</v>
      </c>
      <c r="B138" s="292">
        <v>0</v>
      </c>
      <c r="C138" s="292">
        <v>0</v>
      </c>
      <c r="D138" s="292">
        <v>0</v>
      </c>
      <c r="E138" s="292">
        <v>0</v>
      </c>
      <c r="F138" s="292">
        <v>-1459.77</v>
      </c>
      <c r="G138" s="282"/>
    </row>
    <row r="139" spans="1:7" s="249" customFormat="1" ht="11.25" x14ac:dyDescent="0.2">
      <c r="A139" s="281" t="s">
        <v>386</v>
      </c>
      <c r="B139" s="292">
        <f t="shared" ref="B139:D139" si="49">+SUM(B140:B142)</f>
        <v>0</v>
      </c>
      <c r="C139" s="292">
        <f t="shared" si="49"/>
        <v>0</v>
      </c>
      <c r="D139" s="292">
        <f t="shared" si="49"/>
        <v>-4785.16</v>
      </c>
      <c r="E139" s="292">
        <f>+SUM(E140:E142)</f>
        <v>-15012.31</v>
      </c>
      <c r="F139" s="292">
        <f>+SUM(F140:F142)</f>
        <v>-79310.739999999991</v>
      </c>
      <c r="G139" s="282"/>
    </row>
    <row r="140" spans="1:7" s="290" customFormat="1" ht="9" x14ac:dyDescent="0.15">
      <c r="A140" s="288" t="s">
        <v>384</v>
      </c>
      <c r="B140" s="294">
        <v>0</v>
      </c>
      <c r="C140" s="294">
        <v>0</v>
      </c>
      <c r="D140" s="294">
        <v>-3710.16</v>
      </c>
      <c r="E140" s="294">
        <f>-3710.16-9152.15</f>
        <v>-12862.31</v>
      </c>
      <c r="F140" s="294">
        <f>-3710.16-9152.15-13517.58-3638.68-13917.17</f>
        <v>-43935.74</v>
      </c>
      <c r="G140" s="289"/>
    </row>
    <row r="141" spans="1:7" s="290" customFormat="1" ht="9" x14ac:dyDescent="0.15">
      <c r="A141" s="288" t="s">
        <v>388</v>
      </c>
      <c r="B141" s="294">
        <v>0</v>
      </c>
      <c r="C141" s="294">
        <v>0</v>
      </c>
      <c r="D141" s="294">
        <v>-1075</v>
      </c>
      <c r="E141" s="294">
        <f>-1075-1075</f>
        <v>-2150</v>
      </c>
      <c r="F141" s="294">
        <v>-5375</v>
      </c>
      <c r="G141" s="289"/>
    </row>
    <row r="142" spans="1:7" s="290" customFormat="1" ht="9" x14ac:dyDescent="0.15">
      <c r="A142" s="288" t="s">
        <v>397</v>
      </c>
      <c r="B142" s="294">
        <v>0</v>
      </c>
      <c r="C142" s="294">
        <v>0</v>
      </c>
      <c r="D142" s="294">
        <v>0</v>
      </c>
      <c r="E142" s="294">
        <v>0</v>
      </c>
      <c r="F142" s="294">
        <v>-30000</v>
      </c>
      <c r="G142" s="289"/>
    </row>
    <row r="143" spans="1:7" s="109" customFormat="1" ht="12.75" x14ac:dyDescent="0.2">
      <c r="A143" s="240" t="s">
        <v>27</v>
      </c>
      <c r="B143" s="125">
        <v>-305</v>
      </c>
      <c r="C143" s="298">
        <v>-305</v>
      </c>
      <c r="D143" s="298">
        <f>-305-35-140</f>
        <v>-480</v>
      </c>
      <c r="E143" s="298">
        <f>-305-35-140-75</f>
        <v>-555</v>
      </c>
      <c r="F143" s="298">
        <v>-1155</v>
      </c>
      <c r="G143" s="255"/>
    </row>
    <row r="144" spans="1:7" s="109" customFormat="1" ht="12.75" x14ac:dyDescent="0.2">
      <c r="A144" s="240" t="s">
        <v>158</v>
      </c>
      <c r="B144" s="125">
        <v>0</v>
      </c>
      <c r="C144" s="298">
        <v>0</v>
      </c>
      <c r="D144" s="298">
        <v>0</v>
      </c>
      <c r="E144" s="298">
        <v>-2000</v>
      </c>
      <c r="F144" s="298">
        <v>-2750</v>
      </c>
      <c r="G144" s="255"/>
    </row>
    <row r="145" spans="1:8" s="109" customFormat="1" ht="12.75" x14ac:dyDescent="0.2">
      <c r="A145" s="240" t="s">
        <v>187</v>
      </c>
      <c r="B145" s="125">
        <v>0</v>
      </c>
      <c r="C145" s="298">
        <v>0</v>
      </c>
      <c r="D145" s="298">
        <v>0</v>
      </c>
      <c r="E145" s="298">
        <v>-3750</v>
      </c>
      <c r="F145" s="298">
        <v>0</v>
      </c>
      <c r="G145" s="255"/>
    </row>
    <row r="146" spans="1:8" s="109" customFormat="1" ht="12.75" x14ac:dyDescent="0.2">
      <c r="A146" s="240" t="s">
        <v>390</v>
      </c>
      <c r="B146" s="125">
        <v>0</v>
      </c>
      <c r="C146" s="298">
        <v>0</v>
      </c>
      <c r="D146" s="298">
        <v>0</v>
      </c>
      <c r="E146" s="298">
        <v>-10000</v>
      </c>
      <c r="F146" s="298">
        <f>-9800-10000</f>
        <v>-19800</v>
      </c>
      <c r="G146" s="255"/>
    </row>
    <row r="147" spans="1:8" s="109" customFormat="1" ht="12.75" x14ac:dyDescent="0.2">
      <c r="A147" s="240" t="s">
        <v>26</v>
      </c>
      <c r="B147" s="125">
        <v>0</v>
      </c>
      <c r="C147" s="298">
        <v>0</v>
      </c>
      <c r="D147" s="298">
        <v>0</v>
      </c>
      <c r="E147" s="298">
        <v>0</v>
      </c>
      <c r="F147" s="298">
        <v>-1359.19</v>
      </c>
      <c r="G147" s="255"/>
    </row>
    <row r="148" spans="1:8" x14ac:dyDescent="0.2">
      <c r="A148" s="148" t="s">
        <v>15</v>
      </c>
      <c r="B148" s="25">
        <f t="shared" ref="B148:D148" si="50">+B131+B134+B143+B133+B137+B144+B145</f>
        <v>-135382.97</v>
      </c>
      <c r="C148" s="25">
        <f t="shared" si="50"/>
        <v>-172363.84098360661</v>
      </c>
      <c r="D148" s="25">
        <f t="shared" si="50"/>
        <v>-232313.02098360661</v>
      </c>
      <c r="E148" s="25">
        <f>+E131+E134+E143+E133+E137+E144+E145+E146</f>
        <v>-337037.28098360659</v>
      </c>
      <c r="F148" s="25">
        <f>+F131+F134+F143+F133+F137+F144+F145+F146+F132+F147</f>
        <v>-576820.22</v>
      </c>
      <c r="G148" s="104"/>
    </row>
    <row r="149" spans="1:8" x14ac:dyDescent="0.2">
      <c r="A149" s="63"/>
      <c r="B149" s="224"/>
      <c r="C149" s="224"/>
      <c r="D149" s="224"/>
      <c r="E149" s="224"/>
      <c r="F149" s="224"/>
      <c r="G149" s="104"/>
    </row>
    <row r="150" spans="1:8" ht="15" x14ac:dyDescent="0.25">
      <c r="A150" s="45" t="s">
        <v>398</v>
      </c>
      <c r="B150" s="32">
        <f>+B128+B148</f>
        <v>-135321.38</v>
      </c>
      <c r="C150" s="32">
        <f>+C128+C148</f>
        <v>-172110.85098360662</v>
      </c>
      <c r="D150" s="32">
        <f>+D128+D148</f>
        <v>-227255.53098360662</v>
      </c>
      <c r="E150" s="304">
        <f>+E128+E148</f>
        <v>-291077.99098360661</v>
      </c>
      <c r="F150" s="32">
        <f>+F128+F148</f>
        <v>-474609.57999999996</v>
      </c>
      <c r="G150" s="253"/>
    </row>
    <row r="151" spans="1:8" ht="15" x14ac:dyDescent="0.25">
      <c r="A151" s="246"/>
      <c r="B151" s="124"/>
      <c r="C151" s="124"/>
      <c r="D151" s="124"/>
      <c r="E151" s="124"/>
      <c r="F151" s="124"/>
      <c r="G151" s="253"/>
    </row>
    <row r="152" spans="1:8" ht="15" x14ac:dyDescent="0.25">
      <c r="A152" s="22" t="s">
        <v>142</v>
      </c>
      <c r="B152" s="311">
        <v>0</v>
      </c>
      <c r="C152" s="311">
        <v>0</v>
      </c>
      <c r="D152" s="311">
        <v>0</v>
      </c>
      <c r="E152" s="311">
        <v>0</v>
      </c>
      <c r="F152" s="311">
        <f>101045.9-121178.7</f>
        <v>-20132.800000000003</v>
      </c>
      <c r="G152" s="325"/>
    </row>
    <row r="153" spans="1:8" ht="15" x14ac:dyDescent="0.25">
      <c r="A153" s="120"/>
      <c r="B153" s="314"/>
      <c r="C153" s="313"/>
      <c r="D153" s="314"/>
      <c r="E153" s="313"/>
      <c r="F153" s="309"/>
      <c r="G153" s="253"/>
    </row>
    <row r="154" spans="1:8" ht="15" x14ac:dyDescent="0.25">
      <c r="A154" s="26" t="s">
        <v>399</v>
      </c>
      <c r="B154" s="312">
        <f t="shared" ref="B154:E154" si="51">+B150+B152</f>
        <v>-135321.38</v>
      </c>
      <c r="C154" s="312">
        <f t="shared" si="51"/>
        <v>-172110.85098360662</v>
      </c>
      <c r="D154" s="312">
        <f t="shared" si="51"/>
        <v>-227255.53098360662</v>
      </c>
      <c r="E154" s="312">
        <f t="shared" si="51"/>
        <v>-291077.99098360661</v>
      </c>
      <c r="F154" s="312">
        <f>+F150+F152</f>
        <v>-494742.37999999995</v>
      </c>
      <c r="G154" s="260"/>
      <c r="H154" s="165"/>
    </row>
    <row r="156" spans="1:8" x14ac:dyDescent="0.2">
      <c r="A156" s="7"/>
      <c r="B156" s="263">
        <f>+B37-B85</f>
        <v>0</v>
      </c>
      <c r="C156" s="263">
        <f>+C37-C85</f>
        <v>2.4590166285634041E-3</v>
      </c>
      <c r="D156" s="263">
        <f>+D37-D85</f>
        <v>9.8360516130924225E-4</v>
      </c>
      <c r="E156" s="263">
        <f>+E37-E85</f>
        <v>-9.0163927525281906E-3</v>
      </c>
      <c r="F156" s="263">
        <f>+F37-F85</f>
        <v>0</v>
      </c>
      <c r="G156" s="260"/>
    </row>
    <row r="159" spans="1:8" ht="15" x14ac:dyDescent="0.25">
      <c r="A159" s="7"/>
      <c r="B159" s="34"/>
      <c r="C159" s="34"/>
      <c r="D159" s="34"/>
      <c r="E159" s="34"/>
      <c r="F159" s="315"/>
    </row>
    <row r="160" spans="1:8" x14ac:dyDescent="0.2">
      <c r="A160" s="7"/>
      <c r="B160" s="260"/>
      <c r="C160" s="260"/>
      <c r="D160" s="260"/>
      <c r="E160" s="260"/>
      <c r="F160" s="67"/>
    </row>
    <row r="162" spans="1:6" x14ac:dyDescent="0.2">
      <c r="A162" s="7"/>
      <c r="B162" s="263"/>
      <c r="C162" s="263"/>
      <c r="D162" s="263"/>
      <c r="E162" s="263"/>
      <c r="F162" s="263"/>
    </row>
  </sheetData>
  <phoneticPr fontId="27"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51A1-BA20-4525-8460-0E38FBABFC84}">
  <dimension ref="A1:L168"/>
  <sheetViews>
    <sheetView showGridLines="0" tabSelected="1" workbookViewId="0">
      <selection activeCell="C108" sqref="C108"/>
    </sheetView>
  </sheetViews>
  <sheetFormatPr baseColWidth="10" defaultColWidth="11.42578125" defaultRowHeight="14.25" x14ac:dyDescent="0.2"/>
  <cols>
    <col min="1" max="1" width="39.85546875" style="2" customWidth="1"/>
    <col min="2" max="3" width="18" style="2" customWidth="1"/>
    <col min="4" max="4" width="16.28515625" style="139" customWidth="1"/>
    <col min="5" max="5" width="17.42578125" style="7" bestFit="1" customWidth="1"/>
    <col min="6" max="6" width="17.5703125" style="7" bestFit="1" customWidth="1"/>
    <col min="7" max="7" width="14.28515625" style="7" customWidth="1"/>
    <col min="8" max="8" width="16" style="7" bestFit="1" customWidth="1"/>
    <col min="9" max="16384" width="11.42578125" style="7"/>
  </cols>
  <sheetData>
    <row r="1" spans="1:6" ht="15.75" x14ac:dyDescent="0.25">
      <c r="A1" s="69" t="s">
        <v>403</v>
      </c>
    </row>
    <row r="3" spans="1:6" ht="30" x14ac:dyDescent="0.25">
      <c r="A3" s="242" t="s">
        <v>404</v>
      </c>
      <c r="B3" s="6" t="s">
        <v>132</v>
      </c>
      <c r="C3" s="6" t="s">
        <v>144</v>
      </c>
      <c r="D3" s="251" t="s">
        <v>31</v>
      </c>
    </row>
    <row r="4" spans="1:6" x14ac:dyDescent="0.2">
      <c r="A4" s="7"/>
      <c r="D4" s="104"/>
    </row>
    <row r="5" spans="1:6" x14ac:dyDescent="0.2">
      <c r="A5" s="66" t="s">
        <v>2</v>
      </c>
      <c r="B5" s="20"/>
      <c r="C5" s="20"/>
      <c r="D5" s="57"/>
    </row>
    <row r="6" spans="1:6" x14ac:dyDescent="0.2">
      <c r="A6" s="148"/>
      <c r="B6" s="21"/>
      <c r="C6" s="21"/>
      <c r="D6" s="48"/>
    </row>
    <row r="7" spans="1:6" x14ac:dyDescent="0.2">
      <c r="A7" s="148" t="s">
        <v>9</v>
      </c>
      <c r="B7" s="70">
        <f>+B8+B10+B9</f>
        <v>5772836.9100000001</v>
      </c>
      <c r="C7" s="70">
        <f>+C8+C10+C9</f>
        <v>8823443.9699999988</v>
      </c>
      <c r="D7" s="48">
        <f>B7/$B$51</f>
        <v>0.23880149991666241</v>
      </c>
    </row>
    <row r="8" spans="1:6" s="60" customFormat="1" ht="12.75" x14ac:dyDescent="0.2">
      <c r="A8" s="240" t="s">
        <v>25</v>
      </c>
      <c r="B8" s="286">
        <v>5763609.1600000001</v>
      </c>
      <c r="C8" s="286">
        <v>8014216.2199999997</v>
      </c>
      <c r="D8" s="287">
        <f>+B8/$B$51</f>
        <v>0.23841978108843104</v>
      </c>
      <c r="E8" s="324"/>
    </row>
    <row r="9" spans="1:6" s="60" customFormat="1" ht="12.75" hidden="1" x14ac:dyDescent="0.2">
      <c r="A9" s="240" t="s">
        <v>401</v>
      </c>
      <c r="B9" s="286">
        <v>0</v>
      </c>
      <c r="C9" s="286">
        <v>0</v>
      </c>
      <c r="D9" s="287">
        <f>+B9/$B$51</f>
        <v>0</v>
      </c>
      <c r="E9" s="279"/>
    </row>
    <row r="10" spans="1:6" s="60" customFormat="1" x14ac:dyDescent="0.2">
      <c r="A10" s="240" t="s">
        <v>385</v>
      </c>
      <c r="B10" s="286">
        <v>9227.75</v>
      </c>
      <c r="C10" s="286">
        <v>809227.75</v>
      </c>
      <c r="D10" s="287">
        <f>+B10/$B$51</f>
        <v>3.8171882823136632E-4</v>
      </c>
      <c r="E10" s="322"/>
      <c r="F10" s="245"/>
    </row>
    <row r="11" spans="1:6" x14ac:dyDescent="0.2">
      <c r="A11" s="148" t="s">
        <v>383</v>
      </c>
      <c r="B11" s="70">
        <f>+B17+B12</f>
        <v>18164580.170000002</v>
      </c>
      <c r="C11" s="70">
        <f>+C17+C12</f>
        <v>18983682.469999999</v>
      </c>
      <c r="D11" s="48">
        <f>+B11/B51</f>
        <v>0.75140334944131704</v>
      </c>
      <c r="E11" s="245"/>
      <c r="F11" s="109"/>
    </row>
    <row r="12" spans="1:6" x14ac:dyDescent="0.2">
      <c r="A12" s="75" t="s">
        <v>407</v>
      </c>
      <c r="B12" s="70">
        <f>+B13</f>
        <v>4983063.8900000006</v>
      </c>
      <c r="C12" s="70">
        <f>+C13</f>
        <v>5017052.7799999993</v>
      </c>
      <c r="D12" s="48">
        <f>+B12/B51</f>
        <v>0.20613143064049572</v>
      </c>
      <c r="E12" s="245"/>
      <c r="F12" s="109"/>
    </row>
    <row r="13" spans="1:6" s="109" customFormat="1" ht="12.75" x14ac:dyDescent="0.2">
      <c r="A13" s="240" t="s">
        <v>405</v>
      </c>
      <c r="B13" s="286">
        <f>SUM(B14:B16)</f>
        <v>4983063.8900000006</v>
      </c>
      <c r="C13" s="286">
        <f>SUM(C14:C16)</f>
        <v>5017052.7799999993</v>
      </c>
      <c r="D13" s="287">
        <f>+B13/$B$51</f>
        <v>0.20613143064049572</v>
      </c>
    </row>
    <row r="14" spans="1:6" s="109" customFormat="1" ht="12.75" x14ac:dyDescent="0.2">
      <c r="A14" s="240" t="s">
        <v>32</v>
      </c>
      <c r="B14" s="286">
        <v>5000000</v>
      </c>
      <c r="C14" s="286">
        <v>5000000</v>
      </c>
      <c r="D14" s="287">
        <f>+B14/$B$51</f>
        <v>0.20683201659741882</v>
      </c>
    </row>
    <row r="15" spans="1:6" s="109" customFormat="1" ht="12.75" x14ac:dyDescent="0.2">
      <c r="A15" s="240" t="s">
        <v>22</v>
      </c>
      <c r="B15" s="286">
        <v>22536.11</v>
      </c>
      <c r="C15" s="286">
        <v>55747.22</v>
      </c>
      <c r="D15" s="287">
        <f>+B15/$B$51</f>
        <v>9.322378155122513E-4</v>
      </c>
    </row>
    <row r="16" spans="1:6" s="109" customFormat="1" ht="12.75" x14ac:dyDescent="0.2">
      <c r="A16" s="240" t="s">
        <v>381</v>
      </c>
      <c r="B16" s="286">
        <v>-39472.22</v>
      </c>
      <c r="C16" s="286">
        <v>-38694.44</v>
      </c>
      <c r="D16" s="287">
        <f>+B16/$B$51</f>
        <v>-1.6328237724353935E-3</v>
      </c>
    </row>
    <row r="17" spans="1:8" s="109" customFormat="1" ht="12.75" x14ac:dyDescent="0.2">
      <c r="A17" s="240" t="s">
        <v>380</v>
      </c>
      <c r="B17" s="286">
        <f>+B18+B22+B26+B30+B34+B38+B42</f>
        <v>13181516.280000003</v>
      </c>
      <c r="C17" s="286">
        <f>+C18+C22+C26+C30+C34+C38+C42+C46</f>
        <v>13966629.690000001</v>
      </c>
      <c r="D17" s="287">
        <f>+B17/B51</f>
        <v>0.54527191880082138</v>
      </c>
      <c r="E17" s="322"/>
      <c r="F17" s="322"/>
      <c r="H17" s="322"/>
    </row>
    <row r="18" spans="1:8" s="109" customFormat="1" ht="12.75" x14ac:dyDescent="0.2">
      <c r="A18" s="240" t="s">
        <v>408</v>
      </c>
      <c r="B18" s="286">
        <f>SUM(B19:B21)</f>
        <v>2977854.16</v>
      </c>
      <c r="C18" s="286">
        <f>SUM(C19:C21)</f>
        <v>3001770.83</v>
      </c>
      <c r="D18" s="287">
        <f>+B18/B51</f>
        <v>0.12318311620916254</v>
      </c>
      <c r="E18" s="322"/>
      <c r="F18" s="322"/>
      <c r="H18" s="322"/>
    </row>
    <row r="19" spans="1:8" s="109" customFormat="1" ht="12.75" x14ac:dyDescent="0.2">
      <c r="A19" s="240" t="s">
        <v>32</v>
      </c>
      <c r="B19" s="286">
        <v>3000000</v>
      </c>
      <c r="C19" s="286">
        <v>3000000</v>
      </c>
      <c r="D19" s="287">
        <f>+B19/B51</f>
        <v>0.12409920995845129</v>
      </c>
      <c r="E19" s="322"/>
      <c r="F19" s="137"/>
      <c r="H19" s="322"/>
    </row>
    <row r="20" spans="1:8" s="109" customFormat="1" ht="12.75" x14ac:dyDescent="0.2">
      <c r="A20" s="240" t="s">
        <v>22</v>
      </c>
      <c r="B20" s="286">
        <v>5833.33</v>
      </c>
      <c r="C20" s="286">
        <v>29166.66</v>
      </c>
      <c r="D20" s="287">
        <f>+B20/B51</f>
        <v>2.4130388147564422E-4</v>
      </c>
      <c r="F20" s="130"/>
      <c r="G20" s="322"/>
      <c r="H20" s="322"/>
    </row>
    <row r="21" spans="1:8" s="109" customFormat="1" ht="12.75" x14ac:dyDescent="0.2">
      <c r="A21" s="240" t="s">
        <v>381</v>
      </c>
      <c r="B21" s="286">
        <v>-27979.17</v>
      </c>
      <c r="C21" s="286">
        <v>-27395.83</v>
      </c>
      <c r="D21" s="287">
        <f>+B21/B51</f>
        <v>-1.1573976307644005E-3</v>
      </c>
      <c r="F21" s="137"/>
      <c r="G21" s="322"/>
    </row>
    <row r="22" spans="1:8" s="109" customFormat="1" ht="12.75" x14ac:dyDescent="0.2">
      <c r="A22" s="240" t="s">
        <v>409</v>
      </c>
      <c r="B22" s="286">
        <f>SUM(B23:B25)</f>
        <v>1190441.6499999999</v>
      </c>
      <c r="C22" s="286">
        <f>SUM(C23:C25)</f>
        <v>1200008.32</v>
      </c>
      <c r="D22" s="316">
        <f t="shared" ref="D22:D50" si="0">+B22/$B$51</f>
        <v>4.9244289422211728E-2</v>
      </c>
      <c r="G22" s="322"/>
    </row>
    <row r="23" spans="1:8" s="109" customFormat="1" ht="12.75" x14ac:dyDescent="0.2">
      <c r="A23" s="240" t="s">
        <v>32</v>
      </c>
      <c r="B23" s="286">
        <v>1200000</v>
      </c>
      <c r="C23" s="286">
        <v>1200000</v>
      </c>
      <c r="D23" s="287">
        <f t="shared" si="0"/>
        <v>4.963968398338052E-2</v>
      </c>
      <c r="F23" s="322"/>
      <c r="G23" s="322"/>
    </row>
    <row r="24" spans="1:8" s="109" customFormat="1" ht="12.75" x14ac:dyDescent="0.2">
      <c r="A24" s="240" t="s">
        <v>22</v>
      </c>
      <c r="B24" s="286">
        <v>1666.66</v>
      </c>
      <c r="C24" s="286">
        <v>10999.99</v>
      </c>
      <c r="D24" s="316">
        <f t="shared" si="0"/>
        <v>6.8943729756450818E-5</v>
      </c>
      <c r="G24" s="322"/>
    </row>
    <row r="25" spans="1:8" s="109" customFormat="1" ht="12.75" x14ac:dyDescent="0.2">
      <c r="A25" s="240" t="s">
        <v>381</v>
      </c>
      <c r="B25" s="286">
        <v>-11225.01</v>
      </c>
      <c r="C25" s="286">
        <v>-10991.67</v>
      </c>
      <c r="D25" s="316">
        <f t="shared" si="0"/>
        <v>-4.6433829092523845E-4</v>
      </c>
      <c r="E25" s="322"/>
      <c r="G25" s="322"/>
    </row>
    <row r="26" spans="1:8" s="109" customFormat="1" ht="12.75" x14ac:dyDescent="0.2">
      <c r="A26" s="240" t="s">
        <v>391</v>
      </c>
      <c r="B26" s="286">
        <f>SUM(B27:B29)</f>
        <v>754227.88</v>
      </c>
      <c r="C26" s="286">
        <f>SUM(C27:C29)</f>
        <v>759631.34</v>
      </c>
      <c r="D26" s="316">
        <f t="shared" si="0"/>
        <v>3.1199694678879203E-2</v>
      </c>
      <c r="E26" s="322"/>
      <c r="G26" s="322"/>
    </row>
    <row r="27" spans="1:8" s="109" customFormat="1" ht="12.75" x14ac:dyDescent="0.2">
      <c r="A27" s="240" t="s">
        <v>32</v>
      </c>
      <c r="B27" s="286">
        <v>750000</v>
      </c>
      <c r="C27" s="286">
        <v>750000</v>
      </c>
      <c r="D27" s="287">
        <f t="shared" si="0"/>
        <v>3.1024802489612823E-2</v>
      </c>
      <c r="E27" s="322"/>
      <c r="G27" s="322"/>
    </row>
    <row r="28" spans="1:8" s="109" customFormat="1" ht="12.75" x14ac:dyDescent="0.2">
      <c r="A28" s="240" t="s">
        <v>22</v>
      </c>
      <c r="B28" s="286">
        <v>9937.5</v>
      </c>
      <c r="C28" s="286">
        <v>15187.5</v>
      </c>
      <c r="D28" s="316">
        <f t="shared" si="0"/>
        <v>4.1107863298736993E-4</v>
      </c>
      <c r="E28" s="322"/>
      <c r="G28" s="322"/>
    </row>
    <row r="29" spans="1:8" s="109" customFormat="1" ht="12.75" x14ac:dyDescent="0.2">
      <c r="A29" s="240" t="s">
        <v>381</v>
      </c>
      <c r="B29" s="286">
        <v>-5709.62</v>
      </c>
      <c r="C29" s="286">
        <v>-5556.16</v>
      </c>
      <c r="D29" s="316">
        <f t="shared" si="0"/>
        <v>-2.3618644372099088E-4</v>
      </c>
    </row>
    <row r="30" spans="1:8" s="109" customFormat="1" ht="12.75" x14ac:dyDescent="0.2">
      <c r="A30" s="240" t="s">
        <v>392</v>
      </c>
      <c r="B30" s="286">
        <f>SUM(B31:B33)</f>
        <v>4801158.1999999993</v>
      </c>
      <c r="C30" s="286">
        <f>SUM(C31:C33)</f>
        <v>4740583.6199999992</v>
      </c>
      <c r="D30" s="316">
        <f t="shared" si="0"/>
        <v>0.19860664650184667</v>
      </c>
    </row>
    <row r="31" spans="1:8" s="109" customFormat="1" ht="12.75" x14ac:dyDescent="0.2">
      <c r="A31" s="240" t="s">
        <v>32</v>
      </c>
      <c r="B31" s="286">
        <v>4813890.3099999996</v>
      </c>
      <c r="C31" s="286">
        <v>4727650.72</v>
      </c>
      <c r="D31" s="287">
        <f t="shared" si="0"/>
        <v>0.19913332809921472</v>
      </c>
    </row>
    <row r="32" spans="1:8" s="109" customFormat="1" ht="12.75" x14ac:dyDescent="0.2">
      <c r="A32" s="240" t="s">
        <v>22</v>
      </c>
      <c r="B32" s="286">
        <v>35462.33</v>
      </c>
      <c r="C32" s="286">
        <v>59831.05</v>
      </c>
      <c r="D32" s="316">
        <f t="shared" si="0"/>
        <v>1.4669490454286287E-3</v>
      </c>
      <c r="F32" s="322"/>
    </row>
    <row r="33" spans="1:4" s="109" customFormat="1" ht="12.75" x14ac:dyDescent="0.2">
      <c r="A33" s="240" t="s">
        <v>381</v>
      </c>
      <c r="B33" s="286">
        <v>-48194.44</v>
      </c>
      <c r="C33" s="286">
        <v>-46898.15</v>
      </c>
      <c r="D33" s="316">
        <f t="shared" si="0"/>
        <v>-1.9936306427966611E-3</v>
      </c>
    </row>
    <row r="34" spans="1:4" s="109" customFormat="1" ht="12.75" x14ac:dyDescent="0.2">
      <c r="A34" s="240" t="s">
        <v>393</v>
      </c>
      <c r="B34" s="286">
        <f>SUM(B35:B37)</f>
        <v>1959959.6300000001</v>
      </c>
      <c r="C34" s="286">
        <f>SUM(C35:C37)</f>
        <v>1924952.14</v>
      </c>
      <c r="D34" s="316">
        <f t="shared" si="0"/>
        <v>8.1076480544486171E-2</v>
      </c>
    </row>
    <row r="35" spans="1:4" s="109" customFormat="1" ht="12.75" x14ac:dyDescent="0.2">
      <c r="A35" s="240" t="s">
        <v>32</v>
      </c>
      <c r="B35" s="286">
        <v>1955361.94</v>
      </c>
      <c r="C35" s="286">
        <v>1900730.38</v>
      </c>
      <c r="D35" s="287">
        <f t="shared" si="0"/>
        <v>8.0886290645608205E-2</v>
      </c>
    </row>
    <row r="36" spans="1:4" s="109" customFormat="1" ht="12.75" x14ac:dyDescent="0.2">
      <c r="A36" s="240" t="s">
        <v>22</v>
      </c>
      <c r="B36" s="286">
        <v>24139.35</v>
      </c>
      <c r="C36" s="286">
        <v>43374.54</v>
      </c>
      <c r="D36" s="316">
        <f t="shared" si="0"/>
        <v>9.9855808797018027E-4</v>
      </c>
    </row>
    <row r="37" spans="1:4" s="109" customFormat="1" ht="12.75" x14ac:dyDescent="0.2">
      <c r="A37" s="240" t="s">
        <v>381</v>
      </c>
      <c r="B37" s="286">
        <v>-19541.66</v>
      </c>
      <c r="C37" s="286">
        <v>-19152.78</v>
      </c>
      <c r="D37" s="316">
        <f t="shared" si="0"/>
        <v>-8.0836818909222306E-4</v>
      </c>
    </row>
    <row r="38" spans="1:4" s="109" customFormat="1" ht="12.75" x14ac:dyDescent="0.2">
      <c r="A38" s="240" t="s">
        <v>394</v>
      </c>
      <c r="B38" s="286">
        <f>SUM(B39:B41)</f>
        <v>500703.63</v>
      </c>
      <c r="C38" s="286">
        <f>SUM(C39:C41)</f>
        <v>505077.39999999997</v>
      </c>
      <c r="D38" s="287">
        <f t="shared" si="0"/>
        <v>2.0712308302109572E-2</v>
      </c>
    </row>
    <row r="39" spans="1:4" s="109" customFormat="1" ht="12.75" x14ac:dyDescent="0.2">
      <c r="A39" s="240" t="s">
        <v>32</v>
      </c>
      <c r="B39" s="286">
        <v>500321.74</v>
      </c>
      <c r="C39" s="286">
        <v>500506.67</v>
      </c>
      <c r="D39" s="287">
        <f t="shared" si="0"/>
        <v>2.0696510886345894E-2</v>
      </c>
    </row>
    <row r="40" spans="1:4" s="109" customFormat="1" ht="12.75" x14ac:dyDescent="0.2">
      <c r="A40" s="240" t="s">
        <v>22</v>
      </c>
      <c r="B40" s="286">
        <v>5238.37</v>
      </c>
      <c r="C40" s="286">
        <v>9316.1</v>
      </c>
      <c r="D40" s="287">
        <f t="shared" si="0"/>
        <v>2.1669252615668416E-4</v>
      </c>
    </row>
    <row r="41" spans="1:4" s="109" customFormat="1" ht="12.75" x14ac:dyDescent="0.2">
      <c r="A41" s="240" t="s">
        <v>381</v>
      </c>
      <c r="B41" s="286">
        <v>-4856.4799999999996</v>
      </c>
      <c r="C41" s="286">
        <v>-4745.37</v>
      </c>
      <c r="D41" s="287">
        <f t="shared" si="0"/>
        <v>-2.0089511039300648E-4</v>
      </c>
    </row>
    <row r="42" spans="1:4" s="109" customFormat="1" ht="12.75" x14ac:dyDescent="0.2">
      <c r="A42" s="240" t="s">
        <v>406</v>
      </c>
      <c r="B42" s="286">
        <f>SUM(B43:B45)</f>
        <v>997171.13</v>
      </c>
      <c r="C42" s="286">
        <f>SUM(C43:C45)</f>
        <v>1001021.65</v>
      </c>
      <c r="D42" s="287">
        <f t="shared" si="0"/>
        <v>4.1249383142125375E-2</v>
      </c>
    </row>
    <row r="43" spans="1:4" s="109" customFormat="1" ht="12.75" x14ac:dyDescent="0.2">
      <c r="A43" s="240" t="s">
        <v>32</v>
      </c>
      <c r="B43" s="286">
        <v>994499.45</v>
      </c>
      <c r="C43" s="286">
        <v>991499.86</v>
      </c>
      <c r="D43" s="287">
        <f t="shared" si="0"/>
        <v>4.1138865349704776E-2</v>
      </c>
    </row>
    <row r="44" spans="1:4" s="109" customFormat="1" ht="12.75" x14ac:dyDescent="0.2">
      <c r="A44" s="240" t="s">
        <v>22</v>
      </c>
      <c r="B44" s="286">
        <v>4618.8999999999996</v>
      </c>
      <c r="C44" s="286">
        <v>11391.23</v>
      </c>
      <c r="D44" s="287">
        <f t="shared" si="0"/>
        <v>1.9106728029236354E-4</v>
      </c>
    </row>
    <row r="45" spans="1:4" s="109" customFormat="1" ht="12.75" x14ac:dyDescent="0.2">
      <c r="A45" s="240" t="s">
        <v>381</v>
      </c>
      <c r="B45" s="286">
        <v>-1947.22</v>
      </c>
      <c r="C45" s="286">
        <v>-1869.44</v>
      </c>
      <c r="D45" s="287">
        <f t="shared" si="0"/>
        <v>-8.0549487871765181E-5</v>
      </c>
    </row>
    <row r="46" spans="1:4" s="109" customFormat="1" ht="12.75" x14ac:dyDescent="0.2">
      <c r="A46" s="240" t="s">
        <v>414</v>
      </c>
      <c r="B46" s="286">
        <f>SUM(B47:B49)</f>
        <v>0</v>
      </c>
      <c r="C46" s="286">
        <f>SUM(C47:C49)</f>
        <v>833584.39</v>
      </c>
      <c r="D46" s="287">
        <f t="shared" si="0"/>
        <v>0</v>
      </c>
    </row>
    <row r="47" spans="1:4" s="109" customFormat="1" ht="12.75" x14ac:dyDescent="0.2">
      <c r="A47" s="240" t="s">
        <v>32</v>
      </c>
      <c r="B47" s="286">
        <v>0</v>
      </c>
      <c r="C47" s="286">
        <v>840000</v>
      </c>
      <c r="D47" s="287">
        <f t="shared" si="0"/>
        <v>0</v>
      </c>
    </row>
    <row r="48" spans="1:4" s="109" customFormat="1" ht="12.75" x14ac:dyDescent="0.2">
      <c r="A48" s="240" t="s">
        <v>22</v>
      </c>
      <c r="B48" s="286">
        <v>0</v>
      </c>
      <c r="C48" s="286">
        <v>1932</v>
      </c>
      <c r="D48" s="287">
        <f t="shared" si="0"/>
        <v>0</v>
      </c>
    </row>
    <row r="49" spans="1:6" s="109" customFormat="1" ht="12.75" x14ac:dyDescent="0.2">
      <c r="A49" s="240" t="s">
        <v>381</v>
      </c>
      <c r="B49" s="286">
        <v>0</v>
      </c>
      <c r="C49" s="286">
        <v>-8347.61</v>
      </c>
      <c r="D49" s="287">
        <f t="shared" si="0"/>
        <v>0</v>
      </c>
    </row>
    <row r="50" spans="1:6" s="61" customFormat="1" x14ac:dyDescent="0.2">
      <c r="A50" s="148" t="s">
        <v>19</v>
      </c>
      <c r="B50" s="25">
        <v>236790</v>
      </c>
      <c r="C50" s="25">
        <v>111984.51999999999</v>
      </c>
      <c r="D50" s="48">
        <f t="shared" si="0"/>
        <v>9.7951506420205607E-3</v>
      </c>
      <c r="E50" s="109"/>
      <c r="F50" s="283"/>
    </row>
    <row r="51" spans="1:6" ht="15" x14ac:dyDescent="0.25">
      <c r="A51" s="45" t="s">
        <v>3</v>
      </c>
      <c r="B51" s="300">
        <f>+B50+B7+B11</f>
        <v>24174207.080000002</v>
      </c>
      <c r="C51" s="300">
        <f>+C50+C7+C11</f>
        <v>27919110.959999997</v>
      </c>
      <c r="D51" s="47">
        <f>+B51/B51</f>
        <v>1</v>
      </c>
      <c r="E51" s="245"/>
    </row>
    <row r="52" spans="1:6" x14ac:dyDescent="0.2">
      <c r="A52" s="7"/>
      <c r="B52" s="218"/>
      <c r="C52" s="218"/>
      <c r="D52" s="265"/>
      <c r="E52" s="245"/>
    </row>
    <row r="53" spans="1:6" x14ac:dyDescent="0.2">
      <c r="A53" s="246" t="s">
        <v>4</v>
      </c>
      <c r="B53" s="25"/>
      <c r="C53" s="25"/>
      <c r="D53" s="48"/>
    </row>
    <row r="54" spans="1:6" x14ac:dyDescent="0.2">
      <c r="A54" s="247"/>
      <c r="B54" s="25"/>
      <c r="C54" s="25"/>
      <c r="D54" s="48"/>
      <c r="E54" s="165"/>
    </row>
    <row r="55" spans="1:6" x14ac:dyDescent="0.2">
      <c r="A55" s="248" t="s">
        <v>23</v>
      </c>
      <c r="B55" s="25"/>
      <c r="C55" s="25"/>
      <c r="D55" s="48"/>
    </row>
    <row r="56" spans="1:6" s="109" customFormat="1" x14ac:dyDescent="0.2">
      <c r="A56" s="247" t="s">
        <v>20</v>
      </c>
      <c r="B56" s="25">
        <f>+SUM(B57:B65)</f>
        <v>44126.15</v>
      </c>
      <c r="C56" s="25">
        <f>+SUM(C57:C65)</f>
        <v>56783.92</v>
      </c>
      <c r="D56" s="48">
        <f>+B56/B99</f>
        <v>1.8253401175843461E-3</v>
      </c>
    </row>
    <row r="57" spans="1:6" s="109" customFormat="1" ht="12.75" x14ac:dyDescent="0.2">
      <c r="A57" s="24" t="s">
        <v>225</v>
      </c>
      <c r="B57" s="298">
        <f>14900+2686.67</f>
        <v>17586.669999999998</v>
      </c>
      <c r="C57" s="298">
        <v>20273.34</v>
      </c>
      <c r="D57" s="211">
        <f t="shared" ref="D57:D65" si="1">B57/$B$99</f>
        <v>7.2749728416635225E-4</v>
      </c>
      <c r="F57" s="322"/>
    </row>
    <row r="58" spans="1:6" s="109" customFormat="1" ht="12.75" x14ac:dyDescent="0.2">
      <c r="A58" s="240" t="s">
        <v>124</v>
      </c>
      <c r="B58" s="298">
        <v>0</v>
      </c>
      <c r="C58" s="298">
        <v>750</v>
      </c>
      <c r="D58" s="211">
        <f t="shared" si="1"/>
        <v>0</v>
      </c>
    </row>
    <row r="59" spans="1:6" s="109" customFormat="1" ht="12.75" hidden="1" x14ac:dyDescent="0.2">
      <c r="A59" s="240" t="s">
        <v>184</v>
      </c>
      <c r="B59" s="298">
        <v>0</v>
      </c>
      <c r="C59" s="298">
        <v>0</v>
      </c>
      <c r="D59" s="211">
        <f t="shared" si="1"/>
        <v>0</v>
      </c>
    </row>
    <row r="60" spans="1:6" s="109" customFormat="1" ht="12.75" x14ac:dyDescent="0.2">
      <c r="A60" s="240" t="s">
        <v>402</v>
      </c>
      <c r="B60" s="298">
        <f>20555.56+430.56+430.56+8611.11-6708.33-0.29</f>
        <v>23319.170000000006</v>
      </c>
      <c r="C60" s="298">
        <v>27305.58</v>
      </c>
      <c r="D60" s="211">
        <f t="shared" si="1"/>
        <v>9.6463019116259548E-4</v>
      </c>
    </row>
    <row r="61" spans="1:6" s="109" customFormat="1" ht="12.75" x14ac:dyDescent="0.2">
      <c r="A61" s="24" t="s">
        <v>185</v>
      </c>
      <c r="B61" s="298">
        <v>1553.64</v>
      </c>
      <c r="C61" s="298">
        <f>5297.66-176</f>
        <v>5121.66</v>
      </c>
      <c r="D61" s="211">
        <f t="shared" si="1"/>
        <v>6.4268498844420905E-5</v>
      </c>
    </row>
    <row r="62" spans="1:6" s="109" customFormat="1" ht="12.75" hidden="1" x14ac:dyDescent="0.2">
      <c r="A62" s="24" t="s">
        <v>226</v>
      </c>
      <c r="B62" s="298"/>
      <c r="C62" s="298"/>
      <c r="D62" s="211">
        <f t="shared" si="1"/>
        <v>0</v>
      </c>
      <c r="E62" s="137"/>
      <c r="F62" s="276"/>
    </row>
    <row r="63" spans="1:6" s="109" customFormat="1" ht="12.75" x14ac:dyDescent="0.2">
      <c r="A63" s="24" t="s">
        <v>412</v>
      </c>
      <c r="B63" s="298">
        <v>1666.67</v>
      </c>
      <c r="C63" s="298">
        <v>3333.34</v>
      </c>
      <c r="D63" s="211">
        <f t="shared" si="1"/>
        <v>6.8944143410977439E-5</v>
      </c>
    </row>
    <row r="64" spans="1:6" s="109" customFormat="1" ht="12.75" hidden="1" x14ac:dyDescent="0.2">
      <c r="A64" s="24" t="s">
        <v>291</v>
      </c>
      <c r="B64" s="298">
        <v>0</v>
      </c>
      <c r="C64" s="298">
        <v>0</v>
      </c>
      <c r="D64" s="211">
        <f t="shared" si="1"/>
        <v>0</v>
      </c>
      <c r="E64" s="130"/>
    </row>
    <row r="65" spans="1:12" s="109" customFormat="1" ht="12.75" hidden="1" x14ac:dyDescent="0.2">
      <c r="A65" s="24" t="s">
        <v>219</v>
      </c>
      <c r="B65" s="298">
        <v>0</v>
      </c>
      <c r="C65" s="298">
        <v>0</v>
      </c>
      <c r="D65" s="211">
        <f t="shared" si="1"/>
        <v>0</v>
      </c>
      <c r="G65" s="266"/>
    </row>
    <row r="66" spans="1:12" s="109" customFormat="1" ht="12.75" x14ac:dyDescent="0.2">
      <c r="B66" s="298"/>
      <c r="C66" s="298"/>
      <c r="D66" s="211"/>
      <c r="G66" s="266"/>
    </row>
    <row r="67" spans="1:12" s="109" customFormat="1" x14ac:dyDescent="0.2">
      <c r="A67" s="329" t="s">
        <v>395</v>
      </c>
      <c r="B67" s="298"/>
      <c r="C67" s="298"/>
      <c r="D67" s="211"/>
      <c r="F67" s="322"/>
      <c r="G67" s="266"/>
    </row>
    <row r="68" spans="1:12" s="109" customFormat="1" ht="12.75" x14ac:dyDescent="0.2">
      <c r="B68" s="298"/>
      <c r="C68" s="298"/>
      <c r="D68" s="211"/>
      <c r="G68" s="266"/>
    </row>
    <row r="69" spans="1:12" s="334" customFormat="1" x14ac:dyDescent="0.2">
      <c r="A69" s="330" t="s">
        <v>175</v>
      </c>
      <c r="B69" s="125">
        <f>+B70+B76+B73</f>
        <v>13094888.890000001</v>
      </c>
      <c r="C69" s="125">
        <f>+C70+C76+C73</f>
        <v>13090066.84</v>
      </c>
      <c r="D69" s="331">
        <f>+B69/B99</f>
        <v>0.54168845517287478</v>
      </c>
      <c r="E69" s="332"/>
      <c r="F69" s="333"/>
      <c r="G69" s="333"/>
      <c r="H69" s="333"/>
      <c r="I69" s="323"/>
      <c r="J69" s="109"/>
      <c r="K69" s="109"/>
      <c r="L69" s="266"/>
    </row>
    <row r="70" spans="1:12" s="334" customFormat="1" ht="12.75" x14ac:dyDescent="0.2">
      <c r="A70" s="334" t="s">
        <v>173</v>
      </c>
      <c r="B70" s="125">
        <f>+B71+B72</f>
        <v>5036555.5544444444</v>
      </c>
      <c r="C70" s="125">
        <f>+C71+C72</f>
        <v>5058333.4400000004</v>
      </c>
      <c r="D70" s="331">
        <f t="shared" ref="D70:D78" si="2">+B70/$B$99</f>
        <v>0.2083441883774069</v>
      </c>
      <c r="E70" s="332"/>
      <c r="F70" s="333"/>
      <c r="G70" s="333"/>
      <c r="H70" s="333"/>
      <c r="I70" s="323"/>
      <c r="J70" s="109"/>
      <c r="K70" s="109"/>
    </row>
    <row r="71" spans="1:12" s="334" customFormat="1" ht="12.75" x14ac:dyDescent="0.2">
      <c r="A71" s="335" t="s">
        <v>32</v>
      </c>
      <c r="B71" s="147">
        <v>5000000</v>
      </c>
      <c r="C71" s="147">
        <v>5000000</v>
      </c>
      <c r="D71" s="158">
        <f t="shared" si="2"/>
        <v>0.20683201656889916</v>
      </c>
      <c r="E71" s="336"/>
      <c r="F71" s="138"/>
      <c r="G71" s="138"/>
      <c r="H71" s="138"/>
      <c r="I71" s="282"/>
      <c r="J71" s="109"/>
      <c r="K71" s="109"/>
    </row>
    <row r="72" spans="1:12" s="334" customFormat="1" ht="12.75" x14ac:dyDescent="0.2">
      <c r="A72" s="335" t="s">
        <v>22</v>
      </c>
      <c r="B72" s="147">
        <f>12444.4444444444+24111.11</f>
        <v>36555.554444444402</v>
      </c>
      <c r="C72" s="147">
        <v>58333.440000000002</v>
      </c>
      <c r="D72" s="158">
        <f t="shared" si="2"/>
        <v>1.512171808507724E-3</v>
      </c>
      <c r="E72" s="336"/>
      <c r="F72" s="138"/>
      <c r="G72" s="138"/>
      <c r="H72" s="138"/>
      <c r="I72" s="282"/>
      <c r="J72" s="109"/>
      <c r="K72" s="109"/>
    </row>
    <row r="73" spans="1:12" s="334" customFormat="1" ht="12.75" x14ac:dyDescent="0.2">
      <c r="A73" s="334" t="s">
        <v>37</v>
      </c>
      <c r="B73" s="125">
        <f>+B74+B75</f>
        <v>5039666.6655555554</v>
      </c>
      <c r="C73" s="125">
        <f>+C74+C75</f>
        <v>5000000</v>
      </c>
      <c r="D73" s="331">
        <f t="shared" si="2"/>
        <v>0.20847288385438309</v>
      </c>
      <c r="E73" s="332"/>
      <c r="F73" s="333"/>
      <c r="G73" s="333"/>
      <c r="H73" s="333"/>
      <c r="I73" s="323"/>
      <c r="J73" s="109"/>
      <c r="K73" s="109"/>
    </row>
    <row r="74" spans="1:12" s="334" customFormat="1" ht="12.75" x14ac:dyDescent="0.2">
      <c r="A74" s="335" t="s">
        <v>32</v>
      </c>
      <c r="B74" s="147">
        <v>5000000</v>
      </c>
      <c r="C74" s="147">
        <v>5000000</v>
      </c>
      <c r="D74" s="158">
        <f t="shared" si="2"/>
        <v>0.20683201656889916</v>
      </c>
      <c r="E74" s="336"/>
      <c r="F74" s="138"/>
      <c r="G74" s="138"/>
      <c r="H74" s="138"/>
      <c r="I74" s="282"/>
      <c r="J74" s="109"/>
      <c r="K74" s="109"/>
    </row>
    <row r="75" spans="1:12" s="334" customFormat="1" ht="12.75" x14ac:dyDescent="0.2">
      <c r="A75" s="335" t="s">
        <v>22</v>
      </c>
      <c r="B75" s="147">
        <f>15555.5555555556+24111.11</f>
        <v>39666.665555555599</v>
      </c>
      <c r="C75" s="147">
        <v>0</v>
      </c>
      <c r="D75" s="158">
        <f t="shared" si="2"/>
        <v>1.6408672854839315E-3</v>
      </c>
      <c r="E75" s="336"/>
      <c r="F75" s="138"/>
      <c r="G75" s="138"/>
      <c r="H75" s="138"/>
      <c r="I75" s="282"/>
      <c r="J75" s="109"/>
      <c r="K75" s="109"/>
    </row>
    <row r="76" spans="1:12" s="334" customFormat="1" ht="12.75" x14ac:dyDescent="0.2">
      <c r="A76" s="334" t="s">
        <v>396</v>
      </c>
      <c r="B76" s="125">
        <f>+B77+B78</f>
        <v>3018666.67</v>
      </c>
      <c r="C76" s="125">
        <f>+C77+C78</f>
        <v>3031733.4</v>
      </c>
      <c r="D76" s="331">
        <f t="shared" si="2"/>
        <v>0.12487138294108473</v>
      </c>
      <c r="E76" s="332"/>
      <c r="F76" s="333"/>
      <c r="G76" s="333"/>
      <c r="H76" s="333"/>
      <c r="I76" s="323"/>
      <c r="J76" s="109"/>
      <c r="K76" s="109"/>
    </row>
    <row r="77" spans="1:12" s="334" customFormat="1" ht="12.75" x14ac:dyDescent="0.2">
      <c r="A77" s="335" t="s">
        <v>32</v>
      </c>
      <c r="B77" s="147">
        <v>3000000</v>
      </c>
      <c r="C77" s="147">
        <v>3000000</v>
      </c>
      <c r="D77" s="158">
        <f t="shared" si="2"/>
        <v>0.12409920994133949</v>
      </c>
      <c r="E77" s="336"/>
      <c r="F77" s="138"/>
      <c r="G77" s="138"/>
      <c r="H77" s="138"/>
      <c r="I77" s="282"/>
      <c r="J77" s="109"/>
      <c r="K77" s="109"/>
    </row>
    <row r="78" spans="1:12" s="334" customFormat="1" ht="12.75" x14ac:dyDescent="0.2">
      <c r="A78" s="335" t="s">
        <v>22</v>
      </c>
      <c r="B78" s="147">
        <f>4200+14466.67</f>
        <v>18666.669999999998</v>
      </c>
      <c r="C78" s="147">
        <v>31733.4</v>
      </c>
      <c r="D78" s="158">
        <f t="shared" si="2"/>
        <v>7.7217299974523452E-4</v>
      </c>
      <c r="E78" s="336"/>
      <c r="F78" s="138"/>
      <c r="G78" s="138"/>
      <c r="H78" s="138"/>
      <c r="I78" s="282"/>
      <c r="J78" s="109"/>
      <c r="K78" s="109"/>
    </row>
    <row r="79" spans="1:12" s="109" customFormat="1" x14ac:dyDescent="0.2">
      <c r="A79" s="330" t="s">
        <v>389</v>
      </c>
      <c r="B79" s="70">
        <f>-220156.09</f>
        <v>-220156.09</v>
      </c>
      <c r="C79" s="70">
        <v>-265580.57</v>
      </c>
      <c r="D79" s="158">
        <f>+B79/B99</f>
        <v>-9.1070656109248117E-3</v>
      </c>
    </row>
    <row r="80" spans="1:12" ht="15" x14ac:dyDescent="0.25">
      <c r="A80" s="128" t="s">
        <v>5</v>
      </c>
      <c r="B80" s="32">
        <f>+B56+B69+B79</f>
        <v>12918858.950000001</v>
      </c>
      <c r="C80" s="32">
        <f>+C56+C69+C79</f>
        <v>12881270.189999999</v>
      </c>
      <c r="D80" s="47">
        <f>+B80/B99</f>
        <v>0.53440672967953429</v>
      </c>
    </row>
    <row r="81" spans="1:8" x14ac:dyDescent="0.2">
      <c r="A81" s="7"/>
      <c r="B81" s="34"/>
      <c r="C81" s="34"/>
      <c r="D81" s="245"/>
    </row>
    <row r="82" spans="1:8" x14ac:dyDescent="0.2">
      <c r="A82" s="66" t="s">
        <v>6</v>
      </c>
      <c r="B82" s="219"/>
      <c r="C82" s="219"/>
      <c r="D82" s="159"/>
      <c r="F82" s="165"/>
    </row>
    <row r="83" spans="1:8" x14ac:dyDescent="0.2">
      <c r="A83" s="148"/>
      <c r="B83" s="12"/>
      <c r="C83" s="12"/>
      <c r="D83" s="160"/>
      <c r="G83" s="299"/>
    </row>
    <row r="84" spans="1:8" s="60" customFormat="1" x14ac:dyDescent="0.2">
      <c r="A84" s="148" t="s">
        <v>42</v>
      </c>
      <c r="B84" s="12">
        <f>SUM(B85:B91)</f>
        <v>12050000</v>
      </c>
      <c r="C84" s="12">
        <f>SUM(C85:C91)</f>
        <v>16050000</v>
      </c>
      <c r="D84" s="160">
        <f t="shared" ref="D84:D91" si="3">+B84/$B$99</f>
        <v>0.49846515993104701</v>
      </c>
      <c r="E84" s="255"/>
      <c r="F84" s="255"/>
      <c r="G84" s="284"/>
    </row>
    <row r="85" spans="1:8" s="60" customFormat="1" ht="12.75" x14ac:dyDescent="0.2">
      <c r="A85" s="240" t="s">
        <v>370</v>
      </c>
      <c r="B85" s="301">
        <f>1200000+2400000</f>
        <v>3600000</v>
      </c>
      <c r="C85" s="301">
        <v>4800000</v>
      </c>
      <c r="D85" s="213">
        <f t="shared" si="3"/>
        <v>0.14891905192960739</v>
      </c>
      <c r="E85" s="327"/>
      <c r="F85" s="327"/>
    </row>
    <row r="86" spans="1:8" s="60" customFormat="1" x14ac:dyDescent="0.2">
      <c r="A86" s="240" t="s">
        <v>376</v>
      </c>
      <c r="B86" s="301">
        <f t="shared" ref="B86:B88" si="4">800000+1600000</f>
        <v>2400000</v>
      </c>
      <c r="C86" s="301">
        <v>3200000</v>
      </c>
      <c r="D86" s="213">
        <f t="shared" si="3"/>
        <v>9.9279367953071601E-2</v>
      </c>
      <c r="E86" s="280"/>
      <c r="F86" s="280"/>
      <c r="G86" s="280"/>
      <c r="H86" s="295"/>
    </row>
    <row r="87" spans="1:8" s="60" customFormat="1" ht="12.75" x14ac:dyDescent="0.2">
      <c r="A87" s="240" t="s">
        <v>375</v>
      </c>
      <c r="B87" s="301">
        <f t="shared" si="4"/>
        <v>2400000</v>
      </c>
      <c r="C87" s="301">
        <v>3200000</v>
      </c>
      <c r="D87" s="213">
        <f t="shared" si="3"/>
        <v>9.9279367953071601E-2</v>
      </c>
      <c r="E87" s="284"/>
      <c r="F87" s="284"/>
      <c r="G87" s="244"/>
      <c r="H87" s="244"/>
    </row>
    <row r="88" spans="1:8" s="60" customFormat="1" ht="12.75" x14ac:dyDescent="0.2">
      <c r="A88" s="240" t="s">
        <v>371</v>
      </c>
      <c r="B88" s="301">
        <f t="shared" si="4"/>
        <v>2400000</v>
      </c>
      <c r="C88" s="301">
        <v>3200000</v>
      </c>
      <c r="D88" s="213">
        <f t="shared" si="3"/>
        <v>9.9279367953071601E-2</v>
      </c>
      <c r="E88" s="279"/>
    </row>
    <row r="89" spans="1:8" s="60" customFormat="1" ht="12.75" x14ac:dyDescent="0.2">
      <c r="A89" s="240" t="s">
        <v>372</v>
      </c>
      <c r="B89" s="301">
        <f t="shared" ref="B89:B90" si="5">200000+400000</f>
        <v>600000</v>
      </c>
      <c r="C89" s="301">
        <v>800000</v>
      </c>
      <c r="D89" s="213">
        <f t="shared" si="3"/>
        <v>2.48198419882679E-2</v>
      </c>
      <c r="E89" s="255"/>
      <c r="F89" s="284"/>
    </row>
    <row r="90" spans="1:8" s="60" customFormat="1" ht="12.75" x14ac:dyDescent="0.2">
      <c r="A90" s="240" t="s">
        <v>373</v>
      </c>
      <c r="B90" s="301">
        <f t="shared" si="5"/>
        <v>600000</v>
      </c>
      <c r="C90" s="301">
        <v>800000</v>
      </c>
      <c r="D90" s="213">
        <f t="shared" si="3"/>
        <v>2.48198419882679E-2</v>
      </c>
      <c r="E90" s="297"/>
      <c r="F90" s="297"/>
      <c r="G90" s="255"/>
    </row>
    <row r="91" spans="1:8" s="60" customFormat="1" ht="12.75" x14ac:dyDescent="0.2">
      <c r="A91" s="240" t="s">
        <v>374</v>
      </c>
      <c r="B91" s="301">
        <v>50000</v>
      </c>
      <c r="C91" s="301">
        <v>50000</v>
      </c>
      <c r="D91" s="213">
        <f t="shared" si="3"/>
        <v>2.0683201656889918E-3</v>
      </c>
      <c r="E91" s="297"/>
      <c r="F91" s="284"/>
      <c r="G91" s="284"/>
      <c r="H91" s="244"/>
    </row>
    <row r="92" spans="1:8" x14ac:dyDescent="0.2">
      <c r="A92" s="267" t="s">
        <v>136</v>
      </c>
      <c r="B92" s="12">
        <v>-494742.37999999995</v>
      </c>
      <c r="C92" s="12">
        <v>-494742.37999999995</v>
      </c>
      <c r="D92" s="160">
        <f>+B92/B99</f>
        <v>-2.046571282749932E-2</v>
      </c>
      <c r="E92" s="245"/>
      <c r="F92" s="165"/>
    </row>
    <row r="93" spans="1:8" hidden="1" x14ac:dyDescent="0.2">
      <c r="A93" s="267" t="s">
        <v>167</v>
      </c>
      <c r="B93" s="12">
        <f>+B94+B95</f>
        <v>0</v>
      </c>
      <c r="C93" s="12">
        <f>+C94+C95</f>
        <v>0</v>
      </c>
      <c r="D93" s="160" t="e">
        <f>+#REF!/#REF!</f>
        <v>#REF!</v>
      </c>
      <c r="E93" s="295"/>
      <c r="F93" s="165"/>
    </row>
    <row r="94" spans="1:8" s="60" customFormat="1" ht="12.75" hidden="1" x14ac:dyDescent="0.2">
      <c r="A94" s="240" t="s">
        <v>222</v>
      </c>
      <c r="B94" s="301">
        <v>0</v>
      </c>
      <c r="C94" s="301">
        <v>0</v>
      </c>
      <c r="D94" s="213" t="e">
        <f>+#REF!/#REF!</f>
        <v>#REF!</v>
      </c>
      <c r="E94" s="275"/>
    </row>
    <row r="95" spans="1:8" s="60" customFormat="1" ht="12.75" hidden="1" x14ac:dyDescent="0.2">
      <c r="A95" s="240" t="s">
        <v>168</v>
      </c>
      <c r="B95" s="301">
        <v>0</v>
      </c>
      <c r="C95" s="301">
        <v>0</v>
      </c>
      <c r="D95" s="213" t="e">
        <f>+#REF!/#REF!</f>
        <v>#REF!</v>
      </c>
      <c r="E95" s="275"/>
    </row>
    <row r="96" spans="1:8" x14ac:dyDescent="0.2">
      <c r="A96" s="148" t="s">
        <v>368</v>
      </c>
      <c r="B96" s="12">
        <f>+B160</f>
        <v>-299909.48666666663</v>
      </c>
      <c r="C96" s="12">
        <f>+C160</f>
        <v>-517416.85000000003</v>
      </c>
      <c r="D96" s="160">
        <f>+B96/$B$99</f>
        <v>-1.2406176783082007E-2</v>
      </c>
      <c r="E96" s="295"/>
      <c r="F96" s="295"/>
    </row>
    <row r="97" spans="1:7" x14ac:dyDescent="0.2">
      <c r="A97" s="148"/>
      <c r="B97" s="12"/>
      <c r="C97" s="12"/>
      <c r="D97" s="160"/>
      <c r="E97" s="245"/>
      <c r="F97" s="245"/>
      <c r="G97" s="165"/>
    </row>
    <row r="98" spans="1:7" ht="15" x14ac:dyDescent="0.25">
      <c r="A98" s="250" t="s">
        <v>7</v>
      </c>
      <c r="B98" s="32">
        <f>+B84+B92+B93+B96</f>
        <v>11255348.133333333</v>
      </c>
      <c r="C98" s="32">
        <f>+C84+C92+C93+C96</f>
        <v>15037840.77</v>
      </c>
      <c r="D98" s="47">
        <f>+B98/B99</f>
        <v>0.46559327032046566</v>
      </c>
      <c r="F98" s="165"/>
      <c r="G98" s="165"/>
    </row>
    <row r="99" spans="1:7" ht="15" x14ac:dyDescent="0.25">
      <c r="A99" s="45" t="s">
        <v>11</v>
      </c>
      <c r="B99" s="32">
        <f>+B80+B98</f>
        <v>24174207.083333336</v>
      </c>
      <c r="C99" s="32">
        <f>+C80+C98</f>
        <v>27919110.960000001</v>
      </c>
      <c r="D99" s="47">
        <f>+B99/B99</f>
        <v>1</v>
      </c>
      <c r="F99" s="165"/>
      <c r="G99" s="165"/>
    </row>
    <row r="100" spans="1:7" ht="15" x14ac:dyDescent="0.25">
      <c r="A100" s="129"/>
      <c r="B100" s="220"/>
      <c r="C100" s="220"/>
      <c r="D100" s="252"/>
      <c r="F100" s="165"/>
      <c r="G100" s="165"/>
    </row>
    <row r="101" spans="1:7" ht="15" x14ac:dyDescent="0.25">
      <c r="A101" s="250" t="s">
        <v>269</v>
      </c>
      <c r="B101" s="221" t="str">
        <f>+B3</f>
        <v>January</v>
      </c>
      <c r="C101" s="221" t="str">
        <f>+C3</f>
        <v>February</v>
      </c>
      <c r="D101" s="221" t="str">
        <f>+C101</f>
        <v>February</v>
      </c>
    </row>
    <row r="102" spans="1:7" ht="15" x14ac:dyDescent="0.25">
      <c r="A102" s="64"/>
      <c r="B102" s="222"/>
      <c r="C102" s="222"/>
      <c r="D102" s="85" t="s">
        <v>30</v>
      </c>
    </row>
    <row r="103" spans="1:7" s="109" customFormat="1" x14ac:dyDescent="0.2">
      <c r="A103" s="148" t="s">
        <v>12</v>
      </c>
      <c r="B103" s="223"/>
      <c r="C103" s="223"/>
      <c r="D103" s="66"/>
    </row>
    <row r="104" spans="1:7" s="109" customFormat="1" ht="12.75" x14ac:dyDescent="0.2">
      <c r="A104" s="240" t="str">
        <f t="shared" ref="A104:B106" si="6">+A134</f>
        <v xml:space="preserve">Loans Interests </v>
      </c>
      <c r="B104" s="298">
        <f t="shared" si="6"/>
        <v>125236.9</v>
      </c>
      <c r="C104" s="298">
        <f>+C134-B134</f>
        <v>128835.47</v>
      </c>
      <c r="D104" s="125">
        <f>SUM(B104:C104)</f>
        <v>254072.37</v>
      </c>
    </row>
    <row r="105" spans="1:7" s="109" customFormat="1" ht="12.75" x14ac:dyDescent="0.2">
      <c r="A105" s="240" t="str">
        <f t="shared" si="6"/>
        <v>Disbursement Fee</v>
      </c>
      <c r="B105" s="298">
        <f t="shared" si="6"/>
        <v>3663.82</v>
      </c>
      <c r="C105" s="298">
        <f>+C135-B135</f>
        <v>3674.3699999999994</v>
      </c>
      <c r="D105" s="125">
        <f t="shared" ref="D105:D106" si="7">SUM(B105:C105)</f>
        <v>7338.19</v>
      </c>
    </row>
    <row r="106" spans="1:7" s="109" customFormat="1" ht="12.75" x14ac:dyDescent="0.2">
      <c r="A106" s="240" t="str">
        <f t="shared" si="6"/>
        <v>Other Income</v>
      </c>
      <c r="B106" s="298">
        <f t="shared" si="6"/>
        <v>2329.35</v>
      </c>
      <c r="C106" s="298">
        <f>+C136-B136</f>
        <v>308.05999999999995</v>
      </c>
      <c r="D106" s="125">
        <f t="shared" si="7"/>
        <v>2637.41</v>
      </c>
    </row>
    <row r="107" spans="1:7" s="109" customFormat="1" ht="12.75" x14ac:dyDescent="0.2">
      <c r="A107" s="240" t="s">
        <v>8</v>
      </c>
      <c r="B107" s="298">
        <f>SUM(B104:B106)</f>
        <v>131230.07</v>
      </c>
      <c r="C107" s="298">
        <f>SUM(C104:C106)</f>
        <v>132817.9</v>
      </c>
      <c r="D107" s="125">
        <f>SUM(D104:D106)</f>
        <v>264047.96999999997</v>
      </c>
    </row>
    <row r="108" spans="1:7" x14ac:dyDescent="0.2">
      <c r="A108" s="148"/>
      <c r="B108" s="25"/>
      <c r="C108" s="25"/>
      <c r="D108" s="25"/>
    </row>
    <row r="109" spans="1:7" s="109" customFormat="1" x14ac:dyDescent="0.2">
      <c r="A109" s="148" t="s">
        <v>13</v>
      </c>
      <c r="B109" s="25"/>
      <c r="C109" s="25"/>
      <c r="D109" s="25"/>
    </row>
    <row r="110" spans="1:7" s="109" customFormat="1" ht="12.75" x14ac:dyDescent="0.2">
      <c r="A110" s="240" t="str">
        <f t="shared" ref="A110:A111" si="8">+A140</f>
        <v>Management Fees</v>
      </c>
      <c r="B110" s="298">
        <f>+B140</f>
        <v>-133319.59</v>
      </c>
      <c r="C110" s="298">
        <f>+C140-B140</f>
        <v>-124805.48000000001</v>
      </c>
      <c r="D110" s="125">
        <f>SUM(B110:C110)</f>
        <v>-258125.07</v>
      </c>
    </row>
    <row r="111" spans="1:7" s="109" customFormat="1" ht="12.75" x14ac:dyDescent="0.2">
      <c r="A111" s="240" t="str">
        <f t="shared" si="8"/>
        <v>Senior Loans Interests</v>
      </c>
      <c r="B111" s="298">
        <f>+B141</f>
        <v>-62688.6</v>
      </c>
      <c r="C111" s="298">
        <f>+C141-B141</f>
        <v>-57400.46</v>
      </c>
      <c r="D111" s="125">
        <f t="shared" ref="D111:D120" si="9">SUM(B111:C111)</f>
        <v>-120089.06</v>
      </c>
    </row>
    <row r="112" spans="1:7" s="109" customFormat="1" ht="12.75" x14ac:dyDescent="0.2">
      <c r="A112" s="240" t="str">
        <f t="shared" ref="A112:A114" si="10">+A142</f>
        <v>Senior Loans Fees</v>
      </c>
      <c r="B112" s="298">
        <f>+B142</f>
        <v>-11923.62</v>
      </c>
      <c r="C112" s="298">
        <f>+C142-B142</f>
        <v>-14089.42</v>
      </c>
      <c r="D112" s="125">
        <f t="shared" si="9"/>
        <v>-26013.040000000001</v>
      </c>
    </row>
    <row r="113" spans="1:4" s="109" customFormat="1" ht="12.75" x14ac:dyDescent="0.2">
      <c r="A113" s="240" t="str">
        <f t="shared" si="10"/>
        <v>Legal Expenses</v>
      </c>
      <c r="B113" s="298">
        <f>+B143</f>
        <v>-278.64</v>
      </c>
      <c r="C113" s="298">
        <f>+C143-B143</f>
        <v>-3744.02</v>
      </c>
      <c r="D113" s="125">
        <f t="shared" si="9"/>
        <v>-4022.66</v>
      </c>
    </row>
    <row r="114" spans="1:4" s="249" customFormat="1" ht="12.75" x14ac:dyDescent="0.2">
      <c r="A114" s="281" t="str">
        <f t="shared" si="10"/>
        <v>Operational - Legal Expenses</v>
      </c>
      <c r="B114" s="292">
        <f>+B144</f>
        <v>-278.64</v>
      </c>
      <c r="C114" s="292">
        <f>+C144-B144</f>
        <v>0</v>
      </c>
      <c r="D114" s="125">
        <f t="shared" si="9"/>
        <v>-278.64</v>
      </c>
    </row>
    <row r="115" spans="1:4" s="249" customFormat="1" ht="12.75" x14ac:dyDescent="0.2">
      <c r="A115" s="281" t="str">
        <f>+A147</f>
        <v>Senior Loans - Legal Expenses</v>
      </c>
      <c r="B115" s="292">
        <f>+B147</f>
        <v>0</v>
      </c>
      <c r="C115" s="292">
        <f>+C147</f>
        <v>-3744.02</v>
      </c>
      <c r="D115" s="125">
        <f t="shared" si="9"/>
        <v>-3744.02</v>
      </c>
    </row>
    <row r="116" spans="1:4" s="109" customFormat="1" ht="12.75" x14ac:dyDescent="0.2">
      <c r="A116" s="240" t="str">
        <f>+A149</f>
        <v>Bank and Account Charges</v>
      </c>
      <c r="B116" s="298">
        <f>+B149</f>
        <v>-135</v>
      </c>
      <c r="C116" s="298">
        <f>+C149-B149</f>
        <v>-175</v>
      </c>
      <c r="D116" s="125">
        <f t="shared" si="9"/>
        <v>-310</v>
      </c>
    </row>
    <row r="117" spans="1:4" s="109" customFormat="1" ht="12.75" hidden="1" x14ac:dyDescent="0.2">
      <c r="A117" s="240" t="str">
        <f t="shared" ref="A117:A120" si="11">+A150</f>
        <v>Credit Committe Meetings Costs</v>
      </c>
      <c r="B117" s="298">
        <f>+B150</f>
        <v>0</v>
      </c>
      <c r="C117" s="298">
        <f>+C150</f>
        <v>-750</v>
      </c>
      <c r="D117" s="125">
        <f t="shared" si="9"/>
        <v>-750</v>
      </c>
    </row>
    <row r="118" spans="1:4" s="109" customFormat="1" ht="12.75" hidden="1" x14ac:dyDescent="0.2">
      <c r="A118" s="240" t="str">
        <f t="shared" si="11"/>
        <v>Advisory Committee Meetings Costs</v>
      </c>
      <c r="B118" s="298">
        <f>+B151</f>
        <v>0</v>
      </c>
      <c r="C118" s="298">
        <f>+C151</f>
        <v>0</v>
      </c>
      <c r="D118" s="125">
        <f t="shared" si="9"/>
        <v>0</v>
      </c>
    </row>
    <row r="119" spans="1:4" s="109" customFormat="1" ht="12.75" x14ac:dyDescent="0.2">
      <c r="A119" s="240" t="str">
        <f t="shared" si="11"/>
        <v>External Audit and Report Expenses</v>
      </c>
      <c r="B119" s="298">
        <f>+B152</f>
        <v>-2686.6666666666702</v>
      </c>
      <c r="C119" s="298">
        <f>+C152-B152</f>
        <v>-2686.67333333333</v>
      </c>
      <c r="D119" s="125">
        <f t="shared" si="9"/>
        <v>-5373.34</v>
      </c>
    </row>
    <row r="120" spans="1:4" s="109" customFormat="1" ht="12.75" x14ac:dyDescent="0.2">
      <c r="A120" s="240" t="str">
        <f t="shared" si="11"/>
        <v>Insurance - D&amp;O</v>
      </c>
      <c r="B120" s="298">
        <f>+B153</f>
        <v>-1666.67</v>
      </c>
      <c r="C120" s="298">
        <f>+C153-B153</f>
        <v>-1666.67</v>
      </c>
      <c r="D120" s="125">
        <f t="shared" si="9"/>
        <v>-3333.34</v>
      </c>
    </row>
    <row r="121" spans="1:4" s="109" customFormat="1" ht="12.75" x14ac:dyDescent="0.2">
      <c r="A121" s="240" t="str">
        <f>+A154</f>
        <v>TOTAL EXPENSES</v>
      </c>
      <c r="B121" s="125">
        <f>+B110+B116+B112+B113+B117+B118+B119+B111+B120</f>
        <v>-212698.78666666668</v>
      </c>
      <c r="C121" s="125">
        <f>+C110+C116+C112+C113+C117+C118+C119+C111+C120</f>
        <v>-205317.72333333336</v>
      </c>
      <c r="D121" s="125">
        <f>+D110+D116+D112+D113+D117+D118+D119+D111+D120</f>
        <v>-418016.51</v>
      </c>
    </row>
    <row r="122" spans="1:4" x14ac:dyDescent="0.2">
      <c r="A122" s="63"/>
      <c r="B122" s="224"/>
      <c r="C122" s="224"/>
      <c r="D122" s="224"/>
    </row>
    <row r="123" spans="1:4" ht="15" x14ac:dyDescent="0.25">
      <c r="A123" s="45" t="s">
        <v>398</v>
      </c>
      <c r="B123" s="32">
        <f>+B107+B121</f>
        <v>-81468.716666666674</v>
      </c>
      <c r="C123" s="32">
        <f>+C107+C121</f>
        <v>-72499.823333333363</v>
      </c>
      <c r="D123" s="32">
        <f>+D107+D121</f>
        <v>-153968.54000000004</v>
      </c>
    </row>
    <row r="124" spans="1:4" ht="15" x14ac:dyDescent="0.25">
      <c r="A124" s="246"/>
      <c r="B124" s="124"/>
      <c r="C124" s="124"/>
      <c r="D124" s="66"/>
    </row>
    <row r="125" spans="1:4" x14ac:dyDescent="0.2">
      <c r="A125" s="247" t="s">
        <v>142</v>
      </c>
      <c r="B125" s="25">
        <f>+B158</f>
        <v>-218440.76999999996</v>
      </c>
      <c r="C125" s="25">
        <f>+C158-B158</f>
        <v>-145007.54000000004</v>
      </c>
      <c r="D125" s="25">
        <f>SUM(B125:C125)</f>
        <v>-363448.31</v>
      </c>
    </row>
    <row r="126" spans="1:4" x14ac:dyDescent="0.2">
      <c r="A126" s="24"/>
      <c r="B126" s="125"/>
      <c r="C126" s="125"/>
      <c r="D126" s="240"/>
    </row>
    <row r="127" spans="1:4" ht="15" x14ac:dyDescent="0.25">
      <c r="A127" s="128" t="s">
        <v>399</v>
      </c>
      <c r="B127" s="32">
        <f>+B123+B125</f>
        <v>-299909.48666666663</v>
      </c>
      <c r="C127" s="32">
        <f>+C123+C125</f>
        <v>-217507.3633333334</v>
      </c>
      <c r="D127" s="32">
        <f>+D123+D125</f>
        <v>-517416.85000000003</v>
      </c>
    </row>
    <row r="128" spans="1:4" ht="15" x14ac:dyDescent="0.25">
      <c r="A128" s="129"/>
      <c r="B128" s="33"/>
      <c r="C128" s="33"/>
      <c r="D128" s="33"/>
    </row>
    <row r="129" spans="1:4" ht="15" x14ac:dyDescent="0.25">
      <c r="A129" s="129"/>
      <c r="B129" s="302"/>
      <c r="C129" s="302"/>
      <c r="D129" s="253"/>
    </row>
    <row r="130" spans="1:4" ht="15" x14ac:dyDescent="0.25">
      <c r="A130" s="129"/>
      <c r="B130" s="303"/>
      <c r="C130" s="303"/>
      <c r="D130" s="254"/>
    </row>
    <row r="131" spans="1:4" x14ac:dyDescent="0.2">
      <c r="A131" s="66" t="s">
        <v>277</v>
      </c>
      <c r="B131" s="223"/>
      <c r="C131" s="223"/>
      <c r="D131" s="104"/>
    </row>
    <row r="132" spans="1:4" x14ac:dyDescent="0.2">
      <c r="A132" s="148"/>
      <c r="B132" s="25"/>
      <c r="C132" s="25"/>
      <c r="D132" s="214"/>
    </row>
    <row r="133" spans="1:4" s="109" customFormat="1" x14ac:dyDescent="0.2">
      <c r="A133" s="148" t="s">
        <v>12</v>
      </c>
      <c r="B133" s="25"/>
      <c r="C133" s="25"/>
      <c r="D133" s="214"/>
    </row>
    <row r="134" spans="1:4" s="109" customFormat="1" ht="12.75" x14ac:dyDescent="0.2">
      <c r="A134" s="240" t="s">
        <v>49</v>
      </c>
      <c r="B134" s="298">
        <v>125236.9</v>
      </c>
      <c r="C134" s="298">
        <v>254072.37</v>
      </c>
      <c r="D134" s="259"/>
    </row>
    <row r="135" spans="1:4" s="109" customFormat="1" ht="12.75" x14ac:dyDescent="0.2">
      <c r="A135" s="240" t="s">
        <v>382</v>
      </c>
      <c r="B135" s="298">
        <v>3663.82</v>
      </c>
      <c r="C135" s="298">
        <v>7338.19</v>
      </c>
      <c r="D135" s="259"/>
    </row>
    <row r="136" spans="1:4" s="109" customFormat="1" ht="12.75" x14ac:dyDescent="0.2">
      <c r="A136" s="240" t="s">
        <v>369</v>
      </c>
      <c r="B136" s="298">
        <v>2329.35</v>
      </c>
      <c r="C136" s="298">
        <v>2637.41</v>
      </c>
      <c r="D136" s="259"/>
    </row>
    <row r="137" spans="1:4" x14ac:dyDescent="0.2">
      <c r="A137" s="148" t="s">
        <v>8</v>
      </c>
      <c r="B137" s="25">
        <f>SUM(B134:B136)</f>
        <v>131230.07</v>
      </c>
      <c r="C137" s="25">
        <f>SUM(C134:C136)</f>
        <v>264047.96999999997</v>
      </c>
      <c r="D137" s="104"/>
    </row>
    <row r="138" spans="1:4" x14ac:dyDescent="0.2">
      <c r="A138" s="148"/>
      <c r="B138" s="25"/>
      <c r="C138" s="25"/>
      <c r="D138" s="245"/>
    </row>
    <row r="139" spans="1:4" s="109" customFormat="1" x14ac:dyDescent="0.2">
      <c r="A139" s="148" t="s">
        <v>13</v>
      </c>
      <c r="B139" s="25"/>
      <c r="C139" s="25"/>
      <c r="D139" s="104"/>
    </row>
    <row r="140" spans="1:4" s="109" customFormat="1" ht="12.75" x14ac:dyDescent="0.2">
      <c r="A140" s="240" t="s">
        <v>14</v>
      </c>
      <c r="B140" s="298">
        <v>-133319.59</v>
      </c>
      <c r="C140" s="298">
        <v>-258125.07</v>
      </c>
      <c r="D140" s="285"/>
    </row>
    <row r="141" spans="1:4" s="109" customFormat="1" ht="12.75" x14ac:dyDescent="0.2">
      <c r="A141" s="240" t="s">
        <v>176</v>
      </c>
      <c r="B141" s="298">
        <f>-62688.6</f>
        <v>-62688.6</v>
      </c>
      <c r="C141" s="298">
        <v>-120089.06</v>
      </c>
      <c r="D141" s="285"/>
    </row>
    <row r="142" spans="1:4" s="109" customFormat="1" ht="12.75" x14ac:dyDescent="0.2">
      <c r="A142" s="240" t="s">
        <v>400</v>
      </c>
      <c r="B142" s="298">
        <v>-11923.62</v>
      </c>
      <c r="C142" s="298">
        <v>-26013.040000000001</v>
      </c>
      <c r="D142" s="285"/>
    </row>
    <row r="143" spans="1:4" s="109" customFormat="1" ht="12.75" x14ac:dyDescent="0.2">
      <c r="A143" s="240" t="s">
        <v>24</v>
      </c>
      <c r="B143" s="298">
        <f>+B144+B147</f>
        <v>-278.64</v>
      </c>
      <c r="C143" s="298">
        <f>+C144+C147</f>
        <v>-4022.66</v>
      </c>
      <c r="D143" s="256"/>
    </row>
    <row r="144" spans="1:4" s="249" customFormat="1" ht="11.25" x14ac:dyDescent="0.2">
      <c r="A144" s="281" t="s">
        <v>387</v>
      </c>
      <c r="B144" s="292">
        <f>+B145+B146</f>
        <v>-278.64</v>
      </c>
      <c r="C144" s="292">
        <f>+C145+C146</f>
        <v>-278.64</v>
      </c>
      <c r="D144" s="282"/>
    </row>
    <row r="145" spans="1:4" s="290" customFormat="1" ht="9" x14ac:dyDescent="0.15">
      <c r="A145" s="288" t="s">
        <v>411</v>
      </c>
      <c r="B145" s="294">
        <v>-176</v>
      </c>
      <c r="C145" s="294">
        <v>-176</v>
      </c>
      <c r="D145" s="289"/>
    </row>
    <row r="146" spans="1:4" s="290" customFormat="1" ht="9" x14ac:dyDescent="0.15">
      <c r="A146" s="288" t="s">
        <v>410</v>
      </c>
      <c r="B146" s="294">
        <v>-102.64</v>
      </c>
      <c r="C146" s="294">
        <v>-102.64</v>
      </c>
      <c r="D146" s="289"/>
    </row>
    <row r="147" spans="1:4" s="249" customFormat="1" ht="11.25" x14ac:dyDescent="0.2">
      <c r="A147" s="281" t="s">
        <v>386</v>
      </c>
      <c r="B147" s="292">
        <f>+B148</f>
        <v>0</v>
      </c>
      <c r="C147" s="292">
        <f>+C148</f>
        <v>-3744.02</v>
      </c>
      <c r="D147" s="282"/>
    </row>
    <row r="148" spans="1:4" s="290" customFormat="1" ht="9" x14ac:dyDescent="0.15">
      <c r="A148" s="288" t="s">
        <v>384</v>
      </c>
      <c r="B148" s="294"/>
      <c r="C148" s="294">
        <v>-3744.02</v>
      </c>
      <c r="D148" s="289"/>
    </row>
    <row r="149" spans="1:4" s="109" customFormat="1" ht="12.75" x14ac:dyDescent="0.2">
      <c r="A149" s="240" t="s">
        <v>27</v>
      </c>
      <c r="B149" s="298">
        <v>-135</v>
      </c>
      <c r="C149" s="298">
        <v>-310</v>
      </c>
      <c r="D149" s="255"/>
    </row>
    <row r="150" spans="1:4" s="109" customFormat="1" ht="12.75" x14ac:dyDescent="0.2">
      <c r="A150" s="240" t="s">
        <v>158</v>
      </c>
      <c r="B150" s="298">
        <v>0</v>
      </c>
      <c r="C150" s="298">
        <v>-750</v>
      </c>
      <c r="D150" s="255"/>
    </row>
    <row r="151" spans="1:4" s="109" customFormat="1" ht="12.75" hidden="1" x14ac:dyDescent="0.2">
      <c r="A151" s="240" t="s">
        <v>187</v>
      </c>
      <c r="B151" s="298"/>
      <c r="C151" s="298"/>
      <c r="D151" s="255"/>
    </row>
    <row r="152" spans="1:4" s="109" customFormat="1" ht="12.75" x14ac:dyDescent="0.2">
      <c r="A152" s="240" t="s">
        <v>390</v>
      </c>
      <c r="B152" s="298">
        <v>-2686.6666666666702</v>
      </c>
      <c r="C152" s="298">
        <v>-5373.34</v>
      </c>
      <c r="D152" s="255"/>
    </row>
    <row r="153" spans="1:4" s="109" customFormat="1" ht="12.75" x14ac:dyDescent="0.2">
      <c r="A153" s="240" t="s">
        <v>197</v>
      </c>
      <c r="B153" s="298">
        <v>-1666.67</v>
      </c>
      <c r="C153" s="298">
        <v>-3333.34</v>
      </c>
      <c r="D153" s="255"/>
    </row>
    <row r="154" spans="1:4" x14ac:dyDescent="0.2">
      <c r="A154" s="148" t="s">
        <v>15</v>
      </c>
      <c r="B154" s="25">
        <f>+B140+B149+B142+B143+B150+B151+B152+B141+B153</f>
        <v>-212698.78666666668</v>
      </c>
      <c r="C154" s="25">
        <f>+C140+C149+C142+C143+C150+C151+C152+C141+C153</f>
        <v>-418016.51</v>
      </c>
      <c r="D154" s="104"/>
    </row>
    <row r="155" spans="1:4" x14ac:dyDescent="0.2">
      <c r="A155" s="63"/>
      <c r="B155" s="224"/>
      <c r="C155" s="224"/>
      <c r="D155" s="104"/>
    </row>
    <row r="156" spans="1:4" ht="15" x14ac:dyDescent="0.25">
      <c r="A156" s="45" t="s">
        <v>398</v>
      </c>
      <c r="B156" s="32">
        <f>+B137+B154</f>
        <v>-81468.716666666674</v>
      </c>
      <c r="C156" s="32">
        <f>+C137+C154</f>
        <v>-153968.54000000004</v>
      </c>
      <c r="D156" s="253"/>
    </row>
    <row r="157" spans="1:4" ht="15" x14ac:dyDescent="0.25">
      <c r="A157" s="246"/>
      <c r="B157" s="124"/>
      <c r="C157" s="124"/>
      <c r="D157" s="253"/>
    </row>
    <row r="158" spans="1:4" ht="15" x14ac:dyDescent="0.25">
      <c r="A158" s="247" t="s">
        <v>142</v>
      </c>
      <c r="B158" s="25">
        <v>-218440.76999999996</v>
      </c>
      <c r="C158" s="25">
        <v>-363448.31</v>
      </c>
      <c r="D158" s="325"/>
    </row>
    <row r="159" spans="1:4" ht="15" x14ac:dyDescent="0.25">
      <c r="A159" s="24"/>
      <c r="B159" s="125"/>
      <c r="C159" s="125"/>
      <c r="D159" s="253"/>
    </row>
    <row r="160" spans="1:4" ht="15" x14ac:dyDescent="0.25">
      <c r="A160" s="128" t="s">
        <v>399</v>
      </c>
      <c r="B160" s="32">
        <f>+B156+B158</f>
        <v>-299909.48666666663</v>
      </c>
      <c r="C160" s="32">
        <f>+C156+C158</f>
        <v>-517416.85000000003</v>
      </c>
    </row>
    <row r="162" spans="1:4" x14ac:dyDescent="0.2">
      <c r="A162" s="7"/>
      <c r="B162" s="263">
        <f>+B51-B99</f>
        <v>-3.3333338797092438E-3</v>
      </c>
      <c r="C162" s="263">
        <f>+C51-C99</f>
        <v>0</v>
      </c>
      <c r="D162" s="260"/>
    </row>
    <row r="165" spans="1:4" ht="15" x14ac:dyDescent="0.25">
      <c r="A165" s="7"/>
      <c r="B165" s="315"/>
      <c r="C165" s="315"/>
    </row>
    <row r="166" spans="1:4" x14ac:dyDescent="0.2">
      <c r="A166" s="7"/>
      <c r="B166" s="67"/>
      <c r="C166" s="67"/>
    </row>
    <row r="168" spans="1:4" x14ac:dyDescent="0.2">
      <c r="A168" s="7"/>
      <c r="B168" s="263"/>
      <c r="C168" s="263"/>
    </row>
  </sheetData>
  <phoneticPr fontId="3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C2EE-28CB-4F53-9CD1-D9BC7D074734}">
  <dimension ref="B3:I29"/>
  <sheetViews>
    <sheetView showGridLines="0" workbookViewId="0">
      <selection activeCell="D10" sqref="D10"/>
    </sheetView>
  </sheetViews>
  <sheetFormatPr baseColWidth="10" defaultRowHeight="12.75" x14ac:dyDescent="0.2"/>
  <cols>
    <col min="2" max="2" width="31.85546875" customWidth="1"/>
    <col min="3" max="3" width="2.42578125" customWidth="1"/>
    <col min="4" max="4" width="12.85546875" customWidth="1"/>
    <col min="5" max="7" width="13.140625" customWidth="1"/>
  </cols>
  <sheetData>
    <row r="3" spans="2:9" x14ac:dyDescent="0.2">
      <c r="B3" s="353">
        <v>44255</v>
      </c>
    </row>
    <row r="4" spans="2:9" x14ac:dyDescent="0.2">
      <c r="B4" s="346" t="s">
        <v>425</v>
      </c>
      <c r="C4" s="346"/>
      <c r="D4" s="348" t="s">
        <v>420</v>
      </c>
      <c r="E4" s="348" t="s">
        <v>420</v>
      </c>
      <c r="G4" s="348" t="s">
        <v>421</v>
      </c>
    </row>
    <row r="5" spans="2:9" x14ac:dyDescent="0.2">
      <c r="D5" s="349" t="s">
        <v>423</v>
      </c>
      <c r="E5" s="349" t="s">
        <v>422</v>
      </c>
      <c r="F5" s="348" t="s">
        <v>424</v>
      </c>
      <c r="G5" s="349"/>
    </row>
    <row r="7" spans="2:9" x14ac:dyDescent="0.2">
      <c r="B7" s="347" t="s">
        <v>415</v>
      </c>
      <c r="C7" s="347"/>
      <c r="D7" s="350">
        <v>388.88888888888891</v>
      </c>
      <c r="E7" s="350">
        <v>7527.79</v>
      </c>
      <c r="F7" s="350">
        <v>-6708.33</v>
      </c>
      <c r="G7" s="350">
        <f>+E7+F7</f>
        <v>819.46</v>
      </c>
    </row>
    <row r="8" spans="2:9" x14ac:dyDescent="0.2">
      <c r="B8" s="347" t="s">
        <v>416</v>
      </c>
      <c r="C8" s="347"/>
      <c r="D8" s="350">
        <v>388.88888888888891</v>
      </c>
      <c r="E8" s="350">
        <v>7527</v>
      </c>
      <c r="F8" s="350">
        <v>-7527</v>
      </c>
      <c r="G8" s="350">
        <f t="shared" ref="G8:G11" si="0">+E8+F8</f>
        <v>0</v>
      </c>
    </row>
    <row r="9" spans="2:9" x14ac:dyDescent="0.2">
      <c r="B9" s="347" t="s">
        <v>417</v>
      </c>
      <c r="C9" s="347"/>
      <c r="D9" s="350">
        <v>41.67</v>
      </c>
      <c r="E9" s="350">
        <v>791.66666666666663</v>
      </c>
      <c r="F9" s="350"/>
      <c r="G9" s="350">
        <f t="shared" si="0"/>
        <v>791.66666666666663</v>
      </c>
      <c r="I9" s="352"/>
    </row>
    <row r="10" spans="2:9" x14ac:dyDescent="0.2">
      <c r="B10" s="347" t="s">
        <v>418</v>
      </c>
      <c r="C10" s="347"/>
      <c r="D10" s="354">
        <f>7777.77777777778+277.78</f>
        <v>8055.5577777777798</v>
      </c>
      <c r="E10" s="350">
        <v>23055.555555555555</v>
      </c>
      <c r="F10" s="350"/>
      <c r="G10" s="350">
        <f t="shared" si="0"/>
        <v>23055.555555555555</v>
      </c>
    </row>
    <row r="11" spans="2:9" x14ac:dyDescent="0.2">
      <c r="B11" s="347" t="s">
        <v>419</v>
      </c>
      <c r="C11" s="347"/>
      <c r="D11" s="354">
        <v>2638.8888888888891</v>
      </c>
      <c r="E11" s="350">
        <v>2638.8888888888891</v>
      </c>
      <c r="F11" s="350"/>
      <c r="G11" s="350">
        <f t="shared" si="0"/>
        <v>2638.8888888888891</v>
      </c>
    </row>
    <row r="12" spans="2:9" ht="13.5" thickBot="1" x14ac:dyDescent="0.25">
      <c r="D12" s="351">
        <f t="shared" ref="D12:F12" si="1">SUM(D7:D11)</f>
        <v>11513.894444444446</v>
      </c>
      <c r="E12" s="351">
        <f t="shared" si="1"/>
        <v>41540.90111111111</v>
      </c>
      <c r="F12" s="351">
        <f t="shared" si="1"/>
        <v>-14235.33</v>
      </c>
      <c r="G12" s="351">
        <f>SUM(G7:G11)</f>
        <v>27305.571111111112</v>
      </c>
      <c r="H12">
        <f>+'2021'!C60</f>
        <v>27305.58</v>
      </c>
      <c r="I12" s="352">
        <f>+H12-G12</f>
        <v>8.8888888894871343E-3</v>
      </c>
    </row>
    <row r="13" spans="2:9" ht="13.5" thickTop="1" x14ac:dyDescent="0.2">
      <c r="D13" s="350"/>
      <c r="E13" s="350"/>
      <c r="F13" s="350"/>
      <c r="G13" s="350"/>
    </row>
    <row r="16" spans="2:9" x14ac:dyDescent="0.2">
      <c r="B16" s="353">
        <f>+B3</f>
        <v>44255</v>
      </c>
    </row>
    <row r="17" spans="2:9" x14ac:dyDescent="0.2">
      <c r="B17" s="346" t="s">
        <v>426</v>
      </c>
      <c r="C17" s="346"/>
      <c r="D17" s="348" t="s">
        <v>420</v>
      </c>
      <c r="E17" s="348" t="s">
        <v>420</v>
      </c>
      <c r="G17" s="348" t="s">
        <v>427</v>
      </c>
    </row>
    <row r="18" spans="2:9" x14ac:dyDescent="0.2">
      <c r="D18" s="349" t="s">
        <v>423</v>
      </c>
      <c r="E18" s="349" t="s">
        <v>422</v>
      </c>
      <c r="F18" s="348" t="s">
        <v>424</v>
      </c>
      <c r="G18" s="349"/>
    </row>
    <row r="20" spans="2:9" x14ac:dyDescent="0.2">
      <c r="B20" s="347" t="s">
        <v>415</v>
      </c>
      <c r="C20" s="347"/>
      <c r="D20" s="350">
        <v>591.54929577464782</v>
      </c>
      <c r="E20" s="350">
        <v>1669.0140845070421</v>
      </c>
      <c r="F20" s="350">
        <v>-60000</v>
      </c>
      <c r="G20" s="350">
        <f>+E20+F20</f>
        <v>-58330.985915492958</v>
      </c>
    </row>
    <row r="21" spans="2:9" x14ac:dyDescent="0.2">
      <c r="B21" s="347" t="s">
        <v>416</v>
      </c>
      <c r="C21" s="347"/>
      <c r="D21" s="350">
        <v>528.99329185958106</v>
      </c>
      <c r="E21" s="350">
        <v>1432.9280667620978</v>
      </c>
      <c r="F21" s="350">
        <v>-60000</v>
      </c>
      <c r="G21" s="350">
        <f t="shared" ref="G21:G24" si="2">+E21+F21</f>
        <v>-58567.071933237901</v>
      </c>
    </row>
    <row r="22" spans="2:9" x14ac:dyDescent="0.2">
      <c r="B22" s="347" t="s">
        <v>417</v>
      </c>
      <c r="C22" s="347"/>
      <c r="D22" s="350">
        <v>147.99154334038053</v>
      </c>
      <c r="E22" s="350">
        <v>459.83086680761102</v>
      </c>
      <c r="F22" s="350">
        <v>-15000</v>
      </c>
      <c r="G22" s="350">
        <f t="shared" si="2"/>
        <v>-14540.169133192388</v>
      </c>
      <c r="I22" s="352"/>
    </row>
    <row r="23" spans="2:9" x14ac:dyDescent="0.2">
      <c r="B23" s="347" t="s">
        <v>419</v>
      </c>
      <c r="C23" s="347"/>
      <c r="D23" s="354">
        <v>328.64864864864865</v>
      </c>
      <c r="E23" s="350">
        <v>328.64864864864865</v>
      </c>
      <c r="F23" s="350">
        <v>-38000</v>
      </c>
      <c r="G23" s="350">
        <f t="shared" si="2"/>
        <v>-37671.351351351354</v>
      </c>
    </row>
    <row r="24" spans="2:9" x14ac:dyDescent="0.2">
      <c r="B24" s="347" t="s">
        <v>428</v>
      </c>
      <c r="C24" s="347"/>
      <c r="D24" s="354">
        <v>978.33682739343112</v>
      </c>
      <c r="E24" s="350">
        <v>3529.0006988120194</v>
      </c>
      <c r="F24" s="350">
        <v>-100000</v>
      </c>
      <c r="G24" s="350">
        <f t="shared" si="2"/>
        <v>-96470.999301187985</v>
      </c>
    </row>
    <row r="25" spans="2:9" ht="13.5" thickBot="1" x14ac:dyDescent="0.25">
      <c r="C25" s="351">
        <f>SUM(C20:C24)</f>
        <v>0</v>
      </c>
      <c r="D25" s="351">
        <f>SUM(D20:D24)</f>
        <v>2575.519607016689</v>
      </c>
      <c r="E25" s="351">
        <f>SUM(E20:E24)</f>
        <v>7419.422365537419</v>
      </c>
      <c r="F25" s="351">
        <f>SUM(F20:F24)</f>
        <v>-273000</v>
      </c>
      <c r="G25" s="351">
        <f>SUM(G20:G24)</f>
        <v>-265580.57763446262</v>
      </c>
      <c r="H25">
        <f>+'2021'!C79</f>
        <v>-265580.57</v>
      </c>
      <c r="I25" s="352">
        <f>+H25-G25</f>
        <v>7.6344626140780747E-3</v>
      </c>
    </row>
    <row r="26" spans="2:9" ht="13.5" thickTop="1" x14ac:dyDescent="0.2"/>
    <row r="27" spans="2:9" x14ac:dyDescent="0.2">
      <c r="D27" s="352">
        <f>+D25+D12</f>
        <v>14089.414051461135</v>
      </c>
    </row>
    <row r="28" spans="2:9" x14ac:dyDescent="0.2">
      <c r="D28">
        <f>-'2021'!C112</f>
        <v>14089.42</v>
      </c>
    </row>
    <row r="29" spans="2:9" x14ac:dyDescent="0.2">
      <c r="D29" s="352">
        <f>+D28-D27</f>
        <v>5.9485388646862702E-3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K122"/>
  <sheetViews>
    <sheetView showGridLines="0" zoomScaleSheetLayoutView="100" workbookViewId="0">
      <pane xSplit="1" ySplit="5" topLeftCell="B6" activePane="bottomRight" state="frozen"/>
      <selection pane="topRight" activeCell="B1" sqref="B1"/>
      <selection pane="bottomLeft" activeCell="A6" sqref="A6"/>
      <selection pane="bottomRight" activeCell="K6" sqref="K6"/>
    </sheetView>
  </sheetViews>
  <sheetFormatPr baseColWidth="10" defaultColWidth="11.42578125" defaultRowHeight="14.25" x14ac:dyDescent="0.2"/>
  <cols>
    <col min="1" max="1" width="39.28515625" style="4" customWidth="1"/>
    <col min="2" max="9" width="13.140625" style="4" customWidth="1"/>
    <col min="10" max="10" width="17.42578125" style="3" bestFit="1" customWidth="1"/>
    <col min="11" max="11" width="14.42578125" style="3" bestFit="1" customWidth="1"/>
    <col min="12" max="16384" width="11.42578125" style="3"/>
  </cols>
  <sheetData>
    <row r="1" spans="1:11" ht="15.75" x14ac:dyDescent="0.25">
      <c r="A1" s="69" t="s">
        <v>361</v>
      </c>
      <c r="B1" s="1"/>
      <c r="C1" s="1"/>
      <c r="D1" s="1"/>
      <c r="E1" s="1"/>
      <c r="F1" s="1"/>
      <c r="G1" s="1"/>
      <c r="H1" s="1"/>
      <c r="I1" s="1"/>
    </row>
    <row r="2" spans="1:11" ht="8.25" customHeight="1" x14ac:dyDescent="0.2"/>
    <row r="3" spans="1:11" ht="15" x14ac:dyDescent="0.25">
      <c r="A3" s="5" t="s">
        <v>359</v>
      </c>
      <c r="B3" s="43" t="s">
        <v>132</v>
      </c>
      <c r="C3" s="43" t="s">
        <v>144</v>
      </c>
      <c r="D3" s="43" t="s">
        <v>162</v>
      </c>
      <c r="E3" s="43" t="s">
        <v>169</v>
      </c>
      <c r="F3" s="43" t="s">
        <v>179</v>
      </c>
      <c r="G3" s="43" t="s">
        <v>181</v>
      </c>
      <c r="H3" s="43" t="s">
        <v>188</v>
      </c>
      <c r="I3" s="43" t="s">
        <v>366</v>
      </c>
    </row>
    <row r="4" spans="1:11" ht="6.75" customHeight="1" x14ac:dyDescent="0.2">
      <c r="A4" s="5"/>
      <c r="B4" s="5"/>
      <c r="C4" s="5"/>
      <c r="D4" s="5"/>
      <c r="E4" s="5"/>
      <c r="F4" s="5"/>
      <c r="G4" s="5"/>
      <c r="H4" s="5"/>
      <c r="I4" s="5"/>
    </row>
    <row r="5" spans="1:11" ht="14.25" customHeight="1" x14ac:dyDescent="0.2">
      <c r="A5" s="242" t="e">
        <f>+#REF!</f>
        <v>#REF!</v>
      </c>
      <c r="B5" s="215" t="e">
        <f t="shared" ref="B5:G5" si="0">SUM(B6:B122)</f>
        <v>#REF!</v>
      </c>
      <c r="C5" s="215" t="e">
        <f t="shared" si="0"/>
        <v>#REF!</v>
      </c>
      <c r="D5" s="215" t="e">
        <f t="shared" si="0"/>
        <v>#REF!</v>
      </c>
      <c r="E5" s="215" t="e">
        <f t="shared" si="0"/>
        <v>#REF!</v>
      </c>
      <c r="F5" s="215" t="e">
        <f t="shared" si="0"/>
        <v>#REF!</v>
      </c>
      <c r="G5" s="215" t="e">
        <f t="shared" si="0"/>
        <v>#REF!</v>
      </c>
      <c r="H5" s="215" t="e">
        <f t="shared" ref="H5" si="1">SUM(H6:H122)</f>
        <v>#REF!</v>
      </c>
      <c r="I5" s="215" t="e">
        <f t="shared" ref="I5" si="2">SUM(I6:I122)</f>
        <v>#REF!</v>
      </c>
      <c r="J5" s="258" t="e">
        <f>+'2020'!#REF!</f>
        <v>#REF!</v>
      </c>
      <c r="K5" s="258" t="e">
        <f>+J5-I5</f>
        <v>#REF!</v>
      </c>
    </row>
    <row r="6" spans="1:11" x14ac:dyDescent="0.2">
      <c r="A6" s="216" t="s">
        <v>227</v>
      </c>
      <c r="B6" s="217" t="e">
        <f>+'2020'!#REF!</f>
        <v>#REF!</v>
      </c>
      <c r="C6" s="217" t="e">
        <f>+'2020'!#REF!</f>
        <v>#REF!</v>
      </c>
      <c r="D6" s="217" t="e">
        <f>+'2020'!#REF!</f>
        <v>#REF!</v>
      </c>
      <c r="E6" s="217" t="e">
        <f>+'2020'!#REF!</f>
        <v>#REF!</v>
      </c>
      <c r="F6" s="217" t="e">
        <f>+'2020'!#REF!</f>
        <v>#REF!</v>
      </c>
      <c r="G6" s="217" t="e">
        <f>+'2020'!#REF!</f>
        <v>#REF!</v>
      </c>
      <c r="H6" s="217" t="e">
        <f>+'2020'!#REF!</f>
        <v>#REF!</v>
      </c>
      <c r="I6" s="217" t="e">
        <f>+'2020'!#REF!</f>
        <v>#REF!</v>
      </c>
    </row>
    <row r="7" spans="1:11" x14ac:dyDescent="0.2">
      <c r="A7" s="216" t="s">
        <v>280</v>
      </c>
      <c r="B7" s="217" t="e">
        <f>+'2020'!#REF!</f>
        <v>#REF!</v>
      </c>
      <c r="C7" s="217" t="e">
        <f>+'2020'!#REF!</f>
        <v>#REF!</v>
      </c>
      <c r="D7" s="217" t="e">
        <f>+'2020'!#REF!</f>
        <v>#REF!</v>
      </c>
      <c r="E7" s="217" t="e">
        <f>+'2020'!#REF!</f>
        <v>#REF!</v>
      </c>
      <c r="F7" s="217" t="e">
        <f>+'2020'!#REF!</f>
        <v>#REF!</v>
      </c>
      <c r="G7" s="217" t="e">
        <f>+'2020'!#REF!</f>
        <v>#REF!</v>
      </c>
      <c r="H7" s="217" t="e">
        <f>+'2020'!#REF!</f>
        <v>#REF!</v>
      </c>
      <c r="I7" s="217" t="e">
        <f>+'2020'!#REF!</f>
        <v>#REF!</v>
      </c>
    </row>
    <row r="8" spans="1:11" x14ac:dyDescent="0.2">
      <c r="A8" s="216" t="s">
        <v>287</v>
      </c>
      <c r="B8" s="217" t="e">
        <f>+'2020'!#REF!</f>
        <v>#REF!</v>
      </c>
      <c r="C8" s="217" t="e">
        <f>+'2020'!#REF!</f>
        <v>#REF!</v>
      </c>
      <c r="D8" s="217" t="e">
        <f>+'2020'!#REF!</f>
        <v>#REF!</v>
      </c>
      <c r="E8" s="217" t="e">
        <f>+'2020'!#REF!</f>
        <v>#REF!</v>
      </c>
      <c r="F8" s="217" t="e">
        <f>+'2020'!#REF!</f>
        <v>#REF!</v>
      </c>
      <c r="G8" s="217" t="e">
        <f>+'2020'!#REF!</f>
        <v>#REF!</v>
      </c>
      <c r="H8" s="217" t="e">
        <f>+'2020'!#REF!</f>
        <v>#REF!</v>
      </c>
      <c r="I8" s="217" t="e">
        <f>+'2020'!#REF!</f>
        <v>#REF!</v>
      </c>
    </row>
    <row r="9" spans="1:11" x14ac:dyDescent="0.2">
      <c r="A9" s="216" t="s">
        <v>348</v>
      </c>
      <c r="B9" s="217" t="e">
        <f>+'2020'!#REF!</f>
        <v>#REF!</v>
      </c>
      <c r="C9" s="217" t="e">
        <f>+'2020'!#REF!</f>
        <v>#REF!</v>
      </c>
      <c r="D9" s="217" t="e">
        <f>+'2020'!#REF!</f>
        <v>#REF!</v>
      </c>
      <c r="E9" s="217" t="e">
        <f>+'2020'!#REF!</f>
        <v>#REF!</v>
      </c>
      <c r="F9" s="217" t="e">
        <f>+'2020'!#REF!</f>
        <v>#REF!</v>
      </c>
      <c r="G9" s="217" t="e">
        <f>+'2020'!#REF!</f>
        <v>#REF!</v>
      </c>
      <c r="H9" s="217" t="e">
        <f>+'2020'!#REF!</f>
        <v>#REF!</v>
      </c>
      <c r="I9" s="217" t="e">
        <f>+'2020'!#REF!</f>
        <v>#REF!</v>
      </c>
    </row>
    <row r="10" spans="1:11" x14ac:dyDescent="0.2">
      <c r="A10" s="216" t="s">
        <v>349</v>
      </c>
      <c r="B10" s="217" t="e">
        <f>+'2020'!#REF!</f>
        <v>#REF!</v>
      </c>
      <c r="C10" s="217" t="e">
        <f>+'2020'!#REF!</f>
        <v>#REF!</v>
      </c>
      <c r="D10" s="217" t="e">
        <f>+'2020'!#REF!</f>
        <v>#REF!</v>
      </c>
      <c r="E10" s="217" t="e">
        <f>+'2020'!#REF!</f>
        <v>#REF!</v>
      </c>
      <c r="F10" s="217" t="e">
        <f>+'2020'!#REF!</f>
        <v>#REF!</v>
      </c>
      <c r="G10" s="217" t="e">
        <f>+'2020'!#REF!</f>
        <v>#REF!</v>
      </c>
      <c r="H10" s="217" t="e">
        <f>+'2020'!#REF!</f>
        <v>#REF!</v>
      </c>
      <c r="I10" s="217" t="e">
        <f>+'2020'!#REF!</f>
        <v>#REF!</v>
      </c>
    </row>
    <row r="11" spans="1:11" x14ac:dyDescent="0.2">
      <c r="A11" s="216" t="s">
        <v>350</v>
      </c>
      <c r="B11" s="217" t="e">
        <f>+'2020'!#REF!</f>
        <v>#REF!</v>
      </c>
      <c r="C11" s="217" t="e">
        <f>+'2020'!#REF!</f>
        <v>#REF!</v>
      </c>
      <c r="D11" s="217" t="e">
        <f>+'2020'!#REF!</f>
        <v>#REF!</v>
      </c>
      <c r="E11" s="217" t="e">
        <f>+'2020'!#REF!</f>
        <v>#REF!</v>
      </c>
      <c r="F11" s="217" t="e">
        <f>+'2020'!#REF!</f>
        <v>#REF!</v>
      </c>
      <c r="G11" s="217" t="e">
        <f>+'2020'!#REF!</f>
        <v>#REF!</v>
      </c>
      <c r="H11" s="217" t="e">
        <f>+'2020'!#REF!</f>
        <v>#REF!</v>
      </c>
      <c r="I11" s="217" t="e">
        <f>+'2020'!#REF!</f>
        <v>#REF!</v>
      </c>
    </row>
    <row r="12" spans="1:11" x14ac:dyDescent="0.2">
      <c r="A12" s="216" t="s">
        <v>363</v>
      </c>
      <c r="B12" s="217">
        <v>0</v>
      </c>
      <c r="C12" s="217" t="e">
        <f>+'2020'!#REF!</f>
        <v>#REF!</v>
      </c>
      <c r="D12" s="217" t="e">
        <f>+'2020'!#REF!</f>
        <v>#REF!</v>
      </c>
      <c r="E12" s="217" t="e">
        <f>+'2020'!#REF!</f>
        <v>#REF!</v>
      </c>
      <c r="F12" s="217" t="e">
        <f>+'2020'!#REF!</f>
        <v>#REF!</v>
      </c>
      <c r="G12" s="217" t="e">
        <f>+'2020'!#REF!</f>
        <v>#REF!</v>
      </c>
      <c r="H12" s="217" t="e">
        <f>+'2020'!#REF!</f>
        <v>#REF!</v>
      </c>
      <c r="I12" s="217" t="e">
        <f>+'2020'!#REF!</f>
        <v>#REF!</v>
      </c>
    </row>
    <row r="13" spans="1:11" x14ac:dyDescent="0.2">
      <c r="A13" s="216" t="s">
        <v>107</v>
      </c>
      <c r="B13" s="217" t="e">
        <f>+'2020'!#REF!</f>
        <v>#REF!</v>
      </c>
      <c r="C13" s="217" t="e">
        <f>+'2020'!#REF!</f>
        <v>#REF!</v>
      </c>
      <c r="D13" s="217" t="e">
        <f>+'2020'!#REF!</f>
        <v>#REF!</v>
      </c>
      <c r="E13" s="217" t="e">
        <f>+'2020'!#REF!</f>
        <v>#REF!</v>
      </c>
      <c r="F13" s="217" t="e">
        <f>+'2020'!#REF!</f>
        <v>#REF!</v>
      </c>
      <c r="G13" s="217" t="e">
        <f>+'2020'!#REF!</f>
        <v>#REF!</v>
      </c>
      <c r="H13" s="217" t="e">
        <f>+'2020'!#REF!</f>
        <v>#REF!</v>
      </c>
      <c r="I13" s="217" t="e">
        <f>+'2020'!#REF!</f>
        <v>#REF!</v>
      </c>
    </row>
    <row r="14" spans="1:11" x14ac:dyDescent="0.2">
      <c r="A14" s="216" t="s">
        <v>193</v>
      </c>
      <c r="B14" s="217" t="e">
        <f>+'2020'!#REF!</f>
        <v>#REF!</v>
      </c>
      <c r="C14" s="217" t="e">
        <f>+'2020'!#REF!</f>
        <v>#REF!</v>
      </c>
      <c r="D14" s="217" t="e">
        <f>+'2020'!#REF!</f>
        <v>#REF!</v>
      </c>
      <c r="E14" s="217" t="e">
        <f>+'2020'!#REF!</f>
        <v>#REF!</v>
      </c>
      <c r="F14" s="217" t="e">
        <f>+'2020'!#REF!</f>
        <v>#REF!</v>
      </c>
      <c r="G14" s="217" t="e">
        <f>+'2020'!#REF!</f>
        <v>#REF!</v>
      </c>
      <c r="H14" s="217" t="e">
        <f>+'2020'!#REF!</f>
        <v>#REF!</v>
      </c>
      <c r="I14" s="217" t="e">
        <f>+'2020'!#REF!</f>
        <v>#REF!</v>
      </c>
    </row>
    <row r="15" spans="1:11" x14ac:dyDescent="0.2">
      <c r="A15" s="216" t="s">
        <v>199</v>
      </c>
      <c r="B15" s="217" t="e">
        <f>+'2020'!#REF!</f>
        <v>#REF!</v>
      </c>
      <c r="C15" s="217" t="e">
        <f>+'2020'!#REF!</f>
        <v>#REF!</v>
      </c>
      <c r="D15" s="217" t="e">
        <f>+'2020'!#REF!</f>
        <v>#REF!</v>
      </c>
      <c r="E15" s="217" t="e">
        <f>+'2020'!#REF!</f>
        <v>#REF!</v>
      </c>
      <c r="F15" s="217" t="e">
        <f>+'2020'!#REF!</f>
        <v>#REF!</v>
      </c>
      <c r="G15" s="217" t="e">
        <f>+'2020'!#REF!</f>
        <v>#REF!</v>
      </c>
      <c r="H15" s="217" t="e">
        <f>+'2020'!#REF!</f>
        <v>#REF!</v>
      </c>
      <c r="I15" s="217" t="e">
        <f>+'2020'!#REF!</f>
        <v>#REF!</v>
      </c>
    </row>
    <row r="16" spans="1:11" x14ac:dyDescent="0.2">
      <c r="A16" s="216" t="s">
        <v>242</v>
      </c>
      <c r="B16" s="217" t="e">
        <f>+'2020'!#REF!</f>
        <v>#REF!</v>
      </c>
      <c r="C16" s="217" t="e">
        <f>+'2020'!#REF!</f>
        <v>#REF!</v>
      </c>
      <c r="D16" s="217" t="e">
        <f>+'2020'!#REF!</f>
        <v>#REF!</v>
      </c>
      <c r="E16" s="217" t="e">
        <f>+'2020'!#REF!</f>
        <v>#REF!</v>
      </c>
      <c r="F16" s="217" t="e">
        <f>+'2020'!#REF!</f>
        <v>#REF!</v>
      </c>
      <c r="G16" s="217" t="e">
        <f>+'2020'!#REF!</f>
        <v>#REF!</v>
      </c>
      <c r="H16" s="217" t="e">
        <f>+'2020'!#REF!</f>
        <v>#REF!</v>
      </c>
      <c r="I16" s="217" t="e">
        <f>+'2020'!#REF!</f>
        <v>#REF!</v>
      </c>
    </row>
    <row r="17" spans="1:9" x14ac:dyDescent="0.2">
      <c r="A17" s="216" t="s">
        <v>245</v>
      </c>
      <c r="B17" s="217" t="e">
        <f>+'2020'!#REF!</f>
        <v>#REF!</v>
      </c>
      <c r="C17" s="217" t="e">
        <f>+'2020'!#REF!</f>
        <v>#REF!</v>
      </c>
      <c r="D17" s="217" t="e">
        <f>+'2020'!#REF!</f>
        <v>#REF!</v>
      </c>
      <c r="E17" s="217" t="e">
        <f>+'2020'!#REF!</f>
        <v>#REF!</v>
      </c>
      <c r="F17" s="217" t="e">
        <f>+'2020'!#REF!</f>
        <v>#REF!</v>
      </c>
      <c r="G17" s="217" t="e">
        <f>+'2020'!#REF!</f>
        <v>#REF!</v>
      </c>
      <c r="H17" s="217" t="e">
        <f>+'2020'!#REF!</f>
        <v>#REF!</v>
      </c>
      <c r="I17" s="217" t="e">
        <f>+'2020'!#REF!</f>
        <v>#REF!</v>
      </c>
    </row>
    <row r="18" spans="1:9" x14ac:dyDescent="0.2">
      <c r="A18" s="216" t="s">
        <v>253</v>
      </c>
      <c r="B18" s="217" t="e">
        <f>+'2020'!#REF!</f>
        <v>#REF!</v>
      </c>
      <c r="C18" s="217" t="e">
        <f>+'2020'!#REF!</f>
        <v>#REF!</v>
      </c>
      <c r="D18" s="217" t="e">
        <f>+'2020'!#REF!</f>
        <v>#REF!</v>
      </c>
      <c r="E18" s="217" t="e">
        <f>+'2020'!#REF!</f>
        <v>#REF!</v>
      </c>
      <c r="F18" s="217" t="e">
        <f>+'2020'!#REF!</f>
        <v>#REF!</v>
      </c>
      <c r="G18" s="217" t="e">
        <f>+'2020'!#REF!</f>
        <v>#REF!</v>
      </c>
      <c r="H18" s="217" t="e">
        <f>+'2020'!#REF!</f>
        <v>#REF!</v>
      </c>
      <c r="I18" s="217" t="e">
        <f>+'2020'!#REF!</f>
        <v>#REF!</v>
      </c>
    </row>
    <row r="19" spans="1:9" x14ac:dyDescent="0.2">
      <c r="A19" s="216" t="s">
        <v>256</v>
      </c>
      <c r="B19" s="217" t="e">
        <f>+'2020'!#REF!</f>
        <v>#REF!</v>
      </c>
      <c r="C19" s="217" t="e">
        <f>+'2020'!#REF!</f>
        <v>#REF!</v>
      </c>
      <c r="D19" s="217" t="e">
        <f>+'2020'!#REF!</f>
        <v>#REF!</v>
      </c>
      <c r="E19" s="217" t="e">
        <f>+'2020'!#REF!</f>
        <v>#REF!</v>
      </c>
      <c r="F19" s="217" t="e">
        <f>+'2020'!#REF!</f>
        <v>#REF!</v>
      </c>
      <c r="G19" s="217" t="e">
        <f>+'2020'!#REF!</f>
        <v>#REF!</v>
      </c>
      <c r="H19" s="217" t="e">
        <f>+'2020'!#REF!</f>
        <v>#REF!</v>
      </c>
      <c r="I19" s="217" t="e">
        <f>+'2020'!#REF!</f>
        <v>#REF!</v>
      </c>
    </row>
    <row r="20" spans="1:9" x14ac:dyDescent="0.2">
      <c r="A20" s="216" t="s">
        <v>71</v>
      </c>
      <c r="B20" s="217" t="e">
        <f>+'2020'!#REF!</f>
        <v>#REF!</v>
      </c>
      <c r="C20" s="217" t="e">
        <f>+'2020'!#REF!</f>
        <v>#REF!</v>
      </c>
      <c r="D20" s="217" t="e">
        <f>+'2020'!#REF!</f>
        <v>#REF!</v>
      </c>
      <c r="E20" s="217" t="e">
        <f>+'2020'!#REF!</f>
        <v>#REF!</v>
      </c>
      <c r="F20" s="217" t="e">
        <f>+'2020'!#REF!</f>
        <v>#REF!</v>
      </c>
      <c r="G20" s="217" t="e">
        <f>+'2020'!#REF!</f>
        <v>#REF!</v>
      </c>
      <c r="H20" s="217" t="e">
        <f>+'2020'!#REF!</f>
        <v>#REF!</v>
      </c>
      <c r="I20" s="217" t="e">
        <f>+'2020'!#REF!</f>
        <v>#REF!</v>
      </c>
    </row>
    <row r="21" spans="1:9" x14ac:dyDescent="0.2">
      <c r="A21" s="216" t="s">
        <v>266</v>
      </c>
      <c r="B21" s="217" t="e">
        <f>+'2020'!#REF!</f>
        <v>#REF!</v>
      </c>
      <c r="C21" s="217" t="e">
        <f>+'2020'!#REF!</f>
        <v>#REF!</v>
      </c>
      <c r="D21" s="217" t="e">
        <f>+'2020'!#REF!</f>
        <v>#REF!</v>
      </c>
      <c r="E21" s="217" t="e">
        <f>+'2020'!#REF!</f>
        <v>#REF!</v>
      </c>
      <c r="F21" s="217" t="e">
        <f>+'2020'!#REF!</f>
        <v>#REF!</v>
      </c>
      <c r="G21" s="217" t="e">
        <f>+'2020'!#REF!</f>
        <v>#REF!</v>
      </c>
      <c r="H21" s="217" t="e">
        <f>+'2020'!#REF!</f>
        <v>#REF!</v>
      </c>
      <c r="I21" s="217" t="e">
        <f>+'2020'!#REF!</f>
        <v>#REF!</v>
      </c>
    </row>
    <row r="22" spans="1:9" x14ac:dyDescent="0.2">
      <c r="A22" s="216" t="s">
        <v>267</v>
      </c>
      <c r="B22" s="217" t="e">
        <f>+'2020'!#REF!</f>
        <v>#REF!</v>
      </c>
      <c r="C22" s="217" t="e">
        <f>+'2020'!#REF!</f>
        <v>#REF!</v>
      </c>
      <c r="D22" s="217" t="e">
        <f>+'2020'!#REF!</f>
        <v>#REF!</v>
      </c>
      <c r="E22" s="217" t="e">
        <f>+'2020'!#REF!</f>
        <v>#REF!</v>
      </c>
      <c r="F22" s="217" t="e">
        <f>+'2020'!#REF!</f>
        <v>#REF!</v>
      </c>
      <c r="G22" s="217" t="e">
        <f>+'2020'!#REF!</f>
        <v>#REF!</v>
      </c>
      <c r="H22" s="217" t="e">
        <f>+'2020'!#REF!</f>
        <v>#REF!</v>
      </c>
      <c r="I22" s="217" t="e">
        <f>+'2020'!#REF!</f>
        <v>#REF!</v>
      </c>
    </row>
    <row r="23" spans="1:9" x14ac:dyDescent="0.2">
      <c r="A23" s="216" t="s">
        <v>273</v>
      </c>
      <c r="B23" s="217" t="e">
        <f>+'2020'!#REF!</f>
        <v>#REF!</v>
      </c>
      <c r="C23" s="217" t="e">
        <f>+'2020'!#REF!</f>
        <v>#REF!</v>
      </c>
      <c r="D23" s="217" t="e">
        <f>+'2020'!#REF!</f>
        <v>#REF!</v>
      </c>
      <c r="E23" s="217" t="e">
        <f>+'2020'!#REF!</f>
        <v>#REF!</v>
      </c>
      <c r="F23" s="217" t="e">
        <f>+'2020'!#REF!</f>
        <v>#REF!</v>
      </c>
      <c r="G23" s="217" t="e">
        <f>+'2020'!#REF!</f>
        <v>#REF!</v>
      </c>
      <c r="H23" s="217" t="e">
        <f>+'2020'!#REF!</f>
        <v>#REF!</v>
      </c>
      <c r="I23" s="217" t="e">
        <f>+'2020'!#REF!</f>
        <v>#REF!</v>
      </c>
    </row>
    <row r="24" spans="1:9" x14ac:dyDescent="0.2">
      <c r="A24" s="216" t="s">
        <v>274</v>
      </c>
      <c r="B24" s="217" t="e">
        <f>+'2020'!#REF!</f>
        <v>#REF!</v>
      </c>
      <c r="C24" s="217" t="e">
        <f>+'2020'!#REF!</f>
        <v>#REF!</v>
      </c>
      <c r="D24" s="217" t="e">
        <f>+'2020'!#REF!</f>
        <v>#REF!</v>
      </c>
      <c r="E24" s="217" t="e">
        <f>+'2020'!#REF!</f>
        <v>#REF!</v>
      </c>
      <c r="F24" s="217" t="e">
        <f>+'2020'!#REF!</f>
        <v>#REF!</v>
      </c>
      <c r="G24" s="217" t="e">
        <f>+'2020'!#REF!</f>
        <v>#REF!</v>
      </c>
      <c r="H24" s="217" t="e">
        <f>+'2020'!#REF!</f>
        <v>#REF!</v>
      </c>
      <c r="I24" s="217" t="e">
        <f>+'2020'!#REF!</f>
        <v>#REF!</v>
      </c>
    </row>
    <row r="25" spans="1:9" x14ac:dyDescent="0.2">
      <c r="A25" s="216" t="s">
        <v>292</v>
      </c>
      <c r="B25" s="217" t="e">
        <f>+'2020'!#REF!</f>
        <v>#REF!</v>
      </c>
      <c r="C25" s="217" t="e">
        <f>+'2020'!#REF!</f>
        <v>#REF!</v>
      </c>
      <c r="D25" s="217" t="e">
        <f>+'2020'!#REF!</f>
        <v>#REF!</v>
      </c>
      <c r="E25" s="217" t="e">
        <f>+'2020'!#REF!</f>
        <v>#REF!</v>
      </c>
      <c r="F25" s="217" t="e">
        <f>+'2020'!#REF!</f>
        <v>#REF!</v>
      </c>
      <c r="G25" s="217" t="e">
        <f>+'2020'!#REF!</f>
        <v>#REF!</v>
      </c>
      <c r="H25" s="217" t="e">
        <f>+'2020'!#REF!</f>
        <v>#REF!</v>
      </c>
      <c r="I25" s="217" t="e">
        <f>+'2020'!#REF!</f>
        <v>#REF!</v>
      </c>
    </row>
    <row r="26" spans="1:9" x14ac:dyDescent="0.2">
      <c r="A26" s="216" t="s">
        <v>296</v>
      </c>
      <c r="B26" s="217" t="e">
        <f>+'2020'!#REF!</f>
        <v>#REF!</v>
      </c>
      <c r="C26" s="217" t="e">
        <f>+'2020'!#REF!</f>
        <v>#REF!</v>
      </c>
      <c r="D26" s="217" t="e">
        <f>+'2020'!#REF!</f>
        <v>#REF!</v>
      </c>
      <c r="E26" s="217" t="e">
        <f>+'2020'!#REF!</f>
        <v>#REF!</v>
      </c>
      <c r="F26" s="217" t="e">
        <f>+'2020'!#REF!</f>
        <v>#REF!</v>
      </c>
      <c r="G26" s="217" t="e">
        <f>+'2020'!#REF!</f>
        <v>#REF!</v>
      </c>
      <c r="H26" s="217" t="e">
        <f>+'2020'!#REF!</f>
        <v>#REF!</v>
      </c>
      <c r="I26" s="217" t="e">
        <f>+'2020'!#REF!</f>
        <v>#REF!</v>
      </c>
    </row>
    <row r="27" spans="1:9" x14ac:dyDescent="0.2">
      <c r="A27" s="216" t="s">
        <v>303</v>
      </c>
      <c r="B27" s="217" t="e">
        <f>+'2020'!#REF!</f>
        <v>#REF!</v>
      </c>
      <c r="C27" s="217" t="e">
        <f>+'2020'!#REF!</f>
        <v>#REF!</v>
      </c>
      <c r="D27" s="217" t="e">
        <f>+'2020'!#REF!</f>
        <v>#REF!</v>
      </c>
      <c r="E27" s="217" t="e">
        <f>+'2020'!#REF!</f>
        <v>#REF!</v>
      </c>
      <c r="F27" s="217" t="e">
        <f>+'2020'!#REF!</f>
        <v>#REF!</v>
      </c>
      <c r="G27" s="217" t="e">
        <f>+'2020'!#REF!</f>
        <v>#REF!</v>
      </c>
      <c r="H27" s="217" t="e">
        <f>+'2020'!#REF!</f>
        <v>#REF!</v>
      </c>
      <c r="I27" s="217" t="e">
        <f>+'2020'!#REF!</f>
        <v>#REF!</v>
      </c>
    </row>
    <row r="28" spans="1:9" x14ac:dyDescent="0.2">
      <c r="A28" s="216" t="s">
        <v>315</v>
      </c>
      <c r="B28" s="217" t="e">
        <f>+'2020'!#REF!</f>
        <v>#REF!</v>
      </c>
      <c r="C28" s="217" t="e">
        <f>+'2020'!#REF!</f>
        <v>#REF!</v>
      </c>
      <c r="D28" s="217" t="e">
        <f>+'2020'!#REF!</f>
        <v>#REF!</v>
      </c>
      <c r="E28" s="217" t="e">
        <f>+'2020'!#REF!</f>
        <v>#REF!</v>
      </c>
      <c r="F28" s="217" t="e">
        <f>+'2020'!#REF!</f>
        <v>#REF!</v>
      </c>
      <c r="G28" s="217" t="e">
        <f>+'2020'!#REF!</f>
        <v>#REF!</v>
      </c>
      <c r="H28" s="217" t="e">
        <f>+'2020'!#REF!</f>
        <v>#REF!</v>
      </c>
      <c r="I28" s="217" t="e">
        <f>+'2020'!#REF!</f>
        <v>#REF!</v>
      </c>
    </row>
    <row r="29" spans="1:9" x14ac:dyDescent="0.2">
      <c r="A29" s="216" t="s">
        <v>323</v>
      </c>
      <c r="B29" s="217" t="e">
        <f>+'2020'!#REF!</f>
        <v>#REF!</v>
      </c>
      <c r="C29" s="217" t="e">
        <f>+'2020'!#REF!</f>
        <v>#REF!</v>
      </c>
      <c r="D29" s="217" t="e">
        <f>+'2020'!#REF!</f>
        <v>#REF!</v>
      </c>
      <c r="E29" s="217" t="e">
        <f>+'2020'!#REF!</f>
        <v>#REF!</v>
      </c>
      <c r="F29" s="217" t="e">
        <f>+'2020'!#REF!</f>
        <v>#REF!</v>
      </c>
      <c r="G29" s="217" t="e">
        <f>+'2020'!#REF!</f>
        <v>#REF!</v>
      </c>
      <c r="H29" s="217" t="e">
        <f>+'2020'!#REF!</f>
        <v>#REF!</v>
      </c>
      <c r="I29" s="217" t="e">
        <f>+'2020'!#REF!</f>
        <v>#REF!</v>
      </c>
    </row>
    <row r="30" spans="1:9" x14ac:dyDescent="0.2">
      <c r="A30" s="216" t="s">
        <v>339</v>
      </c>
      <c r="B30" s="217" t="e">
        <f>+'2020'!#REF!</f>
        <v>#REF!</v>
      </c>
      <c r="C30" s="217" t="e">
        <f>+'2020'!#REF!</f>
        <v>#REF!</v>
      </c>
      <c r="D30" s="217" t="e">
        <f>+'2020'!#REF!</f>
        <v>#REF!</v>
      </c>
      <c r="E30" s="217" t="e">
        <f>+'2020'!#REF!</f>
        <v>#REF!</v>
      </c>
      <c r="F30" s="217" t="e">
        <f>+'2020'!#REF!</f>
        <v>#REF!</v>
      </c>
      <c r="G30" s="217" t="e">
        <f>+'2020'!#REF!</f>
        <v>#REF!</v>
      </c>
      <c r="H30" s="217" t="e">
        <f>+'2020'!#REF!</f>
        <v>#REF!</v>
      </c>
      <c r="I30" s="217" t="e">
        <f>+'2020'!#REF!</f>
        <v>#REF!</v>
      </c>
    </row>
    <row r="31" spans="1:9" x14ac:dyDescent="0.2">
      <c r="A31" s="216" t="s">
        <v>326</v>
      </c>
      <c r="B31" s="217" t="e">
        <f>+'2020'!#REF!</f>
        <v>#REF!</v>
      </c>
      <c r="C31" s="217" t="e">
        <f>+'2020'!#REF!</f>
        <v>#REF!</v>
      </c>
      <c r="D31" s="217" t="e">
        <f>+'2020'!#REF!</f>
        <v>#REF!</v>
      </c>
      <c r="E31" s="217" t="e">
        <f>+'2020'!#REF!</f>
        <v>#REF!</v>
      </c>
      <c r="F31" s="217" t="e">
        <f>+'2020'!#REF!</f>
        <v>#REF!</v>
      </c>
      <c r="G31" s="217" t="e">
        <f>+'2020'!#REF!</f>
        <v>#REF!</v>
      </c>
      <c r="H31" s="217" t="e">
        <f>+'2020'!#REF!</f>
        <v>#REF!</v>
      </c>
      <c r="I31" s="217" t="e">
        <f>+'2020'!#REF!</f>
        <v>#REF!</v>
      </c>
    </row>
    <row r="32" spans="1:9" x14ac:dyDescent="0.2">
      <c r="A32" s="216" t="s">
        <v>343</v>
      </c>
      <c r="B32" s="217" t="e">
        <f>+'2020'!#REF!</f>
        <v>#REF!</v>
      </c>
      <c r="C32" s="217" t="e">
        <f>+'2020'!#REF!</f>
        <v>#REF!</v>
      </c>
      <c r="D32" s="217" t="e">
        <f>+'2020'!#REF!</f>
        <v>#REF!</v>
      </c>
      <c r="E32" s="217" t="e">
        <f>+'2020'!#REF!</f>
        <v>#REF!</v>
      </c>
      <c r="F32" s="217" t="e">
        <f>+'2020'!#REF!</f>
        <v>#REF!</v>
      </c>
      <c r="G32" s="217" t="e">
        <f>+'2020'!#REF!</f>
        <v>#REF!</v>
      </c>
      <c r="H32" s="217" t="e">
        <f>+'2020'!#REF!</f>
        <v>#REF!</v>
      </c>
      <c r="I32" s="217" t="e">
        <f>+'2020'!#REF!</f>
        <v>#REF!</v>
      </c>
    </row>
    <row r="33" spans="1:9" x14ac:dyDescent="0.2">
      <c r="A33" s="216" t="s">
        <v>352</v>
      </c>
      <c r="B33" s="217" t="e">
        <f>+'2020'!#REF!</f>
        <v>#REF!</v>
      </c>
      <c r="C33" s="217" t="e">
        <f>+'2020'!#REF!</f>
        <v>#REF!</v>
      </c>
      <c r="D33" s="217" t="e">
        <f>+'2020'!#REF!</f>
        <v>#REF!</v>
      </c>
      <c r="E33" s="217" t="e">
        <f>+'2020'!#REF!</f>
        <v>#REF!</v>
      </c>
      <c r="F33" s="217" t="e">
        <f>+'2020'!#REF!</f>
        <v>#REF!</v>
      </c>
      <c r="G33" s="217" t="e">
        <f>+'2020'!#REF!</f>
        <v>#REF!</v>
      </c>
      <c r="H33" s="217" t="e">
        <f>+'2020'!#REF!</f>
        <v>#REF!</v>
      </c>
      <c r="I33" s="217" t="e">
        <f>+'2020'!#REF!</f>
        <v>#REF!</v>
      </c>
    </row>
    <row r="34" spans="1:9" x14ac:dyDescent="0.2">
      <c r="A34" s="216" t="s">
        <v>240</v>
      </c>
      <c r="B34" s="217" t="e">
        <f>+'2020'!#REF!</f>
        <v>#REF!</v>
      </c>
      <c r="C34" s="217" t="e">
        <f>+'2020'!#REF!</f>
        <v>#REF!</v>
      </c>
      <c r="D34" s="217" t="e">
        <f>+'2020'!#REF!</f>
        <v>#REF!</v>
      </c>
      <c r="E34" s="217" t="e">
        <f>+'2020'!#REF!</f>
        <v>#REF!</v>
      </c>
      <c r="F34" s="217" t="e">
        <f>+'2020'!#REF!</f>
        <v>#REF!</v>
      </c>
      <c r="G34" s="217" t="e">
        <f>+'2020'!#REF!</f>
        <v>#REF!</v>
      </c>
      <c r="H34" s="217" t="e">
        <f>+'2020'!#REF!</f>
        <v>#REF!</v>
      </c>
      <c r="I34" s="217" t="e">
        <f>+'2020'!#REF!</f>
        <v>#REF!</v>
      </c>
    </row>
    <row r="35" spans="1:9" x14ac:dyDescent="0.2">
      <c r="A35" s="216" t="s">
        <v>247</v>
      </c>
      <c r="B35" s="217" t="e">
        <f>+'2020'!#REF!</f>
        <v>#REF!</v>
      </c>
      <c r="C35" s="217" t="e">
        <f>+'2020'!#REF!</f>
        <v>#REF!</v>
      </c>
      <c r="D35" s="217" t="e">
        <f>+'2020'!#REF!</f>
        <v>#REF!</v>
      </c>
      <c r="E35" s="217" t="e">
        <f>+'2020'!#REF!</f>
        <v>#REF!</v>
      </c>
      <c r="F35" s="217" t="e">
        <f>+'2020'!#REF!</f>
        <v>#REF!</v>
      </c>
      <c r="G35" s="217" t="e">
        <f>+'2020'!#REF!</f>
        <v>#REF!</v>
      </c>
      <c r="H35" s="217" t="e">
        <f>+'2020'!#REF!</f>
        <v>#REF!</v>
      </c>
      <c r="I35" s="217" t="e">
        <f>+'2020'!#REF!</f>
        <v>#REF!</v>
      </c>
    </row>
    <row r="36" spans="1:9" x14ac:dyDescent="0.2">
      <c r="A36" s="216" t="s">
        <v>248</v>
      </c>
      <c r="B36" s="217" t="e">
        <f>+'2020'!#REF!</f>
        <v>#REF!</v>
      </c>
      <c r="C36" s="217" t="e">
        <f>+'2020'!#REF!</f>
        <v>#REF!</v>
      </c>
      <c r="D36" s="217" t="e">
        <f>+'2020'!#REF!</f>
        <v>#REF!</v>
      </c>
      <c r="E36" s="217" t="e">
        <f>+'2020'!#REF!</f>
        <v>#REF!</v>
      </c>
      <c r="F36" s="217" t="e">
        <f>+'2020'!#REF!</f>
        <v>#REF!</v>
      </c>
      <c r="G36" s="217" t="e">
        <f>+'2020'!#REF!</f>
        <v>#REF!</v>
      </c>
      <c r="H36" s="217" t="e">
        <f>+'2020'!#REF!</f>
        <v>#REF!</v>
      </c>
      <c r="I36" s="217" t="e">
        <f>+'2020'!#REF!</f>
        <v>#REF!</v>
      </c>
    </row>
    <row r="37" spans="1:9" x14ac:dyDescent="0.2">
      <c r="A37" s="216" t="s">
        <v>254</v>
      </c>
      <c r="B37" s="217" t="e">
        <f>+'2020'!#REF!</f>
        <v>#REF!</v>
      </c>
      <c r="C37" s="217" t="e">
        <f>+'2020'!#REF!</f>
        <v>#REF!</v>
      </c>
      <c r="D37" s="217" t="e">
        <f>+'2020'!#REF!</f>
        <v>#REF!</v>
      </c>
      <c r="E37" s="217" t="e">
        <f>+'2020'!#REF!</f>
        <v>#REF!</v>
      </c>
      <c r="F37" s="217" t="e">
        <f>+'2020'!#REF!</f>
        <v>#REF!</v>
      </c>
      <c r="G37" s="217" t="e">
        <f>+'2020'!#REF!</f>
        <v>#REF!</v>
      </c>
      <c r="H37" s="217" t="e">
        <f>+'2020'!#REF!</f>
        <v>#REF!</v>
      </c>
      <c r="I37" s="217" t="e">
        <f>+'2020'!#REF!</f>
        <v>#REF!</v>
      </c>
    </row>
    <row r="38" spans="1:9" x14ac:dyDescent="0.2">
      <c r="A38" s="216" t="s">
        <v>263</v>
      </c>
      <c r="B38" s="217" t="e">
        <f>+'2020'!#REF!</f>
        <v>#REF!</v>
      </c>
      <c r="C38" s="217" t="e">
        <f>+'2020'!#REF!</f>
        <v>#REF!</v>
      </c>
      <c r="D38" s="217" t="e">
        <f>+'2020'!#REF!</f>
        <v>#REF!</v>
      </c>
      <c r="E38" s="217" t="e">
        <f>+'2020'!#REF!</f>
        <v>#REF!</v>
      </c>
      <c r="F38" s="217" t="e">
        <f>+'2020'!#REF!</f>
        <v>#REF!</v>
      </c>
      <c r="G38" s="217" t="e">
        <f>+'2020'!#REF!</f>
        <v>#REF!</v>
      </c>
      <c r="H38" s="217" t="e">
        <f>+'2020'!#REF!</f>
        <v>#REF!</v>
      </c>
      <c r="I38" s="217" t="e">
        <f>+'2020'!#REF!</f>
        <v>#REF!</v>
      </c>
    </row>
    <row r="39" spans="1:9" x14ac:dyDescent="0.2">
      <c r="A39" s="216" t="s">
        <v>272</v>
      </c>
      <c r="B39" s="217" t="e">
        <f>+'2020'!#REF!</f>
        <v>#REF!</v>
      </c>
      <c r="C39" s="217" t="e">
        <f>+'2020'!#REF!</f>
        <v>#REF!</v>
      </c>
      <c r="D39" s="217" t="e">
        <f>+'2020'!#REF!</f>
        <v>#REF!</v>
      </c>
      <c r="E39" s="217" t="e">
        <f>+'2020'!#REF!</f>
        <v>#REF!</v>
      </c>
      <c r="F39" s="217" t="e">
        <f>+'2020'!#REF!</f>
        <v>#REF!</v>
      </c>
      <c r="G39" s="217" t="e">
        <f>+'2020'!#REF!</f>
        <v>#REF!</v>
      </c>
      <c r="H39" s="217" t="e">
        <f>+'2020'!#REF!</f>
        <v>#REF!</v>
      </c>
      <c r="I39" s="217" t="e">
        <f>+'2020'!#REF!</f>
        <v>#REF!</v>
      </c>
    </row>
    <row r="40" spans="1:9" x14ac:dyDescent="0.2">
      <c r="A40" s="216" t="s">
        <v>299</v>
      </c>
      <c r="B40" s="217" t="e">
        <f>+'2020'!#REF!</f>
        <v>#REF!</v>
      </c>
      <c r="C40" s="217" t="e">
        <f>+'2020'!#REF!</f>
        <v>#REF!</v>
      </c>
      <c r="D40" s="217" t="e">
        <f>+'2020'!#REF!</f>
        <v>#REF!</v>
      </c>
      <c r="E40" s="217" t="e">
        <f>+'2020'!#REF!</f>
        <v>#REF!</v>
      </c>
      <c r="F40" s="217" t="e">
        <f>+'2020'!#REF!</f>
        <v>#REF!</v>
      </c>
      <c r="G40" s="217" t="e">
        <f>+'2020'!#REF!</f>
        <v>#REF!</v>
      </c>
      <c r="H40" s="217" t="e">
        <f>+'2020'!#REF!</f>
        <v>#REF!</v>
      </c>
      <c r="I40" s="217" t="e">
        <f>+'2020'!#REF!</f>
        <v>#REF!</v>
      </c>
    </row>
    <row r="41" spans="1:9" x14ac:dyDescent="0.2">
      <c r="A41" s="216" t="s">
        <v>336</v>
      </c>
      <c r="B41" s="217" t="e">
        <f>+'2020'!#REF!</f>
        <v>#REF!</v>
      </c>
      <c r="C41" s="217" t="e">
        <f>+'2020'!#REF!</f>
        <v>#REF!</v>
      </c>
      <c r="D41" s="217" t="e">
        <f>+'2020'!#REF!</f>
        <v>#REF!</v>
      </c>
      <c r="E41" s="217" t="e">
        <f>+'2020'!#REF!</f>
        <v>#REF!</v>
      </c>
      <c r="F41" s="217" t="e">
        <f>+'2020'!#REF!</f>
        <v>#REF!</v>
      </c>
      <c r="G41" s="217" t="e">
        <f>+'2020'!#REF!</f>
        <v>#REF!</v>
      </c>
      <c r="H41" s="217" t="e">
        <f>+'2020'!#REF!</f>
        <v>#REF!</v>
      </c>
      <c r="I41" s="217" t="e">
        <f>+'2020'!#REF!</f>
        <v>#REF!</v>
      </c>
    </row>
    <row r="42" spans="1:9" x14ac:dyDescent="0.2">
      <c r="A42" s="216" t="s">
        <v>344</v>
      </c>
      <c r="B42" s="217" t="e">
        <f>+'2020'!#REF!</f>
        <v>#REF!</v>
      </c>
      <c r="C42" s="217" t="e">
        <f>+'2020'!#REF!</f>
        <v>#REF!</v>
      </c>
      <c r="D42" s="217" t="e">
        <f>+'2020'!#REF!</f>
        <v>#REF!</v>
      </c>
      <c r="E42" s="217" t="e">
        <f>+'2020'!#REF!</f>
        <v>#REF!</v>
      </c>
      <c r="F42" s="217" t="e">
        <f>+'2020'!#REF!</f>
        <v>#REF!</v>
      </c>
      <c r="G42" s="217" t="e">
        <f>+'2020'!#REF!</f>
        <v>#REF!</v>
      </c>
      <c r="H42" s="217" t="e">
        <f>+'2020'!#REF!</f>
        <v>#REF!</v>
      </c>
      <c r="I42" s="217" t="e">
        <f>+'2020'!#REF!</f>
        <v>#REF!</v>
      </c>
    </row>
    <row r="43" spans="1:9" x14ac:dyDescent="0.2">
      <c r="A43" s="216" t="s">
        <v>255</v>
      </c>
      <c r="B43" s="217" t="e">
        <f>+'2020'!#REF!</f>
        <v>#REF!</v>
      </c>
      <c r="C43" s="217" t="e">
        <f>+'2020'!#REF!</f>
        <v>#REF!</v>
      </c>
      <c r="D43" s="217" t="e">
        <f>+'2020'!#REF!</f>
        <v>#REF!</v>
      </c>
      <c r="E43" s="217" t="e">
        <f>+'2020'!#REF!</f>
        <v>#REF!</v>
      </c>
      <c r="F43" s="217" t="e">
        <f>+'2020'!#REF!</f>
        <v>#REF!</v>
      </c>
      <c r="G43" s="217" t="e">
        <f>+'2020'!#REF!</f>
        <v>#REF!</v>
      </c>
      <c r="H43" s="217" t="e">
        <f>+'2020'!#REF!</f>
        <v>#REF!</v>
      </c>
      <c r="I43" s="217" t="e">
        <f>+'2020'!#REF!</f>
        <v>#REF!</v>
      </c>
    </row>
    <row r="44" spans="1:9" x14ac:dyDescent="0.2">
      <c r="A44" s="216" t="s">
        <v>271</v>
      </c>
      <c r="B44" s="217" t="e">
        <f>+'2020'!#REF!</f>
        <v>#REF!</v>
      </c>
      <c r="C44" s="217" t="e">
        <f>+'2020'!#REF!</f>
        <v>#REF!</v>
      </c>
      <c r="D44" s="217" t="e">
        <f>+'2020'!#REF!</f>
        <v>#REF!</v>
      </c>
      <c r="E44" s="217" t="e">
        <f>+'2020'!#REF!</f>
        <v>#REF!</v>
      </c>
      <c r="F44" s="217" t="e">
        <f>+'2020'!#REF!</f>
        <v>#REF!</v>
      </c>
      <c r="G44" s="217" t="e">
        <f>+'2020'!#REF!</f>
        <v>#REF!</v>
      </c>
      <c r="H44" s="217" t="e">
        <f>+'2020'!#REF!</f>
        <v>#REF!</v>
      </c>
      <c r="I44" s="217" t="e">
        <f>+'2020'!#REF!</f>
        <v>#REF!</v>
      </c>
    </row>
    <row r="45" spans="1:9" x14ac:dyDescent="0.2">
      <c r="A45" s="216" t="s">
        <v>275</v>
      </c>
      <c r="B45" s="217" t="e">
        <f>+'2020'!#REF!</f>
        <v>#REF!</v>
      </c>
      <c r="C45" s="217" t="e">
        <f>+'2020'!#REF!</f>
        <v>#REF!</v>
      </c>
      <c r="D45" s="217" t="e">
        <f>+'2020'!#REF!</f>
        <v>#REF!</v>
      </c>
      <c r="E45" s="217" t="e">
        <f>+'2020'!#REF!</f>
        <v>#REF!</v>
      </c>
      <c r="F45" s="217" t="e">
        <f>+'2020'!#REF!</f>
        <v>#REF!</v>
      </c>
      <c r="G45" s="217" t="e">
        <f>+'2020'!#REF!</f>
        <v>#REF!</v>
      </c>
      <c r="H45" s="217" t="e">
        <f>+'2020'!#REF!</f>
        <v>#REF!</v>
      </c>
      <c r="I45" s="217" t="e">
        <f>+'2020'!#REF!</f>
        <v>#REF!</v>
      </c>
    </row>
    <row r="46" spans="1:9" x14ac:dyDescent="0.2">
      <c r="A46" s="216" t="s">
        <v>290</v>
      </c>
      <c r="B46" s="217" t="e">
        <f>+'2020'!#REF!</f>
        <v>#REF!</v>
      </c>
      <c r="C46" s="217" t="e">
        <f>+'2020'!#REF!</f>
        <v>#REF!</v>
      </c>
      <c r="D46" s="217" t="e">
        <f>+'2020'!#REF!</f>
        <v>#REF!</v>
      </c>
      <c r="E46" s="217" t="e">
        <f>+'2020'!#REF!</f>
        <v>#REF!</v>
      </c>
      <c r="F46" s="217" t="e">
        <f>+'2020'!#REF!</f>
        <v>#REF!</v>
      </c>
      <c r="G46" s="217" t="e">
        <f>+'2020'!#REF!</f>
        <v>#REF!</v>
      </c>
      <c r="H46" s="217" t="e">
        <f>+'2020'!#REF!</f>
        <v>#REF!</v>
      </c>
      <c r="I46" s="217" t="e">
        <f>+'2020'!#REF!</f>
        <v>#REF!</v>
      </c>
    </row>
    <row r="47" spans="1:9" x14ac:dyDescent="0.2">
      <c r="A47" s="216" t="s">
        <v>295</v>
      </c>
      <c r="B47" s="217" t="e">
        <f>+'2020'!#REF!</f>
        <v>#REF!</v>
      </c>
      <c r="C47" s="217" t="e">
        <f>+'2020'!#REF!</f>
        <v>#REF!</v>
      </c>
      <c r="D47" s="217" t="e">
        <f>+'2020'!#REF!</f>
        <v>#REF!</v>
      </c>
      <c r="E47" s="217" t="e">
        <f>+'2020'!#REF!</f>
        <v>#REF!</v>
      </c>
      <c r="F47" s="217" t="e">
        <f>+'2020'!#REF!</f>
        <v>#REF!</v>
      </c>
      <c r="G47" s="217" t="e">
        <f>+'2020'!#REF!</f>
        <v>#REF!</v>
      </c>
      <c r="H47" s="217" t="e">
        <f>+'2020'!#REF!</f>
        <v>#REF!</v>
      </c>
      <c r="I47" s="217" t="e">
        <f>+'2020'!#REF!</f>
        <v>#REF!</v>
      </c>
    </row>
    <row r="48" spans="1:9" x14ac:dyDescent="0.2">
      <c r="A48" s="216" t="s">
        <v>308</v>
      </c>
      <c r="B48" s="217" t="e">
        <f>+'2020'!#REF!</f>
        <v>#REF!</v>
      </c>
      <c r="C48" s="217" t="e">
        <f>+'2020'!#REF!</f>
        <v>#REF!</v>
      </c>
      <c r="D48" s="217" t="e">
        <f>+'2020'!#REF!</f>
        <v>#REF!</v>
      </c>
      <c r="E48" s="217" t="e">
        <f>+'2020'!#REF!</f>
        <v>#REF!</v>
      </c>
      <c r="F48" s="217" t="e">
        <f>+'2020'!#REF!</f>
        <v>#REF!</v>
      </c>
      <c r="G48" s="217" t="e">
        <f>+'2020'!#REF!</f>
        <v>#REF!</v>
      </c>
      <c r="H48" s="217" t="e">
        <f>+'2020'!#REF!</f>
        <v>#REF!</v>
      </c>
      <c r="I48" s="217" t="e">
        <f>+'2020'!#REF!</f>
        <v>#REF!</v>
      </c>
    </row>
    <row r="49" spans="1:9" x14ac:dyDescent="0.2">
      <c r="A49" s="216" t="s">
        <v>311</v>
      </c>
      <c r="B49" s="217" t="e">
        <f>+'2020'!#REF!</f>
        <v>#REF!</v>
      </c>
      <c r="C49" s="217" t="e">
        <f>+'2020'!#REF!</f>
        <v>#REF!</v>
      </c>
      <c r="D49" s="217" t="e">
        <f>+'2020'!#REF!</f>
        <v>#REF!</v>
      </c>
      <c r="E49" s="217" t="e">
        <f>+'2020'!#REF!</f>
        <v>#REF!</v>
      </c>
      <c r="F49" s="217" t="e">
        <f>+'2020'!#REF!</f>
        <v>#REF!</v>
      </c>
      <c r="G49" s="217" t="e">
        <f>+'2020'!#REF!</f>
        <v>#REF!</v>
      </c>
      <c r="H49" s="217" t="e">
        <f>+'2020'!#REF!</f>
        <v>#REF!</v>
      </c>
      <c r="I49" s="217" t="e">
        <f>+'2020'!#REF!</f>
        <v>#REF!</v>
      </c>
    </row>
    <row r="50" spans="1:9" x14ac:dyDescent="0.2">
      <c r="A50" s="216" t="s">
        <v>313</v>
      </c>
      <c r="B50" s="217" t="e">
        <f>+'2020'!#REF!</f>
        <v>#REF!</v>
      </c>
      <c r="C50" s="217" t="e">
        <f>+'2020'!#REF!</f>
        <v>#REF!</v>
      </c>
      <c r="D50" s="217" t="e">
        <f>+'2020'!#REF!</f>
        <v>#REF!</v>
      </c>
      <c r="E50" s="217" t="e">
        <f>+'2020'!#REF!</f>
        <v>#REF!</v>
      </c>
      <c r="F50" s="217" t="e">
        <f>+'2020'!#REF!</f>
        <v>#REF!</v>
      </c>
      <c r="G50" s="217" t="e">
        <f>+'2020'!#REF!</f>
        <v>#REF!</v>
      </c>
      <c r="H50" s="217" t="e">
        <f>+'2020'!#REF!</f>
        <v>#REF!</v>
      </c>
      <c r="I50" s="217" t="e">
        <f>+'2020'!#REF!</f>
        <v>#REF!</v>
      </c>
    </row>
    <row r="51" spans="1:9" x14ac:dyDescent="0.2">
      <c r="A51" s="216" t="s">
        <v>314</v>
      </c>
      <c r="B51" s="217" t="e">
        <f>+'2020'!#REF!</f>
        <v>#REF!</v>
      </c>
      <c r="C51" s="217" t="e">
        <f>+'2020'!#REF!</f>
        <v>#REF!</v>
      </c>
      <c r="D51" s="217" t="e">
        <f>+'2020'!#REF!</f>
        <v>#REF!</v>
      </c>
      <c r="E51" s="217" t="e">
        <f>+'2020'!#REF!</f>
        <v>#REF!</v>
      </c>
      <c r="F51" s="217" t="e">
        <f>+'2020'!#REF!</f>
        <v>#REF!</v>
      </c>
      <c r="G51" s="217" t="e">
        <f>+'2020'!#REF!</f>
        <v>#REF!</v>
      </c>
      <c r="H51" s="217" t="e">
        <f>+'2020'!#REF!</f>
        <v>#REF!</v>
      </c>
      <c r="I51" s="217" t="e">
        <f>+'2020'!#REF!</f>
        <v>#REF!</v>
      </c>
    </row>
    <row r="52" spans="1:9" x14ac:dyDescent="0.2">
      <c r="A52" s="216" t="s">
        <v>321</v>
      </c>
      <c r="B52" s="217" t="e">
        <f>+'2020'!#REF!</f>
        <v>#REF!</v>
      </c>
      <c r="C52" s="217" t="e">
        <f>+'2020'!#REF!</f>
        <v>#REF!</v>
      </c>
      <c r="D52" s="217" t="e">
        <f>+'2020'!#REF!</f>
        <v>#REF!</v>
      </c>
      <c r="E52" s="217" t="e">
        <f>+'2020'!#REF!</f>
        <v>#REF!</v>
      </c>
      <c r="F52" s="217" t="e">
        <f>+'2020'!#REF!</f>
        <v>#REF!</v>
      </c>
      <c r="G52" s="217" t="e">
        <f>+'2020'!#REF!</f>
        <v>#REF!</v>
      </c>
      <c r="H52" s="217" t="e">
        <f>+'2020'!#REF!</f>
        <v>#REF!</v>
      </c>
      <c r="I52" s="217" t="e">
        <f>+'2020'!#REF!</f>
        <v>#REF!</v>
      </c>
    </row>
    <row r="53" spans="1:9" x14ac:dyDescent="0.2">
      <c r="A53" s="216" t="s">
        <v>364</v>
      </c>
      <c r="B53" s="217" t="e">
        <f>+'2020'!#REF!</f>
        <v>#REF!</v>
      </c>
      <c r="C53" s="217" t="e">
        <f>+'2020'!#REF!</f>
        <v>#REF!</v>
      </c>
      <c r="D53" s="217" t="e">
        <f>+'2020'!#REF!</f>
        <v>#REF!</v>
      </c>
      <c r="E53" s="217" t="e">
        <f>+'2020'!#REF!</f>
        <v>#REF!</v>
      </c>
      <c r="F53" s="217" t="e">
        <f>+'2020'!#REF!</f>
        <v>#REF!</v>
      </c>
      <c r="G53" s="217" t="e">
        <f>+'2020'!#REF!</f>
        <v>#REF!</v>
      </c>
      <c r="H53" s="217" t="e">
        <f>+'2020'!#REF!</f>
        <v>#REF!</v>
      </c>
      <c r="I53" s="217" t="e">
        <f>+'2020'!#REF!</f>
        <v>#REF!</v>
      </c>
    </row>
    <row r="54" spans="1:9" x14ac:dyDescent="0.2">
      <c r="A54" s="216" t="s">
        <v>354</v>
      </c>
      <c r="B54" s="217" t="e">
        <f>+'2020'!#REF!</f>
        <v>#REF!</v>
      </c>
      <c r="C54" s="217" t="e">
        <f>+'2020'!#REF!</f>
        <v>#REF!</v>
      </c>
      <c r="D54" s="217" t="e">
        <f>+'2020'!#REF!</f>
        <v>#REF!</v>
      </c>
      <c r="E54" s="217" t="e">
        <f>+'2020'!#REF!</f>
        <v>#REF!</v>
      </c>
      <c r="F54" s="217" t="e">
        <f>+'2020'!#REF!</f>
        <v>#REF!</v>
      </c>
      <c r="G54" s="217" t="e">
        <f>+'2020'!#REF!</f>
        <v>#REF!</v>
      </c>
      <c r="H54" s="217" t="e">
        <f>+'2020'!#REF!</f>
        <v>#REF!</v>
      </c>
      <c r="I54" s="217" t="e">
        <f>+'2020'!#REF!</f>
        <v>#REF!</v>
      </c>
    </row>
    <row r="55" spans="1:9" x14ac:dyDescent="0.2">
      <c r="A55" s="216" t="s">
        <v>243</v>
      </c>
      <c r="B55" s="217" t="e">
        <f>+'2020'!#REF!</f>
        <v>#REF!</v>
      </c>
      <c r="C55" s="217" t="e">
        <f>+'2020'!#REF!</f>
        <v>#REF!</v>
      </c>
      <c r="D55" s="217" t="e">
        <f>+'2020'!#REF!</f>
        <v>#REF!</v>
      </c>
      <c r="E55" s="217" t="e">
        <f>+'2020'!#REF!</f>
        <v>#REF!</v>
      </c>
      <c r="F55" s="217" t="e">
        <f>+'2020'!#REF!</f>
        <v>#REF!</v>
      </c>
      <c r="G55" s="217" t="e">
        <f>+'2020'!#REF!</f>
        <v>#REF!</v>
      </c>
      <c r="H55" s="217" t="e">
        <f>+'2020'!#REF!</f>
        <v>#REF!</v>
      </c>
      <c r="I55" s="217" t="e">
        <f>+'2020'!#REF!</f>
        <v>#REF!</v>
      </c>
    </row>
    <row r="56" spans="1:9" x14ac:dyDescent="0.2">
      <c r="A56" s="216" t="s">
        <v>257</v>
      </c>
      <c r="B56" s="217" t="e">
        <f>+'2020'!#REF!</f>
        <v>#REF!</v>
      </c>
      <c r="C56" s="217" t="e">
        <f>+'2020'!#REF!</f>
        <v>#REF!</v>
      </c>
      <c r="D56" s="217" t="e">
        <f>+'2020'!#REF!</f>
        <v>#REF!</v>
      </c>
      <c r="E56" s="217" t="e">
        <f>+'2020'!#REF!</f>
        <v>#REF!</v>
      </c>
      <c r="F56" s="217" t="e">
        <f>+'2020'!#REF!</f>
        <v>#REF!</v>
      </c>
      <c r="G56" s="217" t="e">
        <f>+'2020'!#REF!</f>
        <v>#REF!</v>
      </c>
      <c r="H56" s="217" t="e">
        <f>+'2020'!#REF!</f>
        <v>#REF!</v>
      </c>
      <c r="I56" s="217" t="e">
        <f>+'2020'!#REF!</f>
        <v>#REF!</v>
      </c>
    </row>
    <row r="57" spans="1:9" x14ac:dyDescent="0.2">
      <c r="A57" s="216" t="s">
        <v>262</v>
      </c>
      <c r="B57" s="217" t="e">
        <f>+'2020'!#REF!</f>
        <v>#REF!</v>
      </c>
      <c r="C57" s="217" t="e">
        <f>+'2020'!#REF!</f>
        <v>#REF!</v>
      </c>
      <c r="D57" s="217" t="e">
        <f>+'2020'!#REF!</f>
        <v>#REF!</v>
      </c>
      <c r="E57" s="217" t="e">
        <f>+'2020'!#REF!</f>
        <v>#REF!</v>
      </c>
      <c r="F57" s="217" t="e">
        <f>+'2020'!#REF!</f>
        <v>#REF!</v>
      </c>
      <c r="G57" s="217" t="e">
        <f>+'2020'!#REF!</f>
        <v>#REF!</v>
      </c>
      <c r="H57" s="217" t="e">
        <f>+'2020'!#REF!</f>
        <v>#REF!</v>
      </c>
      <c r="I57" s="217" t="e">
        <f>+'2020'!#REF!</f>
        <v>#REF!</v>
      </c>
    </row>
    <row r="58" spans="1:9" x14ac:dyDescent="0.2">
      <c r="A58" s="216" t="s">
        <v>265</v>
      </c>
      <c r="B58" s="217" t="e">
        <f>+'2020'!#REF!</f>
        <v>#REF!</v>
      </c>
      <c r="C58" s="217" t="e">
        <f>+'2020'!#REF!</f>
        <v>#REF!</v>
      </c>
      <c r="D58" s="217" t="e">
        <f>+'2020'!#REF!</f>
        <v>#REF!</v>
      </c>
      <c r="E58" s="217" t="e">
        <f>+'2020'!#REF!</f>
        <v>#REF!</v>
      </c>
      <c r="F58" s="217" t="e">
        <f>+'2020'!#REF!</f>
        <v>#REF!</v>
      </c>
      <c r="G58" s="217" t="e">
        <f>+'2020'!#REF!</f>
        <v>#REF!</v>
      </c>
      <c r="H58" s="217" t="e">
        <f>+'2020'!#REF!</f>
        <v>#REF!</v>
      </c>
      <c r="I58" s="217" t="e">
        <f>+'2020'!#REF!</f>
        <v>#REF!</v>
      </c>
    </row>
    <row r="59" spans="1:9" x14ac:dyDescent="0.2">
      <c r="A59" s="216" t="s">
        <v>286</v>
      </c>
      <c r="B59" s="217" t="e">
        <f>+'2020'!#REF!</f>
        <v>#REF!</v>
      </c>
      <c r="C59" s="217" t="e">
        <f>+'2020'!#REF!</f>
        <v>#REF!</v>
      </c>
      <c r="D59" s="217" t="e">
        <f>+'2020'!#REF!</f>
        <v>#REF!</v>
      </c>
      <c r="E59" s="217" t="e">
        <f>+'2020'!#REF!</f>
        <v>#REF!</v>
      </c>
      <c r="F59" s="217" t="e">
        <f>+'2020'!#REF!</f>
        <v>#REF!</v>
      </c>
      <c r="G59" s="217" t="e">
        <f>+'2020'!#REF!</f>
        <v>#REF!</v>
      </c>
      <c r="H59" s="217" t="e">
        <f>+'2020'!#REF!</f>
        <v>#REF!</v>
      </c>
      <c r="I59" s="217" t="e">
        <f>+'2020'!#REF!</f>
        <v>#REF!</v>
      </c>
    </row>
    <row r="60" spans="1:9" x14ac:dyDescent="0.2">
      <c r="A60" s="216" t="s">
        <v>293</v>
      </c>
      <c r="B60" s="217" t="e">
        <f>+'2020'!#REF!</f>
        <v>#REF!</v>
      </c>
      <c r="C60" s="217" t="e">
        <f>+'2020'!#REF!</f>
        <v>#REF!</v>
      </c>
      <c r="D60" s="217" t="e">
        <f>+'2020'!#REF!</f>
        <v>#REF!</v>
      </c>
      <c r="E60" s="217" t="e">
        <f>+'2020'!#REF!</f>
        <v>#REF!</v>
      </c>
      <c r="F60" s="217" t="e">
        <f>+'2020'!#REF!</f>
        <v>#REF!</v>
      </c>
      <c r="G60" s="217" t="e">
        <f>+'2020'!#REF!</f>
        <v>#REF!</v>
      </c>
      <c r="H60" s="217" t="e">
        <f>+'2020'!#REF!</f>
        <v>#REF!</v>
      </c>
      <c r="I60" s="217" t="e">
        <f>+'2020'!#REF!</f>
        <v>#REF!</v>
      </c>
    </row>
    <row r="61" spans="1:9" x14ac:dyDescent="0.2">
      <c r="A61" s="216" t="s">
        <v>297</v>
      </c>
      <c r="B61" s="217" t="e">
        <f>+'2020'!#REF!</f>
        <v>#REF!</v>
      </c>
      <c r="C61" s="217" t="e">
        <f>+'2020'!#REF!</f>
        <v>#REF!</v>
      </c>
      <c r="D61" s="217" t="e">
        <f>+'2020'!#REF!</f>
        <v>#REF!</v>
      </c>
      <c r="E61" s="217" t="e">
        <f>+'2020'!#REF!</f>
        <v>#REF!</v>
      </c>
      <c r="F61" s="217" t="e">
        <f>+'2020'!#REF!</f>
        <v>#REF!</v>
      </c>
      <c r="G61" s="217" t="e">
        <f>+'2020'!#REF!</f>
        <v>#REF!</v>
      </c>
      <c r="H61" s="217" t="e">
        <f>+'2020'!#REF!</f>
        <v>#REF!</v>
      </c>
      <c r="I61" s="217" t="e">
        <f>+'2020'!#REF!</f>
        <v>#REF!</v>
      </c>
    </row>
    <row r="62" spans="1:9" x14ac:dyDescent="0.2">
      <c r="A62" s="216" t="s">
        <v>301</v>
      </c>
      <c r="B62" s="217" t="e">
        <f>+'2020'!#REF!</f>
        <v>#REF!</v>
      </c>
      <c r="C62" s="217" t="e">
        <f>+'2020'!#REF!</f>
        <v>#REF!</v>
      </c>
      <c r="D62" s="217" t="e">
        <f>+'2020'!#REF!</f>
        <v>#REF!</v>
      </c>
      <c r="E62" s="217" t="e">
        <f>+'2020'!#REF!</f>
        <v>#REF!</v>
      </c>
      <c r="F62" s="217" t="e">
        <f>+'2020'!#REF!</f>
        <v>#REF!</v>
      </c>
      <c r="G62" s="217" t="e">
        <f>+'2020'!#REF!</f>
        <v>#REF!</v>
      </c>
      <c r="H62" s="217" t="e">
        <f>+'2020'!#REF!</f>
        <v>#REF!</v>
      </c>
      <c r="I62" s="217" t="e">
        <f>+'2020'!#REF!</f>
        <v>#REF!</v>
      </c>
    </row>
    <row r="63" spans="1:9" x14ac:dyDescent="0.2">
      <c r="A63" s="216" t="s">
        <v>302</v>
      </c>
      <c r="B63" s="217" t="e">
        <f>+'2020'!#REF!</f>
        <v>#REF!</v>
      </c>
      <c r="C63" s="217" t="e">
        <f>+'2020'!#REF!</f>
        <v>#REF!</v>
      </c>
      <c r="D63" s="217" t="e">
        <f>+'2020'!#REF!</f>
        <v>#REF!</v>
      </c>
      <c r="E63" s="217" t="e">
        <f>+'2020'!#REF!</f>
        <v>#REF!</v>
      </c>
      <c r="F63" s="217" t="e">
        <f>+'2020'!#REF!</f>
        <v>#REF!</v>
      </c>
      <c r="G63" s="217" t="e">
        <f>+'2020'!#REF!</f>
        <v>#REF!</v>
      </c>
      <c r="H63" s="217" t="e">
        <f>+'2020'!#REF!</f>
        <v>#REF!</v>
      </c>
      <c r="I63" s="217" t="e">
        <f>+'2020'!#REF!</f>
        <v>#REF!</v>
      </c>
    </row>
    <row r="64" spans="1:9" x14ac:dyDescent="0.2">
      <c r="A64" s="216" t="s">
        <v>309</v>
      </c>
      <c r="B64" s="217" t="e">
        <f>+'2020'!#REF!</f>
        <v>#REF!</v>
      </c>
      <c r="C64" s="217" t="e">
        <f>+'2020'!#REF!</f>
        <v>#REF!</v>
      </c>
      <c r="D64" s="217" t="e">
        <f>+'2020'!#REF!</f>
        <v>#REF!</v>
      </c>
      <c r="E64" s="217" t="e">
        <f>+'2020'!#REF!</f>
        <v>#REF!</v>
      </c>
      <c r="F64" s="217" t="e">
        <f>+'2020'!#REF!</f>
        <v>#REF!</v>
      </c>
      <c r="G64" s="217" t="e">
        <f>+'2020'!#REF!</f>
        <v>#REF!</v>
      </c>
      <c r="H64" s="217" t="e">
        <f>+'2020'!#REF!</f>
        <v>#REF!</v>
      </c>
      <c r="I64" s="217" t="e">
        <f>+'2020'!#REF!</f>
        <v>#REF!</v>
      </c>
    </row>
    <row r="65" spans="1:9" x14ac:dyDescent="0.2">
      <c r="A65" s="216" t="s">
        <v>310</v>
      </c>
      <c r="B65" s="217" t="e">
        <f>+'2020'!#REF!</f>
        <v>#REF!</v>
      </c>
      <c r="C65" s="217" t="e">
        <f>+'2020'!#REF!</f>
        <v>#REF!</v>
      </c>
      <c r="D65" s="217" t="e">
        <f>+'2020'!#REF!</f>
        <v>#REF!</v>
      </c>
      <c r="E65" s="217" t="e">
        <f>+'2020'!#REF!</f>
        <v>#REF!</v>
      </c>
      <c r="F65" s="217" t="e">
        <f>+'2020'!#REF!</f>
        <v>#REF!</v>
      </c>
      <c r="G65" s="217" t="e">
        <f>+'2020'!#REF!</f>
        <v>#REF!</v>
      </c>
      <c r="H65" s="217" t="e">
        <f>+'2020'!#REF!</f>
        <v>#REF!</v>
      </c>
      <c r="I65" s="217" t="e">
        <f>+'2020'!#REF!</f>
        <v>#REF!</v>
      </c>
    </row>
    <row r="66" spans="1:9" x14ac:dyDescent="0.2">
      <c r="A66" s="216" t="s">
        <v>324</v>
      </c>
      <c r="B66" s="217" t="e">
        <f>+'2020'!#REF!</f>
        <v>#REF!</v>
      </c>
      <c r="C66" s="217" t="e">
        <f>+'2020'!#REF!</f>
        <v>#REF!</v>
      </c>
      <c r="D66" s="217" t="e">
        <f>+'2020'!#REF!</f>
        <v>#REF!</v>
      </c>
      <c r="E66" s="217" t="e">
        <f>+'2020'!#REF!</f>
        <v>#REF!</v>
      </c>
      <c r="F66" s="217" t="e">
        <f>+'2020'!#REF!</f>
        <v>#REF!</v>
      </c>
      <c r="G66" s="217" t="e">
        <f>+'2020'!#REF!</f>
        <v>#REF!</v>
      </c>
      <c r="H66" s="217" t="e">
        <f>+'2020'!#REF!</f>
        <v>#REF!</v>
      </c>
      <c r="I66" s="217" t="e">
        <f>+'2020'!#REF!</f>
        <v>#REF!</v>
      </c>
    </row>
    <row r="67" spans="1:9" x14ac:dyDescent="0.2">
      <c r="A67" s="216" t="s">
        <v>322</v>
      </c>
      <c r="B67" s="217" t="e">
        <f>+'2020'!#REF!</f>
        <v>#REF!</v>
      </c>
      <c r="C67" s="217" t="e">
        <f>+'2020'!#REF!</f>
        <v>#REF!</v>
      </c>
      <c r="D67" s="217" t="e">
        <f>+'2020'!#REF!</f>
        <v>#REF!</v>
      </c>
      <c r="E67" s="217" t="e">
        <f>+'2020'!#REF!</f>
        <v>#REF!</v>
      </c>
      <c r="F67" s="217" t="e">
        <f>+'2020'!#REF!</f>
        <v>#REF!</v>
      </c>
      <c r="G67" s="217" t="e">
        <f>+'2020'!#REF!</f>
        <v>#REF!</v>
      </c>
      <c r="H67" s="217" t="e">
        <f>+'2020'!#REF!</f>
        <v>#REF!</v>
      </c>
      <c r="I67" s="217" t="e">
        <f>+'2020'!#REF!</f>
        <v>#REF!</v>
      </c>
    </row>
    <row r="68" spans="1:9" x14ac:dyDescent="0.2">
      <c r="A68" s="216" t="s">
        <v>320</v>
      </c>
      <c r="B68" s="217" t="e">
        <f>+'2020'!#REF!</f>
        <v>#REF!</v>
      </c>
      <c r="C68" s="217" t="e">
        <f>+'2020'!#REF!</f>
        <v>#REF!</v>
      </c>
      <c r="D68" s="217" t="e">
        <f>+'2020'!#REF!</f>
        <v>#REF!</v>
      </c>
      <c r="E68" s="217" t="e">
        <f>+'2020'!#REF!</f>
        <v>#REF!</v>
      </c>
      <c r="F68" s="217" t="e">
        <f>+'2020'!#REF!</f>
        <v>#REF!</v>
      </c>
      <c r="G68" s="217" t="e">
        <f>+'2020'!#REF!</f>
        <v>#REF!</v>
      </c>
      <c r="H68" s="217" t="e">
        <f>+'2020'!#REF!</f>
        <v>#REF!</v>
      </c>
      <c r="I68" s="217" t="e">
        <f>+'2020'!#REF!</f>
        <v>#REF!</v>
      </c>
    </row>
    <row r="69" spans="1:9" x14ac:dyDescent="0.2">
      <c r="A69" s="216" t="s">
        <v>330</v>
      </c>
      <c r="B69" s="217" t="e">
        <f>+'2020'!#REF!</f>
        <v>#REF!</v>
      </c>
      <c r="C69" s="217" t="e">
        <f>+'2020'!#REF!</f>
        <v>#REF!</v>
      </c>
      <c r="D69" s="217" t="e">
        <f>+'2020'!#REF!</f>
        <v>#REF!</v>
      </c>
      <c r="E69" s="217" t="e">
        <f>+'2020'!#REF!</f>
        <v>#REF!</v>
      </c>
      <c r="F69" s="217" t="e">
        <f>+'2020'!#REF!</f>
        <v>#REF!</v>
      </c>
      <c r="G69" s="217" t="e">
        <f>+'2020'!#REF!</f>
        <v>#REF!</v>
      </c>
      <c r="H69" s="217" t="e">
        <f>+'2020'!#REF!</f>
        <v>#REF!</v>
      </c>
      <c r="I69" s="217" t="e">
        <f>+'2020'!#REF!</f>
        <v>#REF!</v>
      </c>
    </row>
    <row r="70" spans="1:9" x14ac:dyDescent="0.2">
      <c r="A70" s="216" t="s">
        <v>345</v>
      </c>
      <c r="B70" s="217" t="e">
        <f>+'2020'!#REF!</f>
        <v>#REF!</v>
      </c>
      <c r="C70" s="217" t="e">
        <f>+'2020'!#REF!</f>
        <v>#REF!</v>
      </c>
      <c r="D70" s="217" t="e">
        <f>+'2020'!#REF!</f>
        <v>#REF!</v>
      </c>
      <c r="E70" s="217" t="e">
        <f>+'2020'!#REF!</f>
        <v>#REF!</v>
      </c>
      <c r="F70" s="217" t="e">
        <f>+'2020'!#REF!</f>
        <v>#REF!</v>
      </c>
      <c r="G70" s="217" t="e">
        <f>+'2020'!#REF!</f>
        <v>#REF!</v>
      </c>
      <c r="H70" s="217" t="e">
        <f>+'2020'!#REF!</f>
        <v>#REF!</v>
      </c>
      <c r="I70" s="217" t="e">
        <f>+'2020'!#REF!</f>
        <v>#REF!</v>
      </c>
    </row>
    <row r="71" spans="1:9" x14ac:dyDescent="0.2">
      <c r="A71" s="216" t="s">
        <v>351</v>
      </c>
      <c r="B71" s="217" t="e">
        <f>+'2020'!#REF!</f>
        <v>#REF!</v>
      </c>
      <c r="C71" s="217" t="e">
        <f>+'2020'!#REF!</f>
        <v>#REF!</v>
      </c>
      <c r="D71" s="217" t="e">
        <f>+'2020'!#REF!</f>
        <v>#REF!</v>
      </c>
      <c r="E71" s="217" t="e">
        <f>+'2020'!#REF!</f>
        <v>#REF!</v>
      </c>
      <c r="F71" s="217" t="e">
        <f>+'2020'!#REF!</f>
        <v>#REF!</v>
      </c>
      <c r="G71" s="217" t="e">
        <f>+'2020'!#REF!</f>
        <v>#REF!</v>
      </c>
      <c r="H71" s="217" t="e">
        <f>+'2020'!#REF!</f>
        <v>#REF!</v>
      </c>
      <c r="I71" s="217" t="e">
        <f>+'2020'!#REF!</f>
        <v>#REF!</v>
      </c>
    </row>
    <row r="72" spans="1:9" x14ac:dyDescent="0.2">
      <c r="A72" s="216" t="s">
        <v>353</v>
      </c>
      <c r="B72" s="217" t="e">
        <f>+'2020'!#REF!</f>
        <v>#REF!</v>
      </c>
      <c r="C72" s="217" t="e">
        <f>+'2020'!#REF!</f>
        <v>#REF!</v>
      </c>
      <c r="D72" s="217" t="e">
        <f>+'2020'!#REF!</f>
        <v>#REF!</v>
      </c>
      <c r="E72" s="217" t="e">
        <f>+'2020'!#REF!</f>
        <v>#REF!</v>
      </c>
      <c r="F72" s="217" t="e">
        <f>+'2020'!#REF!</f>
        <v>#REF!</v>
      </c>
      <c r="G72" s="217" t="e">
        <f>+'2020'!#REF!</f>
        <v>#REF!</v>
      </c>
      <c r="H72" s="217" t="e">
        <f>+'2020'!#REF!</f>
        <v>#REF!</v>
      </c>
      <c r="I72" s="217" t="e">
        <f>+'2020'!#REF!</f>
        <v>#REF!</v>
      </c>
    </row>
    <row r="73" spans="1:9" x14ac:dyDescent="0.2">
      <c r="A73" s="216" t="s">
        <v>228</v>
      </c>
      <c r="B73" s="217" t="e">
        <f>+'2020'!#REF!</f>
        <v>#REF!</v>
      </c>
      <c r="C73" s="217" t="e">
        <f>+'2020'!#REF!</f>
        <v>#REF!</v>
      </c>
      <c r="D73" s="217" t="e">
        <f>+'2020'!#REF!</f>
        <v>#REF!</v>
      </c>
      <c r="E73" s="217" t="e">
        <f>+'2020'!#REF!</f>
        <v>#REF!</v>
      </c>
      <c r="F73" s="217" t="e">
        <f>+'2020'!#REF!</f>
        <v>#REF!</v>
      </c>
      <c r="G73" s="217" t="e">
        <f>+'2020'!#REF!</f>
        <v>#REF!</v>
      </c>
      <c r="H73" s="217" t="e">
        <f>+'2020'!#REF!</f>
        <v>#REF!</v>
      </c>
      <c r="I73" s="217" t="e">
        <f>+'2020'!#REF!</f>
        <v>#REF!</v>
      </c>
    </row>
    <row r="74" spans="1:9" x14ac:dyDescent="0.2">
      <c r="A74" s="216" t="s">
        <v>241</v>
      </c>
      <c r="B74" s="217" t="e">
        <f>+'2020'!#REF!</f>
        <v>#REF!</v>
      </c>
      <c r="C74" s="217" t="e">
        <f>+'2020'!#REF!</f>
        <v>#REF!</v>
      </c>
      <c r="D74" s="217" t="e">
        <f>+'2020'!#REF!</f>
        <v>#REF!</v>
      </c>
      <c r="E74" s="217" t="e">
        <f>+'2020'!#REF!</f>
        <v>#REF!</v>
      </c>
      <c r="F74" s="217" t="e">
        <f>+'2020'!#REF!</f>
        <v>#REF!</v>
      </c>
      <c r="G74" s="217" t="e">
        <f>+'2020'!#REF!</f>
        <v>#REF!</v>
      </c>
      <c r="H74" s="217" t="e">
        <f>+'2020'!#REF!</f>
        <v>#REF!</v>
      </c>
      <c r="I74" s="217" t="e">
        <f>+'2020'!#REF!</f>
        <v>#REF!</v>
      </c>
    </row>
    <row r="75" spans="1:9" x14ac:dyDescent="0.2">
      <c r="A75" s="216" t="s">
        <v>246</v>
      </c>
      <c r="B75" s="217" t="e">
        <f>+'2020'!#REF!</f>
        <v>#REF!</v>
      </c>
      <c r="C75" s="217" t="e">
        <f>+'2020'!#REF!</f>
        <v>#REF!</v>
      </c>
      <c r="D75" s="217" t="e">
        <f>+'2020'!#REF!</f>
        <v>#REF!</v>
      </c>
      <c r="E75" s="217" t="e">
        <f>+'2020'!#REF!</f>
        <v>#REF!</v>
      </c>
      <c r="F75" s="217" t="e">
        <f>+'2020'!#REF!</f>
        <v>#REF!</v>
      </c>
      <c r="G75" s="217" t="e">
        <f>+'2020'!#REF!</f>
        <v>#REF!</v>
      </c>
      <c r="H75" s="217" t="e">
        <f>+'2020'!#REF!</f>
        <v>#REF!</v>
      </c>
      <c r="I75" s="217" t="e">
        <f>+'2020'!#REF!</f>
        <v>#REF!</v>
      </c>
    </row>
    <row r="76" spans="1:9" x14ac:dyDescent="0.2">
      <c r="A76" s="216" t="s">
        <v>276</v>
      </c>
      <c r="B76" s="217" t="e">
        <f>+'2020'!#REF!</f>
        <v>#REF!</v>
      </c>
      <c r="C76" s="217" t="e">
        <f>+'2020'!#REF!</f>
        <v>#REF!</v>
      </c>
      <c r="D76" s="217" t="e">
        <f>+'2020'!#REF!</f>
        <v>#REF!</v>
      </c>
      <c r="E76" s="217" t="e">
        <f>+'2020'!#REF!</f>
        <v>#REF!</v>
      </c>
      <c r="F76" s="217" t="e">
        <f>+'2020'!#REF!</f>
        <v>#REF!</v>
      </c>
      <c r="G76" s="217" t="e">
        <f>+'2020'!#REF!</f>
        <v>#REF!</v>
      </c>
      <c r="H76" s="217" t="e">
        <f>+'2020'!#REF!</f>
        <v>#REF!</v>
      </c>
      <c r="I76" s="217" t="e">
        <f>+'2020'!#REF!</f>
        <v>#REF!</v>
      </c>
    </row>
    <row r="77" spans="1:9" x14ac:dyDescent="0.2">
      <c r="A77" s="216" t="s">
        <v>279</v>
      </c>
      <c r="B77" s="217" t="e">
        <f>+'2020'!#REF!</f>
        <v>#REF!</v>
      </c>
      <c r="C77" s="217" t="e">
        <f>+'2020'!#REF!</f>
        <v>#REF!</v>
      </c>
      <c r="D77" s="217" t="e">
        <f>+'2020'!#REF!</f>
        <v>#REF!</v>
      </c>
      <c r="E77" s="217" t="e">
        <f>+'2020'!#REF!</f>
        <v>#REF!</v>
      </c>
      <c r="F77" s="217" t="e">
        <f>+'2020'!#REF!</f>
        <v>#REF!</v>
      </c>
      <c r="G77" s="217" t="e">
        <f>+'2020'!#REF!</f>
        <v>#REF!</v>
      </c>
      <c r="H77" s="217" t="e">
        <f>+'2020'!#REF!</f>
        <v>#REF!</v>
      </c>
      <c r="I77" s="217" t="e">
        <f>+'2020'!#REF!</f>
        <v>#REF!</v>
      </c>
    </row>
    <row r="78" spans="1:9" x14ac:dyDescent="0.2">
      <c r="A78" s="216" t="s">
        <v>300</v>
      </c>
      <c r="B78" s="217" t="e">
        <f>+'2020'!#REF!</f>
        <v>#REF!</v>
      </c>
      <c r="C78" s="217" t="e">
        <f>+'2020'!#REF!</f>
        <v>#REF!</v>
      </c>
      <c r="D78" s="217" t="e">
        <f>+'2020'!#REF!</f>
        <v>#REF!</v>
      </c>
      <c r="E78" s="217" t="e">
        <f>+'2020'!#REF!</f>
        <v>#REF!</v>
      </c>
      <c r="F78" s="217" t="e">
        <f>+'2020'!#REF!</f>
        <v>#REF!</v>
      </c>
      <c r="G78" s="217" t="e">
        <f>+'2020'!#REF!</f>
        <v>#REF!</v>
      </c>
      <c r="H78" s="217" t="e">
        <f>+'2020'!#REF!</f>
        <v>#REF!</v>
      </c>
      <c r="I78" s="217" t="e">
        <f>+'2020'!#REF!</f>
        <v>#REF!</v>
      </c>
    </row>
    <row r="79" spans="1:9" x14ac:dyDescent="0.2">
      <c r="A79" s="216" t="s">
        <v>312</v>
      </c>
      <c r="B79" s="217" t="e">
        <f>+'2020'!#REF!</f>
        <v>#REF!</v>
      </c>
      <c r="C79" s="217" t="e">
        <f>+'2020'!#REF!</f>
        <v>#REF!</v>
      </c>
      <c r="D79" s="217" t="e">
        <f>+'2020'!#REF!</f>
        <v>#REF!</v>
      </c>
      <c r="E79" s="217" t="e">
        <f>+'2020'!#REF!</f>
        <v>#REF!</v>
      </c>
      <c r="F79" s="217" t="e">
        <f>+'2020'!#REF!</f>
        <v>#REF!</v>
      </c>
      <c r="G79" s="217" t="e">
        <f>+'2020'!#REF!</f>
        <v>#REF!</v>
      </c>
      <c r="H79" s="217" t="e">
        <f>+'2020'!#REF!</f>
        <v>#REF!</v>
      </c>
      <c r="I79" s="217" t="e">
        <f>+'2020'!#REF!</f>
        <v>#REF!</v>
      </c>
    </row>
    <row r="80" spans="1:9" x14ac:dyDescent="0.2">
      <c r="A80" s="216" t="s">
        <v>317</v>
      </c>
      <c r="B80" s="217" t="e">
        <f>+'2020'!#REF!</f>
        <v>#REF!</v>
      </c>
      <c r="C80" s="217" t="e">
        <f>+'2020'!#REF!</f>
        <v>#REF!</v>
      </c>
      <c r="D80" s="217" t="e">
        <f>+'2020'!#REF!</f>
        <v>#REF!</v>
      </c>
      <c r="E80" s="217" t="e">
        <f>+'2020'!#REF!</f>
        <v>#REF!</v>
      </c>
      <c r="F80" s="217" t="e">
        <f>+'2020'!#REF!</f>
        <v>#REF!</v>
      </c>
      <c r="G80" s="217" t="e">
        <f>+'2020'!#REF!</f>
        <v>#REF!</v>
      </c>
      <c r="H80" s="217" t="e">
        <f>+'2020'!#REF!</f>
        <v>#REF!</v>
      </c>
      <c r="I80" s="217" t="e">
        <f>+'2020'!#REF!</f>
        <v>#REF!</v>
      </c>
    </row>
    <row r="81" spans="1:9" x14ac:dyDescent="0.2">
      <c r="A81" s="216" t="s">
        <v>327</v>
      </c>
      <c r="B81" s="217" t="e">
        <f>+'2020'!#REF!</f>
        <v>#REF!</v>
      </c>
      <c r="C81" s="217" t="e">
        <f>+'2020'!#REF!</f>
        <v>#REF!</v>
      </c>
      <c r="D81" s="217" t="e">
        <f>+'2020'!#REF!</f>
        <v>#REF!</v>
      </c>
      <c r="E81" s="217" t="e">
        <f>+'2020'!#REF!</f>
        <v>#REF!</v>
      </c>
      <c r="F81" s="217" t="e">
        <f>+'2020'!#REF!</f>
        <v>#REF!</v>
      </c>
      <c r="G81" s="217" t="e">
        <f>+'2020'!#REF!</f>
        <v>#REF!</v>
      </c>
      <c r="H81" s="217" t="e">
        <f>+'2020'!#REF!</f>
        <v>#REF!</v>
      </c>
      <c r="I81" s="217" t="e">
        <f>+'2020'!#REF!</f>
        <v>#REF!</v>
      </c>
    </row>
    <row r="82" spans="1:9" x14ac:dyDescent="0.2">
      <c r="A82" s="216" t="s">
        <v>331</v>
      </c>
      <c r="B82" s="217" t="e">
        <f>+'2020'!#REF!</f>
        <v>#REF!</v>
      </c>
      <c r="C82" s="217" t="e">
        <f>+'2020'!#REF!</f>
        <v>#REF!</v>
      </c>
      <c r="D82" s="217" t="e">
        <f>+'2020'!#REF!</f>
        <v>#REF!</v>
      </c>
      <c r="E82" s="217" t="e">
        <f>+'2020'!#REF!</f>
        <v>#REF!</v>
      </c>
      <c r="F82" s="217" t="e">
        <f>+'2020'!#REF!</f>
        <v>#REF!</v>
      </c>
      <c r="G82" s="217" t="e">
        <f>+'2020'!#REF!</f>
        <v>#REF!</v>
      </c>
      <c r="H82" s="217" t="e">
        <f>+'2020'!#REF!</f>
        <v>#REF!</v>
      </c>
      <c r="I82" s="217" t="e">
        <f>+'2020'!#REF!</f>
        <v>#REF!</v>
      </c>
    </row>
    <row r="83" spans="1:9" x14ac:dyDescent="0.2">
      <c r="A83" s="216" t="s">
        <v>338</v>
      </c>
      <c r="B83" s="217" t="e">
        <f>+'2020'!#REF!</f>
        <v>#REF!</v>
      </c>
      <c r="C83" s="217" t="e">
        <f>+'2020'!#REF!</f>
        <v>#REF!</v>
      </c>
      <c r="D83" s="217" t="e">
        <f>+'2020'!#REF!</f>
        <v>#REF!</v>
      </c>
      <c r="E83" s="217" t="e">
        <f>+'2020'!#REF!</f>
        <v>#REF!</v>
      </c>
      <c r="F83" s="217" t="e">
        <f>+'2020'!#REF!</f>
        <v>#REF!</v>
      </c>
      <c r="G83" s="217" t="e">
        <f>+'2020'!#REF!</f>
        <v>#REF!</v>
      </c>
      <c r="H83" s="217" t="e">
        <f>+'2020'!#REF!</f>
        <v>#REF!</v>
      </c>
      <c r="I83" s="217" t="e">
        <f>+'2020'!#REF!</f>
        <v>#REF!</v>
      </c>
    </row>
    <row r="84" spans="1:9" x14ac:dyDescent="0.2">
      <c r="A84" s="216" t="s">
        <v>65</v>
      </c>
      <c r="B84" s="217" t="e">
        <f>+'2020'!#REF!</f>
        <v>#REF!</v>
      </c>
      <c r="C84" s="217" t="e">
        <f>+'2020'!#REF!</f>
        <v>#REF!</v>
      </c>
      <c r="D84" s="217" t="e">
        <f>+'2020'!#REF!</f>
        <v>#REF!</v>
      </c>
      <c r="E84" s="217" t="e">
        <f>+'2020'!#REF!</f>
        <v>#REF!</v>
      </c>
      <c r="F84" s="217" t="e">
        <f>+'2020'!#REF!</f>
        <v>#REF!</v>
      </c>
      <c r="G84" s="217" t="e">
        <f>+'2020'!#REF!</f>
        <v>#REF!</v>
      </c>
      <c r="H84" s="217" t="e">
        <f>+'2020'!#REF!</f>
        <v>#REF!</v>
      </c>
      <c r="I84" s="217" t="e">
        <f>+'2020'!#REF!</f>
        <v>#REF!</v>
      </c>
    </row>
    <row r="85" spans="1:9" x14ac:dyDescent="0.2">
      <c r="A85" s="216" t="s">
        <v>66</v>
      </c>
      <c r="B85" s="217" t="e">
        <f>+'2020'!#REF!</f>
        <v>#REF!</v>
      </c>
      <c r="C85" s="217" t="e">
        <f>+'2020'!#REF!</f>
        <v>#REF!</v>
      </c>
      <c r="D85" s="217" t="e">
        <f>+'2020'!#REF!</f>
        <v>#REF!</v>
      </c>
      <c r="E85" s="217" t="e">
        <f>+'2020'!#REF!</f>
        <v>#REF!</v>
      </c>
      <c r="F85" s="217" t="e">
        <f>+'2020'!#REF!</f>
        <v>#REF!</v>
      </c>
      <c r="G85" s="217" t="e">
        <f>+'2020'!#REF!</f>
        <v>#REF!</v>
      </c>
      <c r="H85" s="217" t="e">
        <f>+'2020'!#REF!</f>
        <v>#REF!</v>
      </c>
      <c r="I85" s="217" t="e">
        <f>+'2020'!#REF!</f>
        <v>#REF!</v>
      </c>
    </row>
    <row r="86" spans="1:9" x14ac:dyDescent="0.2">
      <c r="A86" s="216" t="s">
        <v>108</v>
      </c>
      <c r="B86" s="217" t="e">
        <f>+'2020'!#REF!</f>
        <v>#REF!</v>
      </c>
      <c r="C86" s="217" t="e">
        <f>+'2020'!#REF!</f>
        <v>#REF!</v>
      </c>
      <c r="D86" s="217" t="e">
        <f>+'2020'!#REF!</f>
        <v>#REF!</v>
      </c>
      <c r="E86" s="217" t="e">
        <f>+'2020'!#REF!</f>
        <v>#REF!</v>
      </c>
      <c r="F86" s="217" t="e">
        <f>+'2020'!#REF!</f>
        <v>#REF!</v>
      </c>
      <c r="G86" s="217" t="e">
        <f>+'2020'!#REF!</f>
        <v>#REF!</v>
      </c>
      <c r="H86" s="217" t="e">
        <f>+'2020'!#REF!</f>
        <v>#REF!</v>
      </c>
      <c r="I86" s="217" t="e">
        <f>+'2020'!#REF!</f>
        <v>#REF!</v>
      </c>
    </row>
    <row r="87" spans="1:9" x14ac:dyDescent="0.2">
      <c r="A87" s="216" t="s">
        <v>250</v>
      </c>
      <c r="B87" s="217" t="e">
        <f>+'2020'!#REF!</f>
        <v>#REF!</v>
      </c>
      <c r="C87" s="217" t="e">
        <f>+'2020'!#REF!</f>
        <v>#REF!</v>
      </c>
      <c r="D87" s="217" t="e">
        <f>+'2020'!#REF!</f>
        <v>#REF!</v>
      </c>
      <c r="E87" s="217" t="e">
        <f>+'2020'!#REF!</f>
        <v>#REF!</v>
      </c>
      <c r="F87" s="217" t="e">
        <f>+'2020'!#REF!</f>
        <v>#REF!</v>
      </c>
      <c r="G87" s="217" t="e">
        <f>+'2020'!#REF!</f>
        <v>#REF!</v>
      </c>
      <c r="H87" s="217" t="e">
        <f>+'2020'!#REF!</f>
        <v>#REF!</v>
      </c>
      <c r="I87" s="217" t="e">
        <f>+'2020'!#REF!</f>
        <v>#REF!</v>
      </c>
    </row>
    <row r="88" spans="1:9" x14ac:dyDescent="0.2">
      <c r="A88" s="216" t="s">
        <v>251</v>
      </c>
      <c r="B88" s="217" t="e">
        <f>+'2020'!#REF!</f>
        <v>#REF!</v>
      </c>
      <c r="C88" s="217" t="e">
        <f>+'2020'!#REF!</f>
        <v>#REF!</v>
      </c>
      <c r="D88" s="217" t="e">
        <f>+'2020'!#REF!</f>
        <v>#REF!</v>
      </c>
      <c r="E88" s="217" t="e">
        <f>+'2020'!#REF!</f>
        <v>#REF!</v>
      </c>
      <c r="F88" s="217" t="e">
        <f>+'2020'!#REF!</f>
        <v>#REF!</v>
      </c>
      <c r="G88" s="217" t="e">
        <f>+'2020'!#REF!</f>
        <v>#REF!</v>
      </c>
      <c r="H88" s="217" t="e">
        <f>+'2020'!#REF!</f>
        <v>#REF!</v>
      </c>
      <c r="I88" s="217" t="e">
        <f>+'2020'!#REF!</f>
        <v>#REF!</v>
      </c>
    </row>
    <row r="89" spans="1:9" x14ac:dyDescent="0.2">
      <c r="A89" s="216" t="s">
        <v>252</v>
      </c>
      <c r="B89" s="217" t="e">
        <f>+'2020'!#REF!</f>
        <v>#REF!</v>
      </c>
      <c r="C89" s="217" t="e">
        <f>+'2020'!#REF!</f>
        <v>#REF!</v>
      </c>
      <c r="D89" s="217" t="e">
        <f>+'2020'!#REF!</f>
        <v>#REF!</v>
      </c>
      <c r="E89" s="217" t="e">
        <f>+'2020'!#REF!</f>
        <v>#REF!</v>
      </c>
      <c r="F89" s="217" t="e">
        <f>+'2020'!#REF!</f>
        <v>#REF!</v>
      </c>
      <c r="G89" s="217" t="e">
        <f>+'2020'!#REF!</f>
        <v>#REF!</v>
      </c>
      <c r="H89" s="217" t="e">
        <f>+'2020'!#REF!</f>
        <v>#REF!</v>
      </c>
      <c r="I89" s="217" t="e">
        <f>+'2020'!#REF!</f>
        <v>#REF!</v>
      </c>
    </row>
    <row r="90" spans="1:9" x14ac:dyDescent="0.2">
      <c r="A90" s="216" t="s">
        <v>259</v>
      </c>
      <c r="B90" s="217" t="e">
        <f>+'2020'!#REF!</f>
        <v>#REF!</v>
      </c>
      <c r="C90" s="217" t="e">
        <f>+'2020'!#REF!</f>
        <v>#REF!</v>
      </c>
      <c r="D90" s="217" t="e">
        <f>+'2020'!#REF!</f>
        <v>#REF!</v>
      </c>
      <c r="E90" s="217" t="e">
        <f>+'2020'!#REF!</f>
        <v>#REF!</v>
      </c>
      <c r="F90" s="217" t="e">
        <f>+'2020'!#REF!</f>
        <v>#REF!</v>
      </c>
      <c r="G90" s="217" t="e">
        <f>+'2020'!#REF!</f>
        <v>#REF!</v>
      </c>
      <c r="H90" s="217" t="e">
        <f>+'2020'!#REF!</f>
        <v>#REF!</v>
      </c>
      <c r="I90" s="217" t="e">
        <f>+'2020'!#REF!</f>
        <v>#REF!</v>
      </c>
    </row>
    <row r="91" spans="1:9" x14ac:dyDescent="0.2">
      <c r="A91" s="216" t="s">
        <v>270</v>
      </c>
      <c r="B91" s="217" t="e">
        <f>+'2020'!#REF!</f>
        <v>#REF!</v>
      </c>
      <c r="C91" s="217" t="e">
        <f>+'2020'!#REF!</f>
        <v>#REF!</v>
      </c>
      <c r="D91" s="217" t="e">
        <f>+'2020'!#REF!</f>
        <v>#REF!</v>
      </c>
      <c r="E91" s="217" t="e">
        <f>+'2020'!#REF!</f>
        <v>#REF!</v>
      </c>
      <c r="F91" s="217" t="e">
        <f>+'2020'!#REF!</f>
        <v>#REF!</v>
      </c>
      <c r="G91" s="217" t="e">
        <f>+'2020'!#REF!</f>
        <v>#REF!</v>
      </c>
      <c r="H91" s="217" t="e">
        <f>+'2020'!#REF!</f>
        <v>#REF!</v>
      </c>
      <c r="I91" s="217" t="e">
        <f>+'2020'!#REF!</f>
        <v>#REF!</v>
      </c>
    </row>
    <row r="92" spans="1:9" x14ac:dyDescent="0.2">
      <c r="A92" s="216" t="s">
        <v>304</v>
      </c>
      <c r="B92" s="217" t="e">
        <f>+'2020'!#REF!</f>
        <v>#REF!</v>
      </c>
      <c r="C92" s="217" t="e">
        <f>+'2020'!#REF!</f>
        <v>#REF!</v>
      </c>
      <c r="D92" s="217" t="e">
        <f>+'2020'!#REF!</f>
        <v>#REF!</v>
      </c>
      <c r="E92" s="217" t="e">
        <f>+'2020'!#REF!</f>
        <v>#REF!</v>
      </c>
      <c r="F92" s="217" t="e">
        <f>+'2020'!#REF!</f>
        <v>#REF!</v>
      </c>
      <c r="G92" s="217" t="e">
        <f>+'2020'!#REF!</f>
        <v>#REF!</v>
      </c>
      <c r="H92" s="217" t="e">
        <f>+'2020'!#REF!</f>
        <v>#REF!</v>
      </c>
      <c r="I92" s="217" t="e">
        <f>+'2020'!#REF!</f>
        <v>#REF!</v>
      </c>
    </row>
    <row r="93" spans="1:9" x14ac:dyDescent="0.2">
      <c r="A93" s="216" t="s">
        <v>283</v>
      </c>
      <c r="B93" s="217" t="e">
        <f>+'2020'!#REF!</f>
        <v>#REF!</v>
      </c>
      <c r="C93" s="217" t="e">
        <f>+'2020'!#REF!</f>
        <v>#REF!</v>
      </c>
      <c r="D93" s="217" t="e">
        <f>+'2020'!#REF!</f>
        <v>#REF!</v>
      </c>
      <c r="E93" s="217" t="e">
        <f>+'2020'!#REF!</f>
        <v>#REF!</v>
      </c>
      <c r="F93" s="217" t="e">
        <f>+'2020'!#REF!</f>
        <v>#REF!</v>
      </c>
      <c r="G93" s="217" t="e">
        <f>+'2020'!#REF!</f>
        <v>#REF!</v>
      </c>
      <c r="H93" s="217" t="e">
        <f>+'2020'!#REF!</f>
        <v>#REF!</v>
      </c>
      <c r="I93" s="217" t="e">
        <f>+'2020'!#REF!</f>
        <v>#REF!</v>
      </c>
    </row>
    <row r="94" spans="1:9" x14ac:dyDescent="0.2">
      <c r="A94" s="216" t="s">
        <v>289</v>
      </c>
      <c r="B94" s="217" t="e">
        <f>+'2020'!#REF!</f>
        <v>#REF!</v>
      </c>
      <c r="C94" s="217" t="e">
        <f>+'2020'!#REF!</f>
        <v>#REF!</v>
      </c>
      <c r="D94" s="217" t="e">
        <f>+'2020'!#REF!</f>
        <v>#REF!</v>
      </c>
      <c r="E94" s="217" t="e">
        <f>+'2020'!#REF!</f>
        <v>#REF!</v>
      </c>
      <c r="F94" s="217" t="e">
        <f>+'2020'!#REF!</f>
        <v>#REF!</v>
      </c>
      <c r="G94" s="217" t="e">
        <f>+'2020'!#REF!</f>
        <v>#REF!</v>
      </c>
      <c r="H94" s="217" t="e">
        <f>+'2020'!#REF!</f>
        <v>#REF!</v>
      </c>
      <c r="I94" s="217" t="e">
        <f>+'2020'!#REF!</f>
        <v>#REF!</v>
      </c>
    </row>
    <row r="95" spans="1:9" x14ac:dyDescent="0.2">
      <c r="A95" s="216" t="s">
        <v>220</v>
      </c>
      <c r="B95" s="217" t="e">
        <f>+'2020'!#REF!</f>
        <v>#REF!</v>
      </c>
      <c r="C95" s="217" t="e">
        <f>+'2020'!#REF!</f>
        <v>#REF!</v>
      </c>
      <c r="D95" s="217" t="e">
        <f>+'2020'!#REF!</f>
        <v>#REF!</v>
      </c>
      <c r="E95" s="217" t="e">
        <f>+'2020'!#REF!</f>
        <v>#REF!</v>
      </c>
      <c r="F95" s="217" t="e">
        <f>+'2020'!#REF!</f>
        <v>#REF!</v>
      </c>
      <c r="G95" s="217" t="e">
        <f>+'2020'!#REF!</f>
        <v>#REF!</v>
      </c>
      <c r="H95" s="217" t="e">
        <f>+'2020'!#REF!</f>
        <v>#REF!</v>
      </c>
      <c r="I95" s="217" t="e">
        <f>+'2020'!#REF!</f>
        <v>#REF!</v>
      </c>
    </row>
    <row r="96" spans="1:9" x14ac:dyDescent="0.2">
      <c r="A96" s="216" t="s">
        <v>284</v>
      </c>
      <c r="B96" s="217" t="e">
        <f>+'2020'!#REF!</f>
        <v>#REF!</v>
      </c>
      <c r="C96" s="217" t="e">
        <f>+'2020'!#REF!</f>
        <v>#REF!</v>
      </c>
      <c r="D96" s="217" t="e">
        <f>+'2020'!#REF!</f>
        <v>#REF!</v>
      </c>
      <c r="E96" s="217" t="e">
        <f>+'2020'!#REF!</f>
        <v>#REF!</v>
      </c>
      <c r="F96" s="217" t="e">
        <f>+'2020'!#REF!</f>
        <v>#REF!</v>
      </c>
      <c r="G96" s="217" t="e">
        <f>+'2020'!#REF!</f>
        <v>#REF!</v>
      </c>
      <c r="H96" s="217" t="e">
        <f>+'2020'!#REF!</f>
        <v>#REF!</v>
      </c>
      <c r="I96" s="217" t="e">
        <f>+'2020'!#REF!</f>
        <v>#REF!</v>
      </c>
    </row>
    <row r="97" spans="1:9" x14ac:dyDescent="0.2">
      <c r="A97" s="216" t="s">
        <v>285</v>
      </c>
      <c r="B97" s="217" t="e">
        <f>+'2020'!#REF!</f>
        <v>#REF!</v>
      </c>
      <c r="C97" s="217" t="e">
        <f>+'2020'!#REF!</f>
        <v>#REF!</v>
      </c>
      <c r="D97" s="217" t="e">
        <f>+'2020'!#REF!</f>
        <v>#REF!</v>
      </c>
      <c r="E97" s="217" t="e">
        <f>+'2020'!#REF!</f>
        <v>#REF!</v>
      </c>
      <c r="F97" s="217" t="e">
        <f>+'2020'!#REF!</f>
        <v>#REF!</v>
      </c>
      <c r="G97" s="217" t="e">
        <f>+'2020'!#REF!</f>
        <v>#REF!</v>
      </c>
      <c r="H97" s="217" t="e">
        <f>+'2020'!#REF!</f>
        <v>#REF!</v>
      </c>
      <c r="I97" s="217" t="e">
        <f>+'2020'!#REF!</f>
        <v>#REF!</v>
      </c>
    </row>
    <row r="98" spans="1:9" x14ac:dyDescent="0.2">
      <c r="A98" s="216" t="s">
        <v>298</v>
      </c>
      <c r="B98" s="217" t="e">
        <f>+'2020'!#REF!</f>
        <v>#REF!</v>
      </c>
      <c r="C98" s="217" t="e">
        <f>+'2020'!#REF!</f>
        <v>#REF!</v>
      </c>
      <c r="D98" s="217" t="e">
        <f>+'2020'!#REF!</f>
        <v>#REF!</v>
      </c>
      <c r="E98" s="217" t="e">
        <f>+'2020'!#REF!</f>
        <v>#REF!</v>
      </c>
      <c r="F98" s="217" t="e">
        <f>+'2020'!#REF!</f>
        <v>#REF!</v>
      </c>
      <c r="G98" s="217" t="e">
        <f>+'2020'!#REF!</f>
        <v>#REF!</v>
      </c>
      <c r="H98" s="217" t="e">
        <f>+'2020'!#REF!</f>
        <v>#REF!</v>
      </c>
      <c r="I98" s="217" t="e">
        <f>+'2020'!#REF!</f>
        <v>#REF!</v>
      </c>
    </row>
    <row r="99" spans="1:9" x14ac:dyDescent="0.2">
      <c r="A99" s="216" t="s">
        <v>318</v>
      </c>
      <c r="B99" s="217" t="e">
        <f>+'2020'!#REF!</f>
        <v>#REF!</v>
      </c>
      <c r="C99" s="217" t="e">
        <f>+'2020'!#REF!</f>
        <v>#REF!</v>
      </c>
      <c r="D99" s="217" t="e">
        <f>+'2020'!#REF!</f>
        <v>#REF!</v>
      </c>
      <c r="E99" s="217" t="e">
        <f>+'2020'!#REF!</f>
        <v>#REF!</v>
      </c>
      <c r="F99" s="217" t="e">
        <f>+'2020'!#REF!</f>
        <v>#REF!</v>
      </c>
      <c r="G99" s="217" t="e">
        <f>+'2020'!#REF!</f>
        <v>#REF!</v>
      </c>
      <c r="H99" s="217" t="e">
        <f>+'2020'!#REF!</f>
        <v>#REF!</v>
      </c>
      <c r="I99" s="217" t="e">
        <f>+'2020'!#REF!</f>
        <v>#REF!</v>
      </c>
    </row>
    <row r="100" spans="1:9" x14ac:dyDescent="0.2">
      <c r="A100" s="216" t="s">
        <v>325</v>
      </c>
      <c r="B100" s="217" t="e">
        <f>+'2020'!#REF!</f>
        <v>#REF!</v>
      </c>
      <c r="C100" s="217" t="e">
        <f>+'2020'!#REF!</f>
        <v>#REF!</v>
      </c>
      <c r="D100" s="217" t="e">
        <f>+'2020'!#REF!</f>
        <v>#REF!</v>
      </c>
      <c r="E100" s="217" t="e">
        <f>+'2020'!#REF!</f>
        <v>#REF!</v>
      </c>
      <c r="F100" s="217" t="e">
        <f>+'2020'!#REF!</f>
        <v>#REF!</v>
      </c>
      <c r="G100" s="217" t="e">
        <f>+'2020'!#REF!</f>
        <v>#REF!</v>
      </c>
      <c r="H100" s="217" t="e">
        <f>+'2020'!#REF!</f>
        <v>#REF!</v>
      </c>
      <c r="I100" s="217" t="e">
        <f>+'2020'!#REF!</f>
        <v>#REF!</v>
      </c>
    </row>
    <row r="101" spans="1:9" x14ac:dyDescent="0.2">
      <c r="A101" s="216" t="s">
        <v>329</v>
      </c>
      <c r="B101" s="217" t="e">
        <f>+'2020'!#REF!</f>
        <v>#REF!</v>
      </c>
      <c r="C101" s="217" t="e">
        <f>+'2020'!#REF!</f>
        <v>#REF!</v>
      </c>
      <c r="D101" s="217" t="e">
        <f>+'2020'!#REF!</f>
        <v>#REF!</v>
      </c>
      <c r="E101" s="217" t="e">
        <f>+'2020'!#REF!</f>
        <v>#REF!</v>
      </c>
      <c r="F101" s="217" t="e">
        <f>+'2020'!#REF!</f>
        <v>#REF!</v>
      </c>
      <c r="G101" s="217" t="e">
        <f>+'2020'!#REF!</f>
        <v>#REF!</v>
      </c>
      <c r="H101" s="217" t="e">
        <f>+'2020'!#REF!</f>
        <v>#REF!</v>
      </c>
      <c r="I101" s="217" t="e">
        <f>+'2020'!#REF!</f>
        <v>#REF!</v>
      </c>
    </row>
    <row r="102" spans="1:9" x14ac:dyDescent="0.2">
      <c r="A102" s="216" t="s">
        <v>341</v>
      </c>
      <c r="B102" s="217" t="e">
        <f>+'2020'!#REF!</f>
        <v>#REF!</v>
      </c>
      <c r="C102" s="217" t="e">
        <f>+'2020'!#REF!</f>
        <v>#REF!</v>
      </c>
      <c r="D102" s="217" t="e">
        <f>+'2020'!#REF!</f>
        <v>#REF!</v>
      </c>
      <c r="E102" s="217" t="e">
        <f>+'2020'!#REF!</f>
        <v>#REF!</v>
      </c>
      <c r="F102" s="217" t="e">
        <f>+'2020'!#REF!</f>
        <v>#REF!</v>
      </c>
      <c r="G102" s="217" t="e">
        <f>+'2020'!#REF!</f>
        <v>#REF!</v>
      </c>
      <c r="H102" s="217" t="e">
        <f>+'2020'!#REF!</f>
        <v>#REF!</v>
      </c>
      <c r="I102" s="217" t="e">
        <f>+'2020'!#REF!</f>
        <v>#REF!</v>
      </c>
    </row>
    <row r="103" spans="1:9" x14ac:dyDescent="0.2">
      <c r="A103" s="216" t="s">
        <v>362</v>
      </c>
      <c r="B103" s="217" t="e">
        <f>+'2020'!#REF!</f>
        <v>#REF!</v>
      </c>
      <c r="C103" s="217" t="e">
        <f>+'2020'!#REF!</f>
        <v>#REF!</v>
      </c>
      <c r="D103" s="217" t="e">
        <f>+'2020'!#REF!</f>
        <v>#REF!</v>
      </c>
      <c r="E103" s="217" t="e">
        <f>+'2020'!#REF!</f>
        <v>#REF!</v>
      </c>
      <c r="F103" s="217" t="e">
        <f>+'2020'!#REF!</f>
        <v>#REF!</v>
      </c>
      <c r="G103" s="217" t="e">
        <f>+'2020'!#REF!</f>
        <v>#REF!</v>
      </c>
      <c r="H103" s="217" t="e">
        <f>+'2020'!#REF!</f>
        <v>#REF!</v>
      </c>
      <c r="I103" s="217" t="e">
        <f>+'2020'!#REF!</f>
        <v>#REF!</v>
      </c>
    </row>
    <row r="104" spans="1:9" x14ac:dyDescent="0.2">
      <c r="A104" s="216" t="s">
        <v>229</v>
      </c>
      <c r="B104" s="217" t="e">
        <f>+'2020'!#REF!</f>
        <v>#REF!</v>
      </c>
      <c r="C104" s="217" t="e">
        <f>+'2020'!#REF!</f>
        <v>#REF!</v>
      </c>
      <c r="D104" s="217" t="e">
        <f>+'2020'!#REF!</f>
        <v>#REF!</v>
      </c>
      <c r="E104" s="217" t="e">
        <f>+'2020'!#REF!</f>
        <v>#REF!</v>
      </c>
      <c r="F104" s="217" t="e">
        <f>+'2020'!#REF!</f>
        <v>#REF!</v>
      </c>
      <c r="G104" s="217" t="e">
        <f>+'2020'!#REF!</f>
        <v>#REF!</v>
      </c>
      <c r="H104" s="217" t="e">
        <f>+'2020'!#REF!</f>
        <v>#REF!</v>
      </c>
      <c r="I104" s="217" t="e">
        <f>+'2020'!#REF!</f>
        <v>#REF!</v>
      </c>
    </row>
    <row r="105" spans="1:9" x14ac:dyDescent="0.2">
      <c r="A105" s="216" t="s">
        <v>260</v>
      </c>
      <c r="B105" s="217" t="e">
        <f>+'2020'!#REF!</f>
        <v>#REF!</v>
      </c>
      <c r="C105" s="217" t="e">
        <f>+'2020'!#REF!</f>
        <v>#REF!</v>
      </c>
      <c r="D105" s="217" t="e">
        <f>+'2020'!#REF!</f>
        <v>#REF!</v>
      </c>
      <c r="E105" s="217" t="e">
        <f>+'2020'!#REF!</f>
        <v>#REF!</v>
      </c>
      <c r="F105" s="217" t="e">
        <f>+'2020'!#REF!</f>
        <v>#REF!</v>
      </c>
      <c r="G105" s="217" t="e">
        <f>+'2020'!#REF!</f>
        <v>#REF!</v>
      </c>
      <c r="H105" s="217" t="e">
        <f>+'2020'!#REF!</f>
        <v>#REF!</v>
      </c>
      <c r="I105" s="217" t="e">
        <f>+'2020'!#REF!</f>
        <v>#REF!</v>
      </c>
    </row>
    <row r="106" spans="1:9" x14ac:dyDescent="0.2">
      <c r="A106" s="216" t="s">
        <v>268</v>
      </c>
      <c r="B106" s="217" t="e">
        <f>+'2020'!#REF!</f>
        <v>#REF!</v>
      </c>
      <c r="C106" s="217" t="e">
        <f>+'2020'!#REF!</f>
        <v>#REF!</v>
      </c>
      <c r="D106" s="217" t="e">
        <f>+'2020'!#REF!</f>
        <v>#REF!</v>
      </c>
      <c r="E106" s="217" t="e">
        <f>+'2020'!#REF!</f>
        <v>#REF!</v>
      </c>
      <c r="F106" s="217" t="e">
        <f>+'2020'!#REF!</f>
        <v>#REF!</v>
      </c>
      <c r="G106" s="217" t="e">
        <f>+'2020'!#REF!</f>
        <v>#REF!</v>
      </c>
      <c r="H106" s="217" t="e">
        <f>+'2020'!#REF!</f>
        <v>#REF!</v>
      </c>
      <c r="I106" s="217" t="e">
        <f>+'2020'!#REF!</f>
        <v>#REF!</v>
      </c>
    </row>
    <row r="107" spans="1:9" x14ac:dyDescent="0.2">
      <c r="A107" s="216" t="s">
        <v>316</v>
      </c>
      <c r="B107" s="217" t="e">
        <f>+'2020'!#REF!</f>
        <v>#REF!</v>
      </c>
      <c r="C107" s="217" t="e">
        <f>+'2020'!#REF!</f>
        <v>#REF!</v>
      </c>
      <c r="D107" s="217" t="e">
        <f>+'2020'!#REF!</f>
        <v>#REF!</v>
      </c>
      <c r="E107" s="217" t="e">
        <f>+'2020'!#REF!</f>
        <v>#REF!</v>
      </c>
      <c r="F107" s="217" t="e">
        <f>+'2020'!#REF!</f>
        <v>#REF!</v>
      </c>
      <c r="G107" s="217" t="e">
        <f>+'2020'!#REF!</f>
        <v>#REF!</v>
      </c>
      <c r="H107" s="217" t="e">
        <f>+'2020'!#REF!</f>
        <v>#REF!</v>
      </c>
      <c r="I107" s="217" t="e">
        <f>+'2020'!#REF!</f>
        <v>#REF!</v>
      </c>
    </row>
    <row r="108" spans="1:9" x14ac:dyDescent="0.2">
      <c r="A108" s="216" t="s">
        <v>342</v>
      </c>
      <c r="B108" s="217" t="e">
        <f>+'2020'!#REF!</f>
        <v>#REF!</v>
      </c>
      <c r="C108" s="217" t="e">
        <f>+'2020'!#REF!</f>
        <v>#REF!</v>
      </c>
      <c r="D108" s="217" t="e">
        <f>+'2020'!#REF!</f>
        <v>#REF!</v>
      </c>
      <c r="E108" s="217" t="e">
        <f>+'2020'!#REF!</f>
        <v>#REF!</v>
      </c>
      <c r="F108" s="217" t="e">
        <f>+'2020'!#REF!</f>
        <v>#REF!</v>
      </c>
      <c r="G108" s="217" t="e">
        <f>+'2020'!#REF!</f>
        <v>#REF!</v>
      </c>
      <c r="H108" s="217" t="e">
        <f>+'2020'!#REF!</f>
        <v>#REF!</v>
      </c>
      <c r="I108" s="217" t="e">
        <f>+'2020'!#REF!</f>
        <v>#REF!</v>
      </c>
    </row>
    <row r="109" spans="1:9" x14ac:dyDescent="0.2">
      <c r="A109" s="216" t="s">
        <v>319</v>
      </c>
      <c r="B109" s="217" t="e">
        <f>+'2020'!#REF!</f>
        <v>#REF!</v>
      </c>
      <c r="C109" s="217" t="e">
        <f>+'2020'!#REF!</f>
        <v>#REF!</v>
      </c>
      <c r="D109" s="217" t="e">
        <f>+'2020'!#REF!</f>
        <v>#REF!</v>
      </c>
      <c r="E109" s="217" t="e">
        <f>+'2020'!#REF!</f>
        <v>#REF!</v>
      </c>
      <c r="F109" s="217" t="e">
        <f>+'2020'!#REF!</f>
        <v>#REF!</v>
      </c>
      <c r="G109" s="217" t="e">
        <f>+'2020'!#REF!</f>
        <v>#REF!</v>
      </c>
      <c r="H109" s="217" t="e">
        <f>+'2020'!#REF!</f>
        <v>#REF!</v>
      </c>
      <c r="I109" s="217" t="e">
        <f>+'2020'!#REF!</f>
        <v>#REF!</v>
      </c>
    </row>
    <row r="110" spans="1:9" x14ac:dyDescent="0.2">
      <c r="A110" s="216" t="s">
        <v>335</v>
      </c>
      <c r="B110" s="217" t="e">
        <f>+'2020'!#REF!</f>
        <v>#REF!</v>
      </c>
      <c r="C110" s="217" t="e">
        <f>+'2020'!#REF!</f>
        <v>#REF!</v>
      </c>
      <c r="D110" s="217" t="e">
        <f>+'2020'!#REF!</f>
        <v>#REF!</v>
      </c>
      <c r="E110" s="217" t="e">
        <f>+'2020'!#REF!</f>
        <v>#REF!</v>
      </c>
      <c r="F110" s="217" t="e">
        <f>+'2020'!#REF!</f>
        <v>#REF!</v>
      </c>
      <c r="G110" s="217" t="e">
        <f>+'2020'!#REF!</f>
        <v>#REF!</v>
      </c>
      <c r="H110" s="217" t="e">
        <f>+'2020'!#REF!</f>
        <v>#REF!</v>
      </c>
      <c r="I110" s="217" t="e">
        <f>+'2020'!#REF!</f>
        <v>#REF!</v>
      </c>
    </row>
    <row r="111" spans="1:9" x14ac:dyDescent="0.2">
      <c r="A111" s="216" t="s">
        <v>244</v>
      </c>
      <c r="B111" s="217" t="e">
        <f>+'2020'!#REF!</f>
        <v>#REF!</v>
      </c>
      <c r="C111" s="217" t="e">
        <f>+'2020'!#REF!</f>
        <v>#REF!</v>
      </c>
      <c r="D111" s="217" t="e">
        <f>+'2020'!#REF!</f>
        <v>#REF!</v>
      </c>
      <c r="E111" s="217" t="e">
        <f>+'2020'!#REF!</f>
        <v>#REF!</v>
      </c>
      <c r="F111" s="217" t="e">
        <f>+'2020'!#REF!</f>
        <v>#REF!</v>
      </c>
      <c r="G111" s="217" t="e">
        <f>+'2020'!#REF!</f>
        <v>#REF!</v>
      </c>
      <c r="H111" s="217" t="e">
        <f>+'2020'!#REF!</f>
        <v>#REF!</v>
      </c>
      <c r="I111" s="217" t="e">
        <f>+'2020'!#REF!</f>
        <v>#REF!</v>
      </c>
    </row>
    <row r="112" spans="1:9" x14ac:dyDescent="0.2">
      <c r="A112" s="216" t="s">
        <v>258</v>
      </c>
      <c r="B112" s="217" t="e">
        <f>+'2020'!#REF!</f>
        <v>#REF!</v>
      </c>
      <c r="C112" s="217" t="e">
        <f>+'2020'!#REF!</f>
        <v>#REF!</v>
      </c>
      <c r="D112" s="217" t="e">
        <f>+'2020'!#REF!</f>
        <v>#REF!</v>
      </c>
      <c r="E112" s="217" t="e">
        <f>+'2020'!#REF!</f>
        <v>#REF!</v>
      </c>
      <c r="F112" s="217" t="e">
        <f>+'2020'!#REF!</f>
        <v>#REF!</v>
      </c>
      <c r="G112" s="217" t="e">
        <f>+'2020'!#REF!</f>
        <v>#REF!</v>
      </c>
      <c r="H112" s="217" t="e">
        <f>+'2020'!#REF!</f>
        <v>#REF!</v>
      </c>
      <c r="I112" s="217" t="e">
        <f>+'2020'!#REF!</f>
        <v>#REF!</v>
      </c>
    </row>
    <row r="113" spans="1:9" x14ac:dyDescent="0.2">
      <c r="A113" s="216" t="s">
        <v>264</v>
      </c>
      <c r="B113" s="217" t="e">
        <f>+'2020'!#REF!</f>
        <v>#REF!</v>
      </c>
      <c r="C113" s="217" t="e">
        <f>+'2020'!#REF!</f>
        <v>#REF!</v>
      </c>
      <c r="D113" s="217" t="e">
        <f>+'2020'!#REF!</f>
        <v>#REF!</v>
      </c>
      <c r="E113" s="217" t="e">
        <f>+'2020'!#REF!</f>
        <v>#REF!</v>
      </c>
      <c r="F113" s="217" t="e">
        <f>+'2020'!#REF!</f>
        <v>#REF!</v>
      </c>
      <c r="G113" s="217" t="e">
        <f>+'2020'!#REF!</f>
        <v>#REF!</v>
      </c>
      <c r="H113" s="217" t="e">
        <f>+'2020'!#REF!</f>
        <v>#REF!</v>
      </c>
      <c r="I113" s="217" t="e">
        <f>+'2020'!#REF!</f>
        <v>#REF!</v>
      </c>
    </row>
    <row r="114" spans="1:9" x14ac:dyDescent="0.2">
      <c r="A114" s="216" t="s">
        <v>278</v>
      </c>
      <c r="B114" s="217" t="e">
        <f>+'2020'!#REF!</f>
        <v>#REF!</v>
      </c>
      <c r="C114" s="217" t="e">
        <f>+'2020'!#REF!</f>
        <v>#REF!</v>
      </c>
      <c r="D114" s="217" t="e">
        <f>+'2020'!#REF!</f>
        <v>#REF!</v>
      </c>
      <c r="E114" s="217" t="e">
        <f>+'2020'!#REF!</f>
        <v>#REF!</v>
      </c>
      <c r="F114" s="217" t="e">
        <f>+'2020'!#REF!</f>
        <v>#REF!</v>
      </c>
      <c r="G114" s="217" t="e">
        <f>+'2020'!#REF!</f>
        <v>#REF!</v>
      </c>
      <c r="H114" s="217" t="e">
        <f>+'2020'!#REF!</f>
        <v>#REF!</v>
      </c>
      <c r="I114" s="217" t="e">
        <f>+'2020'!#REF!</f>
        <v>#REF!</v>
      </c>
    </row>
    <row r="115" spans="1:9" x14ac:dyDescent="0.2">
      <c r="A115" s="216" t="s">
        <v>294</v>
      </c>
      <c r="B115" s="217" t="e">
        <f>+'2020'!#REF!</f>
        <v>#REF!</v>
      </c>
      <c r="C115" s="217" t="e">
        <f>+'2020'!#REF!</f>
        <v>#REF!</v>
      </c>
      <c r="D115" s="217" t="e">
        <f>+'2020'!#REF!</f>
        <v>#REF!</v>
      </c>
      <c r="E115" s="217" t="e">
        <f>+'2020'!#REF!</f>
        <v>#REF!</v>
      </c>
      <c r="F115" s="217" t="e">
        <f>+'2020'!#REF!</f>
        <v>#REF!</v>
      </c>
      <c r="G115" s="217" t="e">
        <f>+'2020'!#REF!</f>
        <v>#REF!</v>
      </c>
      <c r="H115" s="217" t="e">
        <f>+'2020'!#REF!</f>
        <v>#REF!</v>
      </c>
      <c r="I115" s="217" t="e">
        <f>+'2020'!#REF!</f>
        <v>#REF!</v>
      </c>
    </row>
    <row r="116" spans="1:9" x14ac:dyDescent="0.2">
      <c r="A116" s="216" t="s">
        <v>305</v>
      </c>
      <c r="B116" s="217" t="e">
        <f>+'2020'!#REF!</f>
        <v>#REF!</v>
      </c>
      <c r="C116" s="217" t="e">
        <f>+'2020'!#REF!</f>
        <v>#REF!</v>
      </c>
      <c r="D116" s="217" t="e">
        <f>+'2020'!#REF!</f>
        <v>#REF!</v>
      </c>
      <c r="E116" s="217" t="e">
        <f>+'2020'!#REF!</f>
        <v>#REF!</v>
      </c>
      <c r="F116" s="217" t="e">
        <f>+'2020'!#REF!</f>
        <v>#REF!</v>
      </c>
      <c r="G116" s="217" t="e">
        <f>+'2020'!#REF!</f>
        <v>#REF!</v>
      </c>
      <c r="H116" s="217" t="e">
        <f>+'2020'!#REF!</f>
        <v>#REF!</v>
      </c>
      <c r="I116" s="217" t="e">
        <f>+'2020'!#REF!</f>
        <v>#REF!</v>
      </c>
    </row>
    <row r="117" spans="1:9" x14ac:dyDescent="0.2">
      <c r="A117" s="216" t="s">
        <v>306</v>
      </c>
      <c r="B117" s="217" t="e">
        <f>+'2020'!#REF!</f>
        <v>#REF!</v>
      </c>
      <c r="C117" s="217" t="e">
        <f>+'2020'!#REF!</f>
        <v>#REF!</v>
      </c>
      <c r="D117" s="217" t="e">
        <f>+'2020'!#REF!</f>
        <v>#REF!</v>
      </c>
      <c r="E117" s="217" t="e">
        <f>+'2020'!#REF!</f>
        <v>#REF!</v>
      </c>
      <c r="F117" s="217" t="e">
        <f>+'2020'!#REF!</f>
        <v>#REF!</v>
      </c>
      <c r="G117" s="217" t="e">
        <f>+'2020'!#REF!</f>
        <v>#REF!</v>
      </c>
      <c r="H117" s="217" t="e">
        <f>+'2020'!#REF!</f>
        <v>#REF!</v>
      </c>
      <c r="I117" s="217" t="e">
        <f>+'2020'!#REF!</f>
        <v>#REF!</v>
      </c>
    </row>
    <row r="118" spans="1:9" x14ac:dyDescent="0.2">
      <c r="A118" s="216" t="s">
        <v>307</v>
      </c>
      <c r="B118" s="217" t="e">
        <f>+'2020'!#REF!</f>
        <v>#REF!</v>
      </c>
      <c r="C118" s="217" t="e">
        <f>+'2020'!#REF!</f>
        <v>#REF!</v>
      </c>
      <c r="D118" s="217" t="e">
        <f>+'2020'!#REF!</f>
        <v>#REF!</v>
      </c>
      <c r="E118" s="217" t="e">
        <f>+'2020'!#REF!</f>
        <v>#REF!</v>
      </c>
      <c r="F118" s="217" t="e">
        <f>+'2020'!#REF!</f>
        <v>#REF!</v>
      </c>
      <c r="G118" s="217" t="e">
        <f>+'2020'!#REF!</f>
        <v>#REF!</v>
      </c>
      <c r="H118" s="217" t="e">
        <f>+'2020'!#REF!</f>
        <v>#REF!</v>
      </c>
      <c r="I118" s="217" t="e">
        <f>+'2020'!#REF!</f>
        <v>#REF!</v>
      </c>
    </row>
    <row r="119" spans="1:9" x14ac:dyDescent="0.2">
      <c r="A119" s="216" t="s">
        <v>328</v>
      </c>
      <c r="B119" s="217" t="e">
        <f>+'2020'!#REF!</f>
        <v>#REF!</v>
      </c>
      <c r="C119" s="217" t="e">
        <f>+'2020'!#REF!</f>
        <v>#REF!</v>
      </c>
      <c r="D119" s="217" t="e">
        <f>+'2020'!#REF!</f>
        <v>#REF!</v>
      </c>
      <c r="E119" s="217" t="e">
        <f>+'2020'!#REF!</f>
        <v>#REF!</v>
      </c>
      <c r="F119" s="217" t="e">
        <f>+'2020'!#REF!</f>
        <v>#REF!</v>
      </c>
      <c r="G119" s="217" t="e">
        <f>+'2020'!#REF!</f>
        <v>#REF!</v>
      </c>
      <c r="H119" s="217" t="e">
        <f>+'2020'!#REF!</f>
        <v>#REF!</v>
      </c>
      <c r="I119" s="217" t="e">
        <f>+'2020'!#REF!</f>
        <v>#REF!</v>
      </c>
    </row>
    <row r="120" spans="1:9" x14ac:dyDescent="0.2">
      <c r="A120" s="216" t="s">
        <v>337</v>
      </c>
      <c r="B120" s="217" t="e">
        <f>+'2020'!#REF!</f>
        <v>#REF!</v>
      </c>
      <c r="C120" s="217" t="e">
        <f>+'2020'!#REF!</f>
        <v>#REF!</v>
      </c>
      <c r="D120" s="217" t="e">
        <f>+'2020'!#REF!</f>
        <v>#REF!</v>
      </c>
      <c r="E120" s="217" t="e">
        <f>+'2020'!#REF!</f>
        <v>#REF!</v>
      </c>
      <c r="F120" s="217" t="e">
        <f>+'2020'!#REF!</f>
        <v>#REF!</v>
      </c>
      <c r="G120" s="217" t="e">
        <f>+'2020'!#REF!</f>
        <v>#REF!</v>
      </c>
      <c r="H120" s="217" t="e">
        <f>+'2020'!#REF!</f>
        <v>#REF!</v>
      </c>
      <c r="I120" s="217" t="e">
        <f>+'2020'!#REF!</f>
        <v>#REF!</v>
      </c>
    </row>
    <row r="121" spans="1:9" x14ac:dyDescent="0.2">
      <c r="A121" s="216" t="s">
        <v>249</v>
      </c>
      <c r="B121" s="217" t="e">
        <f>+'2020'!#REF!</f>
        <v>#REF!</v>
      </c>
      <c r="C121" s="217" t="e">
        <f>+'2020'!#REF!</f>
        <v>#REF!</v>
      </c>
      <c r="D121" s="217" t="e">
        <f>+'2020'!#REF!</f>
        <v>#REF!</v>
      </c>
      <c r="E121" s="217" t="e">
        <f>+'2020'!#REF!</f>
        <v>#REF!</v>
      </c>
      <c r="F121" s="217" t="e">
        <f>+'2020'!#REF!</f>
        <v>#REF!</v>
      </c>
      <c r="G121" s="217" t="e">
        <f>+'2020'!#REF!</f>
        <v>#REF!</v>
      </c>
      <c r="H121" s="217" t="e">
        <f>+'2020'!#REF!</f>
        <v>#REF!</v>
      </c>
      <c r="I121" s="217" t="e">
        <f>+'2020'!#REF!</f>
        <v>#REF!</v>
      </c>
    </row>
    <row r="122" spans="1:9" x14ac:dyDescent="0.2">
      <c r="A122" s="216" t="s">
        <v>261</v>
      </c>
      <c r="B122" s="217" t="e">
        <f>+'2020'!#REF!</f>
        <v>#REF!</v>
      </c>
      <c r="C122" s="217" t="e">
        <f>+'2020'!#REF!</f>
        <v>#REF!</v>
      </c>
      <c r="D122" s="217" t="e">
        <f>+'2020'!#REF!</f>
        <v>#REF!</v>
      </c>
      <c r="E122" s="217" t="e">
        <f>+'2020'!#REF!</f>
        <v>#REF!</v>
      </c>
      <c r="F122" s="217" t="e">
        <f>+'2020'!#REF!</f>
        <v>#REF!</v>
      </c>
      <c r="G122" s="217" t="e">
        <f>+'2020'!#REF!</f>
        <v>#REF!</v>
      </c>
      <c r="H122" s="217" t="e">
        <f>+'2020'!#REF!</f>
        <v>#REF!</v>
      </c>
      <c r="I122" s="217" t="e">
        <f>+'2020'!#REF!</f>
        <v>#REF!</v>
      </c>
    </row>
  </sheetData>
  <phoneticPr fontId="0" type="noConversion"/>
  <printOptions horizontalCentered="1"/>
  <pageMargins left="0.41" right="0.41" top="0.42" bottom="0.45"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H132"/>
  <sheetViews>
    <sheetView showGridLines="0" zoomScale="130" zoomScaleNormal="130" workbookViewId="0">
      <pane xSplit="2" ySplit="1" topLeftCell="C38" activePane="bottomRight" state="frozen"/>
      <selection pane="topRight" activeCell="C1" sqref="C1"/>
      <selection pane="bottomLeft" activeCell="A2" sqref="A2"/>
      <selection pane="bottomRight" activeCell="C65" sqref="C65"/>
    </sheetView>
  </sheetViews>
  <sheetFormatPr baseColWidth="10" defaultColWidth="11.42578125" defaultRowHeight="11.25" outlineLevelRow="1" x14ac:dyDescent="0.2"/>
  <cols>
    <col min="1" max="1" width="11.5703125" style="106" customWidth="1"/>
    <col min="2" max="2" width="20.5703125" style="106" customWidth="1"/>
    <col min="3" max="4" width="15.28515625" style="163" customWidth="1"/>
    <col min="5" max="5" width="15.28515625" style="106" customWidth="1"/>
    <col min="6" max="6" width="13.28515625" style="106" bestFit="1" customWidth="1"/>
    <col min="7" max="7" width="12.42578125" style="133" bestFit="1" customWidth="1"/>
    <col min="8" max="16384" width="11.42578125" style="106"/>
  </cols>
  <sheetData>
    <row r="1" spans="1:8" ht="12" x14ac:dyDescent="0.2">
      <c r="A1" s="86" t="s">
        <v>55</v>
      </c>
      <c r="B1" s="87" t="s">
        <v>56</v>
      </c>
      <c r="C1" s="88" t="s">
        <v>57</v>
      </c>
      <c r="D1" s="88" t="s">
        <v>58</v>
      </c>
      <c r="E1" s="88" t="s">
        <v>41</v>
      </c>
    </row>
    <row r="2" spans="1:8" outlineLevel="1" x14ac:dyDescent="0.2">
      <c r="A2" s="262" t="s">
        <v>45</v>
      </c>
      <c r="B2" s="105" t="s">
        <v>280</v>
      </c>
      <c r="C2" s="161" t="e">
        <f>+'2020'!#REF!</f>
        <v>#REF!</v>
      </c>
      <c r="D2" s="161" t="e">
        <f>+'2020'!#REF!</f>
        <v>#REF!</v>
      </c>
      <c r="E2" s="161" t="e">
        <f t="shared" ref="E2:E6" si="0">+C2+D2</f>
        <v>#REF!</v>
      </c>
      <c r="F2" s="106">
        <v>1</v>
      </c>
      <c r="H2" s="257"/>
    </row>
    <row r="3" spans="1:8" outlineLevel="1" x14ac:dyDescent="0.2">
      <c r="A3" s="262"/>
      <c r="B3" s="105" t="s">
        <v>287</v>
      </c>
      <c r="C3" s="161" t="e">
        <f>+'2020'!#REF!</f>
        <v>#REF!</v>
      </c>
      <c r="D3" s="161" t="e">
        <f>+'2020'!#REF!</f>
        <v>#REF!</v>
      </c>
      <c r="E3" s="161" t="e">
        <f t="shared" si="0"/>
        <v>#REF!</v>
      </c>
      <c r="F3" s="106">
        <v>2</v>
      </c>
      <c r="H3" s="257"/>
    </row>
    <row r="4" spans="1:8" outlineLevel="1" x14ac:dyDescent="0.2">
      <c r="A4" s="262"/>
      <c r="B4" s="105" t="s">
        <v>355</v>
      </c>
      <c r="C4" s="161" t="e">
        <f>+'2020'!#REF!</f>
        <v>#REF!</v>
      </c>
      <c r="D4" s="161" t="e">
        <f>+'2020'!#REF!</f>
        <v>#REF!</v>
      </c>
      <c r="E4" s="161" t="e">
        <f t="shared" si="0"/>
        <v>#REF!</v>
      </c>
      <c r="F4" s="106">
        <v>3</v>
      </c>
      <c r="H4" s="257"/>
    </row>
    <row r="5" spans="1:8" outlineLevel="1" x14ac:dyDescent="0.2">
      <c r="A5" s="262"/>
      <c r="B5" s="105" t="s">
        <v>100</v>
      </c>
      <c r="C5" s="161" t="e">
        <f>+'2020'!#REF!</f>
        <v>#REF!</v>
      </c>
      <c r="D5" s="161" t="e">
        <f>+'2020'!#REF!</f>
        <v>#REF!</v>
      </c>
      <c r="E5" s="161" t="e">
        <f t="shared" si="0"/>
        <v>#REF!</v>
      </c>
      <c r="F5" s="106">
        <v>4</v>
      </c>
      <c r="H5" s="257"/>
    </row>
    <row r="6" spans="1:8" outlineLevel="1" x14ac:dyDescent="0.2">
      <c r="A6" s="262"/>
      <c r="B6" s="105" t="s">
        <v>356</v>
      </c>
      <c r="C6" s="161" t="e">
        <f>+'2020'!#REF!</f>
        <v>#REF!</v>
      </c>
      <c r="D6" s="161" t="e">
        <f>+'2020'!#REF!</f>
        <v>#REF!</v>
      </c>
      <c r="E6" s="161" t="e">
        <f t="shared" si="0"/>
        <v>#REF!</v>
      </c>
      <c r="F6" s="106">
        <v>5</v>
      </c>
      <c r="H6" s="257"/>
    </row>
    <row r="7" spans="1:8" x14ac:dyDescent="0.2">
      <c r="A7" s="339" t="s">
        <v>63</v>
      </c>
      <c r="B7" s="340"/>
      <c r="C7" s="162" t="e">
        <f>+SUM(C2:C6)</f>
        <v>#REF!</v>
      </c>
      <c r="D7" s="162" t="e">
        <f>+SUM(D2:D6)</f>
        <v>#REF!</v>
      </c>
      <c r="E7" s="162" t="e">
        <f>+SUM(E2:E6)</f>
        <v>#REF!</v>
      </c>
      <c r="G7" s="133" t="e">
        <f>E7/$E$120</f>
        <v>#REF!</v>
      </c>
      <c r="H7" s="257"/>
    </row>
    <row r="8" spans="1:8" outlineLevel="1" x14ac:dyDescent="0.2">
      <c r="A8" s="262" t="s">
        <v>40</v>
      </c>
      <c r="B8" s="105" t="s">
        <v>107</v>
      </c>
      <c r="C8" s="161" t="e">
        <f>+'2020'!#REF!</f>
        <v>#REF!</v>
      </c>
      <c r="D8" s="161" t="e">
        <f>+'2020'!#REF!</f>
        <v>#REF!</v>
      </c>
      <c r="E8" s="161" t="e">
        <f t="shared" ref="E8:E28" si="1">+C8+D8</f>
        <v>#REF!</v>
      </c>
      <c r="F8" s="106">
        <f>+F6+1</f>
        <v>6</v>
      </c>
      <c r="H8" s="257"/>
    </row>
    <row r="9" spans="1:8" outlineLevel="1" x14ac:dyDescent="0.2">
      <c r="A9" s="262"/>
      <c r="B9" s="105" t="s">
        <v>193</v>
      </c>
      <c r="C9" s="161" t="e">
        <f>+'2020'!#REF!</f>
        <v>#REF!</v>
      </c>
      <c r="D9" s="161" t="e">
        <f>+'2020'!#REF!</f>
        <v>#REF!</v>
      </c>
      <c r="E9" s="161" t="e">
        <f t="shared" si="1"/>
        <v>#REF!</v>
      </c>
      <c r="F9" s="106">
        <f>+F8+1</f>
        <v>7</v>
      </c>
      <c r="H9" s="257"/>
    </row>
    <row r="10" spans="1:8" outlineLevel="1" x14ac:dyDescent="0.2">
      <c r="A10" s="262"/>
      <c r="B10" s="105" t="s">
        <v>199</v>
      </c>
      <c r="C10" s="161" t="e">
        <f>+'2020'!#REF!</f>
        <v>#REF!</v>
      </c>
      <c r="D10" s="161" t="e">
        <f>+'2020'!#REF!</f>
        <v>#REF!</v>
      </c>
      <c r="E10" s="161" t="e">
        <f t="shared" si="1"/>
        <v>#REF!</v>
      </c>
      <c r="F10" s="106">
        <f t="shared" ref="F10:F28" si="2">+F9+1</f>
        <v>8</v>
      </c>
      <c r="H10" s="257"/>
    </row>
    <row r="11" spans="1:8" outlineLevel="1" x14ac:dyDescent="0.2">
      <c r="A11" s="262"/>
      <c r="B11" s="105" t="s">
        <v>242</v>
      </c>
      <c r="C11" s="161" t="e">
        <f>+'2020'!#REF!</f>
        <v>#REF!</v>
      </c>
      <c r="D11" s="161" t="e">
        <f>+'2020'!#REF!</f>
        <v>#REF!</v>
      </c>
      <c r="E11" s="161" t="e">
        <f t="shared" si="1"/>
        <v>#REF!</v>
      </c>
      <c r="F11" s="106">
        <f t="shared" si="2"/>
        <v>9</v>
      </c>
      <c r="H11" s="257"/>
    </row>
    <row r="12" spans="1:8" outlineLevel="1" x14ac:dyDescent="0.2">
      <c r="A12" s="262"/>
      <c r="B12" s="105" t="s">
        <v>245</v>
      </c>
      <c r="C12" s="161" t="e">
        <f>+'2020'!#REF!</f>
        <v>#REF!</v>
      </c>
      <c r="D12" s="161" t="e">
        <f>+'2020'!#REF!</f>
        <v>#REF!</v>
      </c>
      <c r="E12" s="161" t="e">
        <f t="shared" si="1"/>
        <v>#REF!</v>
      </c>
      <c r="F12" s="106">
        <f t="shared" si="2"/>
        <v>10</v>
      </c>
      <c r="H12" s="257"/>
    </row>
    <row r="13" spans="1:8" outlineLevel="1" x14ac:dyDescent="0.2">
      <c r="A13" s="262"/>
      <c r="B13" s="105" t="s">
        <v>253</v>
      </c>
      <c r="C13" s="161" t="e">
        <f>+'2020'!#REF!</f>
        <v>#REF!</v>
      </c>
      <c r="D13" s="161" t="e">
        <f>+'2020'!#REF!</f>
        <v>#REF!</v>
      </c>
      <c r="E13" s="161" t="e">
        <f t="shared" si="1"/>
        <v>#REF!</v>
      </c>
      <c r="F13" s="106">
        <f t="shared" si="2"/>
        <v>11</v>
      </c>
      <c r="H13" s="257"/>
    </row>
    <row r="14" spans="1:8" outlineLevel="1" x14ac:dyDescent="0.2">
      <c r="A14" s="262"/>
      <c r="B14" s="105" t="s">
        <v>256</v>
      </c>
      <c r="C14" s="161" t="e">
        <f>+'2020'!#REF!</f>
        <v>#REF!</v>
      </c>
      <c r="D14" s="161" t="e">
        <f>+'2020'!#REF!</f>
        <v>#REF!</v>
      </c>
      <c r="E14" s="161" t="e">
        <f t="shared" si="1"/>
        <v>#REF!</v>
      </c>
      <c r="F14" s="106">
        <f t="shared" si="2"/>
        <v>12</v>
      </c>
      <c r="H14" s="257"/>
    </row>
    <row r="15" spans="1:8" outlineLevel="1" x14ac:dyDescent="0.2">
      <c r="A15" s="262"/>
      <c r="B15" s="105" t="s">
        <v>71</v>
      </c>
      <c r="C15" s="161" t="e">
        <f>+'2020'!#REF!</f>
        <v>#REF!</v>
      </c>
      <c r="D15" s="161" t="e">
        <f>+'2020'!#REF!</f>
        <v>#REF!</v>
      </c>
      <c r="E15" s="161" t="e">
        <f t="shared" si="1"/>
        <v>#REF!</v>
      </c>
      <c r="F15" s="106">
        <f t="shared" si="2"/>
        <v>13</v>
      </c>
      <c r="H15" s="257"/>
    </row>
    <row r="16" spans="1:8" outlineLevel="1" x14ac:dyDescent="0.2">
      <c r="A16" s="262"/>
      <c r="B16" s="105" t="s">
        <v>266</v>
      </c>
      <c r="C16" s="161" t="e">
        <f>+'2020'!#REF!</f>
        <v>#REF!</v>
      </c>
      <c r="D16" s="161" t="e">
        <f>+'2020'!#REF!</f>
        <v>#REF!</v>
      </c>
      <c r="E16" s="161" t="e">
        <f t="shared" si="1"/>
        <v>#REF!</v>
      </c>
      <c r="F16" s="106">
        <f t="shared" si="2"/>
        <v>14</v>
      </c>
      <c r="H16" s="257"/>
    </row>
    <row r="17" spans="1:8" outlineLevel="1" x14ac:dyDescent="0.2">
      <c r="A17" s="262"/>
      <c r="B17" s="105" t="s">
        <v>267</v>
      </c>
      <c r="C17" s="161" t="e">
        <f>+'2020'!#REF!</f>
        <v>#REF!</v>
      </c>
      <c r="D17" s="161" t="e">
        <f>+'2020'!#REF!</f>
        <v>#REF!</v>
      </c>
      <c r="E17" s="161" t="e">
        <f t="shared" si="1"/>
        <v>#REF!</v>
      </c>
      <c r="F17" s="106">
        <f t="shared" si="2"/>
        <v>15</v>
      </c>
      <c r="H17" s="257"/>
    </row>
    <row r="18" spans="1:8" outlineLevel="1" x14ac:dyDescent="0.2">
      <c r="A18" s="262"/>
      <c r="B18" s="105" t="s">
        <v>273</v>
      </c>
      <c r="C18" s="161" t="e">
        <f>+'2020'!#REF!</f>
        <v>#REF!</v>
      </c>
      <c r="D18" s="161" t="e">
        <f>+'2020'!#REF!</f>
        <v>#REF!</v>
      </c>
      <c r="E18" s="161" t="e">
        <f t="shared" si="1"/>
        <v>#REF!</v>
      </c>
      <c r="F18" s="106">
        <f t="shared" si="2"/>
        <v>16</v>
      </c>
      <c r="H18" s="257"/>
    </row>
    <row r="19" spans="1:8" outlineLevel="1" x14ac:dyDescent="0.2">
      <c r="A19" s="262"/>
      <c r="B19" s="105" t="s">
        <v>274</v>
      </c>
      <c r="C19" s="161" t="e">
        <f>+'2020'!#REF!</f>
        <v>#REF!</v>
      </c>
      <c r="D19" s="161" t="e">
        <f>+'2020'!#REF!</f>
        <v>#REF!</v>
      </c>
      <c r="E19" s="161" t="e">
        <f t="shared" si="1"/>
        <v>#REF!</v>
      </c>
      <c r="F19" s="106">
        <f t="shared" si="2"/>
        <v>17</v>
      </c>
      <c r="H19" s="257"/>
    </row>
    <row r="20" spans="1:8" outlineLevel="1" x14ac:dyDescent="0.2">
      <c r="A20" s="262"/>
      <c r="B20" s="105" t="s">
        <v>292</v>
      </c>
      <c r="C20" s="161" t="e">
        <f>+'2020'!#REF!</f>
        <v>#REF!</v>
      </c>
      <c r="D20" s="161" t="e">
        <f>+'2020'!#REF!</f>
        <v>#REF!</v>
      </c>
      <c r="E20" s="161" t="e">
        <f t="shared" si="1"/>
        <v>#REF!</v>
      </c>
      <c r="F20" s="106">
        <f t="shared" si="2"/>
        <v>18</v>
      </c>
      <c r="H20" s="257"/>
    </row>
    <row r="21" spans="1:8" outlineLevel="1" x14ac:dyDescent="0.2">
      <c r="A21" s="262"/>
      <c r="B21" s="105" t="s">
        <v>296</v>
      </c>
      <c r="C21" s="161" t="e">
        <f>+'2020'!#REF!</f>
        <v>#REF!</v>
      </c>
      <c r="D21" s="161" t="e">
        <f>+'2020'!#REF!</f>
        <v>#REF!</v>
      </c>
      <c r="E21" s="161" t="e">
        <f t="shared" si="1"/>
        <v>#REF!</v>
      </c>
      <c r="F21" s="106">
        <f t="shared" si="2"/>
        <v>19</v>
      </c>
      <c r="H21" s="257"/>
    </row>
    <row r="22" spans="1:8" outlineLevel="1" x14ac:dyDescent="0.2">
      <c r="A22" s="262"/>
      <c r="B22" s="105" t="s">
        <v>303</v>
      </c>
      <c r="C22" s="161" t="e">
        <f>+'2020'!#REF!</f>
        <v>#REF!</v>
      </c>
      <c r="D22" s="161" t="e">
        <f>+'2020'!#REF!</f>
        <v>#REF!</v>
      </c>
      <c r="E22" s="161" t="e">
        <f t="shared" si="1"/>
        <v>#REF!</v>
      </c>
      <c r="F22" s="106">
        <f t="shared" si="2"/>
        <v>20</v>
      </c>
      <c r="H22" s="257"/>
    </row>
    <row r="23" spans="1:8" outlineLevel="1" x14ac:dyDescent="0.2">
      <c r="A23" s="262"/>
      <c r="B23" s="105" t="s">
        <v>315</v>
      </c>
      <c r="C23" s="161" t="e">
        <f>+'2020'!#REF!</f>
        <v>#REF!</v>
      </c>
      <c r="D23" s="161" t="e">
        <f>+'2020'!#REF!</f>
        <v>#REF!</v>
      </c>
      <c r="E23" s="161" t="e">
        <f t="shared" si="1"/>
        <v>#REF!</v>
      </c>
      <c r="F23" s="106">
        <f t="shared" si="2"/>
        <v>21</v>
      </c>
      <c r="H23" s="257"/>
    </row>
    <row r="24" spans="1:8" outlineLevel="1" x14ac:dyDescent="0.2">
      <c r="A24" s="262"/>
      <c r="B24" s="105" t="s">
        <v>323</v>
      </c>
      <c r="C24" s="161" t="e">
        <f>+'2020'!#REF!</f>
        <v>#REF!</v>
      </c>
      <c r="D24" s="161" t="e">
        <f>+'2020'!#REF!</f>
        <v>#REF!</v>
      </c>
      <c r="E24" s="161" t="e">
        <f t="shared" si="1"/>
        <v>#REF!</v>
      </c>
      <c r="F24" s="106">
        <f t="shared" si="2"/>
        <v>22</v>
      </c>
      <c r="H24" s="257"/>
    </row>
    <row r="25" spans="1:8" outlineLevel="1" x14ac:dyDescent="0.2">
      <c r="B25" s="270" t="s">
        <v>339</v>
      </c>
      <c r="C25" s="161" t="e">
        <f>+'2020'!#REF!</f>
        <v>#REF!</v>
      </c>
      <c r="D25" s="161" t="e">
        <f>+'2020'!#REF!</f>
        <v>#REF!</v>
      </c>
      <c r="E25" s="161" t="e">
        <f t="shared" si="1"/>
        <v>#REF!</v>
      </c>
      <c r="F25" s="106">
        <f t="shared" si="2"/>
        <v>23</v>
      </c>
      <c r="H25" s="257"/>
    </row>
    <row r="26" spans="1:8" outlineLevel="1" x14ac:dyDescent="0.2">
      <c r="B26" s="270" t="s">
        <v>326</v>
      </c>
      <c r="C26" s="161" t="e">
        <f>+'2020'!#REF!</f>
        <v>#REF!</v>
      </c>
      <c r="D26" s="161" t="e">
        <f>+'2020'!#REF!</f>
        <v>#REF!</v>
      </c>
      <c r="E26" s="161" t="e">
        <f t="shared" si="1"/>
        <v>#REF!</v>
      </c>
      <c r="F26" s="106">
        <f t="shared" si="2"/>
        <v>24</v>
      </c>
      <c r="H26" s="257"/>
    </row>
    <row r="27" spans="1:8" outlineLevel="1" x14ac:dyDescent="0.2">
      <c r="B27" s="270" t="s">
        <v>346</v>
      </c>
      <c r="C27" s="161" t="e">
        <f>+'2020'!#REF!</f>
        <v>#REF!</v>
      </c>
      <c r="D27" s="161" t="e">
        <f>+'2020'!#REF!</f>
        <v>#REF!</v>
      </c>
      <c r="E27" s="161" t="e">
        <f t="shared" si="1"/>
        <v>#REF!</v>
      </c>
      <c r="F27" s="106">
        <f t="shared" si="2"/>
        <v>25</v>
      </c>
      <c r="H27" s="257"/>
    </row>
    <row r="28" spans="1:8" outlineLevel="1" x14ac:dyDescent="0.2">
      <c r="B28" s="270" t="s">
        <v>352</v>
      </c>
      <c r="C28" s="161" t="e">
        <f>+'2020'!#REF!</f>
        <v>#REF!</v>
      </c>
      <c r="D28" s="161" t="e">
        <f>+'2020'!#REF!</f>
        <v>#REF!</v>
      </c>
      <c r="E28" s="161" t="e">
        <f t="shared" si="1"/>
        <v>#REF!</v>
      </c>
      <c r="F28" s="106">
        <f t="shared" si="2"/>
        <v>26</v>
      </c>
      <c r="H28" s="257"/>
    </row>
    <row r="29" spans="1:8" x14ac:dyDescent="0.2">
      <c r="A29" s="339" t="s">
        <v>73</v>
      </c>
      <c r="B29" s="341"/>
      <c r="C29" s="162" t="e">
        <f>+SUM(C8:C28)</f>
        <v>#REF!</v>
      </c>
      <c r="D29" s="162" t="e">
        <f>+SUM(D8:D28)</f>
        <v>#REF!</v>
      </c>
      <c r="E29" s="162" t="e">
        <f t="shared" ref="E29" si="3">+SUM(E8:E28)</f>
        <v>#REF!</v>
      </c>
      <c r="F29" s="257"/>
      <c r="G29" s="133" t="e">
        <f>E29/$E$120</f>
        <v>#REF!</v>
      </c>
      <c r="H29" s="257"/>
    </row>
    <row r="30" spans="1:8" x14ac:dyDescent="0.2">
      <c r="A30" s="262" t="s">
        <v>33</v>
      </c>
      <c r="B30" s="105" t="s">
        <v>240</v>
      </c>
      <c r="C30" s="161" t="e">
        <f>+'2020'!#REF!</f>
        <v>#REF!</v>
      </c>
      <c r="D30" s="161" t="e">
        <f>+'2020'!#REF!</f>
        <v>#REF!</v>
      </c>
      <c r="E30" s="161" t="e">
        <f t="shared" ref="E30:E37" si="4">+C30+D30</f>
        <v>#REF!</v>
      </c>
      <c r="F30" s="106">
        <f t="shared" ref="F30" si="5">+F28+1</f>
        <v>27</v>
      </c>
      <c r="H30" s="257"/>
    </row>
    <row r="31" spans="1:8" x14ac:dyDescent="0.2">
      <c r="A31" s="262"/>
      <c r="B31" s="105" t="s">
        <v>247</v>
      </c>
      <c r="C31" s="161" t="e">
        <f>+'2020'!#REF!</f>
        <v>#REF!</v>
      </c>
      <c r="D31" s="161" t="e">
        <f>+'2020'!#REF!</f>
        <v>#REF!</v>
      </c>
      <c r="E31" s="161" t="e">
        <f t="shared" si="4"/>
        <v>#REF!</v>
      </c>
      <c r="F31" s="106">
        <f>+F30+1</f>
        <v>28</v>
      </c>
      <c r="H31" s="257"/>
    </row>
    <row r="32" spans="1:8" x14ac:dyDescent="0.2">
      <c r="A32" s="262"/>
      <c r="B32" s="105" t="s">
        <v>248</v>
      </c>
      <c r="C32" s="161" t="e">
        <f>+'2020'!#REF!</f>
        <v>#REF!</v>
      </c>
      <c r="D32" s="161" t="e">
        <f>+'2020'!#REF!</f>
        <v>#REF!</v>
      </c>
      <c r="E32" s="161" t="e">
        <f t="shared" si="4"/>
        <v>#REF!</v>
      </c>
      <c r="F32" s="106">
        <f t="shared" ref="F32:F38" si="6">+F31+1</f>
        <v>29</v>
      </c>
      <c r="G32" s="261"/>
      <c r="H32" s="257"/>
    </row>
    <row r="33" spans="1:8" x14ac:dyDescent="0.2">
      <c r="A33" s="262"/>
      <c r="B33" s="105" t="s">
        <v>254</v>
      </c>
      <c r="C33" s="161" t="e">
        <f>+'2020'!#REF!</f>
        <v>#REF!</v>
      </c>
      <c r="D33" s="161" t="e">
        <f>+'2020'!#REF!</f>
        <v>#REF!</v>
      </c>
      <c r="E33" s="161" t="e">
        <f t="shared" si="4"/>
        <v>#REF!</v>
      </c>
      <c r="F33" s="106">
        <f t="shared" si="6"/>
        <v>30</v>
      </c>
      <c r="H33" s="257"/>
    </row>
    <row r="34" spans="1:8" x14ac:dyDescent="0.2">
      <c r="A34" s="262"/>
      <c r="B34" s="105" t="s">
        <v>263</v>
      </c>
      <c r="C34" s="161" t="e">
        <f>+'2020'!#REF!</f>
        <v>#REF!</v>
      </c>
      <c r="D34" s="161" t="e">
        <f>+'2020'!#REF!</f>
        <v>#REF!</v>
      </c>
      <c r="E34" s="161" t="e">
        <f t="shared" si="4"/>
        <v>#REF!</v>
      </c>
      <c r="F34" s="106">
        <f t="shared" si="6"/>
        <v>31</v>
      </c>
      <c r="H34" s="257"/>
    </row>
    <row r="35" spans="1:8" x14ac:dyDescent="0.2">
      <c r="A35" s="262"/>
      <c r="B35" s="105" t="s">
        <v>272</v>
      </c>
      <c r="C35" s="161" t="e">
        <f>+'2020'!#REF!</f>
        <v>#REF!</v>
      </c>
      <c r="D35" s="161" t="e">
        <f>+'2020'!#REF!</f>
        <v>#REF!</v>
      </c>
      <c r="E35" s="161" t="e">
        <f t="shared" si="4"/>
        <v>#REF!</v>
      </c>
      <c r="F35" s="106">
        <f t="shared" si="6"/>
        <v>32</v>
      </c>
      <c r="H35" s="257"/>
    </row>
    <row r="36" spans="1:8" x14ac:dyDescent="0.2">
      <c r="A36" s="262"/>
      <c r="B36" s="105" t="s">
        <v>299</v>
      </c>
      <c r="C36" s="161" t="e">
        <f>+'2020'!#REF!</f>
        <v>#REF!</v>
      </c>
      <c r="D36" s="161" t="e">
        <f>+'2020'!#REF!</f>
        <v>#REF!</v>
      </c>
      <c r="E36" s="161" t="e">
        <f t="shared" si="4"/>
        <v>#REF!</v>
      </c>
      <c r="F36" s="106">
        <f t="shared" si="6"/>
        <v>33</v>
      </c>
      <c r="H36" s="257"/>
    </row>
    <row r="37" spans="1:8" x14ac:dyDescent="0.2">
      <c r="A37" s="262"/>
      <c r="B37" s="105" t="s">
        <v>336</v>
      </c>
      <c r="C37" s="161" t="e">
        <f>+'2020'!#REF!</f>
        <v>#REF!</v>
      </c>
      <c r="D37" s="161" t="e">
        <f>+'2020'!#REF!</f>
        <v>#REF!</v>
      </c>
      <c r="E37" s="161" t="e">
        <f t="shared" si="4"/>
        <v>#REF!</v>
      </c>
      <c r="F37" s="106">
        <f t="shared" si="6"/>
        <v>34</v>
      </c>
      <c r="H37" s="257"/>
    </row>
    <row r="38" spans="1:8" x14ac:dyDescent="0.2">
      <c r="A38" s="262"/>
      <c r="B38" s="105" t="s">
        <v>344</v>
      </c>
      <c r="C38" s="161" t="e">
        <f>+'2020'!#REF!</f>
        <v>#REF!</v>
      </c>
      <c r="D38" s="161" t="e">
        <f>+'2020'!#REF!</f>
        <v>#REF!</v>
      </c>
      <c r="E38" s="161" t="e">
        <f t="shared" ref="E38" si="7">+C38+D38</f>
        <v>#REF!</v>
      </c>
      <c r="F38" s="106">
        <f t="shared" si="6"/>
        <v>35</v>
      </c>
      <c r="H38" s="257"/>
    </row>
    <row r="39" spans="1:8" ht="12" customHeight="1" x14ac:dyDescent="0.2">
      <c r="A39" s="339" t="s">
        <v>116</v>
      </c>
      <c r="B39" s="341"/>
      <c r="C39" s="162" t="e">
        <f>+SUM(C30:C38)</f>
        <v>#REF!</v>
      </c>
      <c r="D39" s="162" t="e">
        <f>+SUM(D30:D38)</f>
        <v>#REF!</v>
      </c>
      <c r="E39" s="162" t="e">
        <f t="shared" ref="E39" si="8">+SUM(E30:E38)</f>
        <v>#REF!</v>
      </c>
      <c r="F39" s="257"/>
      <c r="G39" s="133" t="e">
        <f>E39/$E$120</f>
        <v>#REF!</v>
      </c>
      <c r="H39" s="257"/>
    </row>
    <row r="40" spans="1:8" outlineLevel="1" x14ac:dyDescent="0.2">
      <c r="A40" s="262" t="s">
        <v>36</v>
      </c>
      <c r="B40" s="105" t="s">
        <v>255</v>
      </c>
      <c r="C40" s="161" t="e">
        <f>+'2020'!#REF!</f>
        <v>#REF!</v>
      </c>
      <c r="D40" s="161" t="e">
        <f>+'2020'!#REF!</f>
        <v>#REF!</v>
      </c>
      <c r="E40" s="161" t="e">
        <f t="shared" ref="E40:E49" si="9">+C40+D40</f>
        <v>#REF!</v>
      </c>
      <c r="F40" s="257">
        <f>+F38+1</f>
        <v>36</v>
      </c>
      <c r="H40" s="257"/>
    </row>
    <row r="41" spans="1:8" outlineLevel="1" x14ac:dyDescent="0.2">
      <c r="A41" s="262"/>
      <c r="B41" s="105" t="s">
        <v>271</v>
      </c>
      <c r="C41" s="161" t="e">
        <f>+'2020'!#REF!</f>
        <v>#REF!</v>
      </c>
      <c r="D41" s="161" t="e">
        <f>+'2020'!#REF!</f>
        <v>#REF!</v>
      </c>
      <c r="E41" s="161" t="e">
        <f t="shared" si="9"/>
        <v>#REF!</v>
      </c>
      <c r="F41" s="257">
        <f>+F40+1</f>
        <v>37</v>
      </c>
      <c r="H41" s="257"/>
    </row>
    <row r="42" spans="1:8" outlineLevel="1" x14ac:dyDescent="0.2">
      <c r="A42" s="262"/>
      <c r="B42" s="105" t="s">
        <v>275</v>
      </c>
      <c r="C42" s="161" t="e">
        <f>+'2020'!#REF!</f>
        <v>#REF!</v>
      </c>
      <c r="D42" s="161" t="e">
        <f>+'2020'!#REF!</f>
        <v>#REF!</v>
      </c>
      <c r="E42" s="161" t="e">
        <f t="shared" si="9"/>
        <v>#REF!</v>
      </c>
      <c r="F42" s="257">
        <f t="shared" ref="F42:F50" si="10">+F41+1</f>
        <v>38</v>
      </c>
      <c r="H42" s="257"/>
    </row>
    <row r="43" spans="1:8" outlineLevel="1" x14ac:dyDescent="0.2">
      <c r="A43" s="262"/>
      <c r="B43" s="105" t="s">
        <v>290</v>
      </c>
      <c r="C43" s="161" t="e">
        <f>+'2020'!#REF!</f>
        <v>#REF!</v>
      </c>
      <c r="D43" s="161" t="e">
        <f>+'2020'!#REF!</f>
        <v>#REF!</v>
      </c>
      <c r="E43" s="161" t="e">
        <f t="shared" si="9"/>
        <v>#REF!</v>
      </c>
      <c r="F43" s="257">
        <f t="shared" si="10"/>
        <v>39</v>
      </c>
      <c r="H43" s="257"/>
    </row>
    <row r="44" spans="1:8" outlineLevel="1" x14ac:dyDescent="0.2">
      <c r="A44" s="262"/>
      <c r="B44" s="105" t="s">
        <v>295</v>
      </c>
      <c r="C44" s="161" t="e">
        <f>+'2020'!#REF!</f>
        <v>#REF!</v>
      </c>
      <c r="D44" s="161" t="e">
        <f>+'2020'!#REF!</f>
        <v>#REF!</v>
      </c>
      <c r="E44" s="161" t="e">
        <f t="shared" si="9"/>
        <v>#REF!</v>
      </c>
      <c r="F44" s="257">
        <f t="shared" si="10"/>
        <v>40</v>
      </c>
      <c r="H44" s="257"/>
    </row>
    <row r="45" spans="1:8" outlineLevel="1" x14ac:dyDescent="0.2">
      <c r="A45" s="262"/>
      <c r="B45" s="105" t="s">
        <v>308</v>
      </c>
      <c r="C45" s="161" t="e">
        <f>+'2020'!#REF!</f>
        <v>#REF!</v>
      </c>
      <c r="D45" s="161" t="e">
        <f>+'2020'!#REF!</f>
        <v>#REF!</v>
      </c>
      <c r="E45" s="161" t="e">
        <f t="shared" si="9"/>
        <v>#REF!</v>
      </c>
      <c r="F45" s="257">
        <f t="shared" si="10"/>
        <v>41</v>
      </c>
      <c r="H45" s="257"/>
    </row>
    <row r="46" spans="1:8" outlineLevel="1" x14ac:dyDescent="0.2">
      <c r="A46" s="262"/>
      <c r="B46" s="105" t="s">
        <v>311</v>
      </c>
      <c r="C46" s="161" t="e">
        <f>+'2020'!#REF!</f>
        <v>#REF!</v>
      </c>
      <c r="D46" s="161" t="e">
        <f>+'2020'!#REF!</f>
        <v>#REF!</v>
      </c>
      <c r="E46" s="161" t="e">
        <f t="shared" si="9"/>
        <v>#REF!</v>
      </c>
      <c r="F46" s="257">
        <f t="shared" si="10"/>
        <v>42</v>
      </c>
      <c r="H46" s="257"/>
    </row>
    <row r="47" spans="1:8" outlineLevel="1" x14ac:dyDescent="0.2">
      <c r="A47" s="262"/>
      <c r="B47" s="105" t="s">
        <v>313</v>
      </c>
      <c r="C47" s="161" t="e">
        <f>+'2020'!#REF!</f>
        <v>#REF!</v>
      </c>
      <c r="D47" s="161" t="e">
        <f>+'2020'!#REF!</f>
        <v>#REF!</v>
      </c>
      <c r="E47" s="161" t="e">
        <f t="shared" si="9"/>
        <v>#REF!</v>
      </c>
      <c r="F47" s="257">
        <f t="shared" si="10"/>
        <v>43</v>
      </c>
      <c r="H47" s="257"/>
    </row>
    <row r="48" spans="1:8" outlineLevel="1" x14ac:dyDescent="0.2">
      <c r="A48" s="262"/>
      <c r="B48" s="105" t="s">
        <v>321</v>
      </c>
      <c r="C48" s="161" t="e">
        <f>+'2020'!#REF!</f>
        <v>#REF!</v>
      </c>
      <c r="D48" s="161" t="e">
        <f>+'2020'!#REF!</f>
        <v>#REF!</v>
      </c>
      <c r="E48" s="161" t="e">
        <f t="shared" si="9"/>
        <v>#REF!</v>
      </c>
      <c r="F48" s="257">
        <f t="shared" si="10"/>
        <v>44</v>
      </c>
      <c r="H48" s="257"/>
    </row>
    <row r="49" spans="1:8" outlineLevel="1" x14ac:dyDescent="0.2">
      <c r="A49" s="262"/>
      <c r="B49" s="105" t="s">
        <v>364</v>
      </c>
      <c r="C49" s="161" t="e">
        <f>+'2020'!#REF!</f>
        <v>#REF!</v>
      </c>
      <c r="D49" s="161" t="e">
        <f>+'2020'!#REF!</f>
        <v>#REF!</v>
      </c>
      <c r="E49" s="161" t="e">
        <f t="shared" si="9"/>
        <v>#REF!</v>
      </c>
      <c r="F49" s="257">
        <f t="shared" si="10"/>
        <v>45</v>
      </c>
      <c r="H49" s="257"/>
    </row>
    <row r="50" spans="1:8" outlineLevel="1" x14ac:dyDescent="0.2">
      <c r="A50" s="262"/>
      <c r="B50" s="105" t="s">
        <v>357</v>
      </c>
      <c r="C50" s="161" t="e">
        <f>+'2020'!#REF!</f>
        <v>#REF!</v>
      </c>
      <c r="D50" s="161" t="e">
        <f>+'2020'!#REF!</f>
        <v>#REF!</v>
      </c>
      <c r="E50" s="161" t="e">
        <f t="shared" ref="E50" si="11">+C50+D50</f>
        <v>#REF!</v>
      </c>
      <c r="F50" s="257">
        <f t="shared" si="10"/>
        <v>46</v>
      </c>
      <c r="H50" s="257"/>
    </row>
    <row r="51" spans="1:8" x14ac:dyDescent="0.2">
      <c r="A51" s="339" t="s">
        <v>79</v>
      </c>
      <c r="B51" s="341"/>
      <c r="C51" s="162" t="e">
        <f>+SUM(C40:C50)</f>
        <v>#REF!</v>
      </c>
      <c r="D51" s="162" t="e">
        <f>+SUM(D40:D50)</f>
        <v>#REF!</v>
      </c>
      <c r="E51" s="162" t="e">
        <f>+SUM(E40:E50)</f>
        <v>#REF!</v>
      </c>
      <c r="F51" s="257"/>
      <c r="G51" s="133" t="e">
        <f>E51/$E$120</f>
        <v>#REF!</v>
      </c>
      <c r="H51" s="257"/>
    </row>
    <row r="52" spans="1:8" x14ac:dyDescent="0.2">
      <c r="A52" s="262" t="s">
        <v>47</v>
      </c>
      <c r="B52" s="105" t="s">
        <v>262</v>
      </c>
      <c r="C52" s="161" t="e">
        <f>+'2020'!#REF!</f>
        <v>#REF!</v>
      </c>
      <c r="D52" s="161" t="e">
        <f>+'2020'!#REF!</f>
        <v>#REF!</v>
      </c>
      <c r="E52" s="161" t="e">
        <f t="shared" ref="E52:E63" si="12">+C52+D52</f>
        <v>#REF!</v>
      </c>
      <c r="F52" s="257"/>
      <c r="H52" s="257"/>
    </row>
    <row r="53" spans="1:8" x14ac:dyDescent="0.2">
      <c r="A53" s="262"/>
      <c r="B53" s="105" t="s">
        <v>265</v>
      </c>
      <c r="C53" s="161" t="e">
        <f>+'2020'!#REF!</f>
        <v>#REF!</v>
      </c>
      <c r="D53" s="161" t="e">
        <f>+'2020'!#REF!</f>
        <v>#REF!</v>
      </c>
      <c r="E53" s="161" t="e">
        <f t="shared" si="12"/>
        <v>#REF!</v>
      </c>
      <c r="F53" s="257"/>
      <c r="H53" s="257"/>
    </row>
    <row r="54" spans="1:8" x14ac:dyDescent="0.2">
      <c r="A54" s="262"/>
      <c r="B54" s="105" t="s">
        <v>286</v>
      </c>
      <c r="C54" s="161" t="e">
        <f>+'2020'!#REF!</f>
        <v>#REF!</v>
      </c>
      <c r="D54" s="161" t="e">
        <f>+'2020'!#REF!</f>
        <v>#REF!</v>
      </c>
      <c r="E54" s="161" t="e">
        <f t="shared" si="12"/>
        <v>#REF!</v>
      </c>
      <c r="F54" s="257"/>
      <c r="H54" s="257"/>
    </row>
    <row r="55" spans="1:8" x14ac:dyDescent="0.2">
      <c r="A55" s="262"/>
      <c r="B55" s="105" t="s">
        <v>293</v>
      </c>
      <c r="C55" s="161" t="e">
        <f>+'2020'!#REF!</f>
        <v>#REF!</v>
      </c>
      <c r="D55" s="161" t="e">
        <f>+'2020'!#REF!</f>
        <v>#REF!</v>
      </c>
      <c r="E55" s="161" t="e">
        <f t="shared" si="12"/>
        <v>#REF!</v>
      </c>
      <c r="F55" s="257"/>
      <c r="H55" s="257"/>
    </row>
    <row r="56" spans="1:8" x14ac:dyDescent="0.2">
      <c r="A56" s="262"/>
      <c r="B56" s="105" t="s">
        <v>297</v>
      </c>
      <c r="C56" s="161" t="e">
        <f>+'2020'!#REF!</f>
        <v>#REF!</v>
      </c>
      <c r="D56" s="161" t="e">
        <f>+'2020'!#REF!</f>
        <v>#REF!</v>
      </c>
      <c r="E56" s="161" t="e">
        <f t="shared" si="12"/>
        <v>#REF!</v>
      </c>
      <c r="F56" s="257"/>
      <c r="H56" s="257"/>
    </row>
    <row r="57" spans="1:8" x14ac:dyDescent="0.2">
      <c r="A57" s="262"/>
      <c r="B57" s="105" t="s">
        <v>301</v>
      </c>
      <c r="C57" s="161" t="e">
        <f>+'2020'!#REF!</f>
        <v>#REF!</v>
      </c>
      <c r="D57" s="161" t="e">
        <f>+'2020'!#REF!</f>
        <v>#REF!</v>
      </c>
      <c r="E57" s="161" t="e">
        <f t="shared" si="12"/>
        <v>#REF!</v>
      </c>
      <c r="F57" s="257"/>
      <c r="H57" s="257"/>
    </row>
    <row r="58" spans="1:8" x14ac:dyDescent="0.2">
      <c r="A58" s="262"/>
      <c r="B58" s="105" t="s">
        <v>302</v>
      </c>
      <c r="C58" s="161" t="e">
        <f>+'2020'!#REF!</f>
        <v>#REF!</v>
      </c>
      <c r="D58" s="161" t="e">
        <f>+'2020'!#REF!</f>
        <v>#REF!</v>
      </c>
      <c r="E58" s="161" t="e">
        <f t="shared" si="12"/>
        <v>#REF!</v>
      </c>
      <c r="F58" s="257"/>
      <c r="H58" s="257"/>
    </row>
    <row r="59" spans="1:8" x14ac:dyDescent="0.2">
      <c r="A59" s="262"/>
      <c r="B59" s="105" t="s">
        <v>310</v>
      </c>
      <c r="C59" s="161" t="e">
        <f>+'2020'!#REF!</f>
        <v>#REF!</v>
      </c>
      <c r="D59" s="161" t="e">
        <f>+'2020'!#REF!</f>
        <v>#REF!</v>
      </c>
      <c r="E59" s="161" t="e">
        <f t="shared" si="12"/>
        <v>#REF!</v>
      </c>
      <c r="F59" s="257"/>
      <c r="H59" s="257"/>
    </row>
    <row r="60" spans="1:8" x14ac:dyDescent="0.2">
      <c r="A60" s="262"/>
      <c r="B60" s="105" t="s">
        <v>324</v>
      </c>
      <c r="C60" s="161" t="e">
        <f>+'2020'!#REF!</f>
        <v>#REF!</v>
      </c>
      <c r="D60" s="161" t="e">
        <f>+'2020'!#REF!</f>
        <v>#REF!</v>
      </c>
      <c r="E60" s="161" t="e">
        <f t="shared" si="12"/>
        <v>#REF!</v>
      </c>
      <c r="F60" s="257"/>
      <c r="H60" s="257"/>
    </row>
    <row r="61" spans="1:8" x14ac:dyDescent="0.2">
      <c r="A61" s="262"/>
      <c r="B61" s="105" t="s">
        <v>322</v>
      </c>
      <c r="C61" s="161" t="e">
        <f>+'2020'!#REF!</f>
        <v>#REF!</v>
      </c>
      <c r="D61" s="161" t="e">
        <f>+'2020'!#REF!</f>
        <v>#REF!</v>
      </c>
      <c r="E61" s="161" t="e">
        <f t="shared" si="12"/>
        <v>#REF!</v>
      </c>
      <c r="F61" s="257"/>
      <c r="H61" s="257"/>
    </row>
    <row r="62" spans="1:8" x14ac:dyDescent="0.2">
      <c r="A62" s="262"/>
      <c r="B62" s="105" t="s">
        <v>320</v>
      </c>
      <c r="C62" s="161" t="e">
        <f>+'2020'!#REF!</f>
        <v>#REF!</v>
      </c>
      <c r="D62" s="161" t="e">
        <f>+'2020'!#REF!</f>
        <v>#REF!</v>
      </c>
      <c r="E62" s="161" t="e">
        <f t="shared" si="12"/>
        <v>#REF!</v>
      </c>
      <c r="F62" s="257"/>
      <c r="H62" s="257"/>
    </row>
    <row r="63" spans="1:8" x14ac:dyDescent="0.2">
      <c r="A63" s="262"/>
      <c r="B63" s="105" t="s">
        <v>330</v>
      </c>
      <c r="C63" s="161" t="e">
        <f>+'2020'!#REF!</f>
        <v>#REF!</v>
      </c>
      <c r="D63" s="161" t="e">
        <f>+'2020'!#REF!</f>
        <v>#REF!</v>
      </c>
      <c r="E63" s="161" t="e">
        <f t="shared" si="12"/>
        <v>#REF!</v>
      </c>
      <c r="F63" s="257"/>
      <c r="H63" s="257"/>
    </row>
    <row r="64" spans="1:8" x14ac:dyDescent="0.2">
      <c r="A64" s="262"/>
      <c r="B64" s="105" t="s">
        <v>347</v>
      </c>
      <c r="C64" s="161" t="e">
        <f>+'2020'!#REF!</f>
        <v>#REF!</v>
      </c>
      <c r="D64" s="161" t="e">
        <f>+'2020'!#REF!</f>
        <v>#REF!</v>
      </c>
      <c r="E64" s="161" t="e">
        <f t="shared" ref="E64:E66" si="13">+C64+D64</f>
        <v>#REF!</v>
      </c>
      <c r="F64" s="257"/>
      <c r="H64" s="257"/>
    </row>
    <row r="65" spans="1:8" x14ac:dyDescent="0.2">
      <c r="A65" s="262"/>
      <c r="B65" s="105" t="s">
        <v>358</v>
      </c>
      <c r="C65" s="161" t="e">
        <f>+'2020'!#REF!</f>
        <v>#REF!</v>
      </c>
      <c r="D65" s="161" t="e">
        <f>+'2020'!#REF!</f>
        <v>#REF!</v>
      </c>
      <c r="E65" s="161" t="e">
        <f t="shared" si="13"/>
        <v>#REF!</v>
      </c>
      <c r="F65" s="257"/>
      <c r="H65" s="257"/>
    </row>
    <row r="66" spans="1:8" x14ac:dyDescent="0.2">
      <c r="A66" s="262"/>
      <c r="B66" s="105" t="s">
        <v>353</v>
      </c>
      <c r="C66" s="161" t="e">
        <f>+'2020'!#REF!</f>
        <v>#REF!</v>
      </c>
      <c r="D66" s="161" t="e">
        <f>+'2020'!#REF!</f>
        <v>#REF!</v>
      </c>
      <c r="E66" s="161" t="e">
        <f t="shared" si="13"/>
        <v>#REF!</v>
      </c>
      <c r="F66" s="257"/>
      <c r="H66" s="257"/>
    </row>
    <row r="67" spans="1:8" x14ac:dyDescent="0.2">
      <c r="A67" s="339" t="s">
        <v>74</v>
      </c>
      <c r="B67" s="341"/>
      <c r="C67" s="162" t="e">
        <f>+SUM(C52:C66)</f>
        <v>#REF!</v>
      </c>
      <c r="D67" s="162" t="e">
        <f>+SUM(D52:D66)</f>
        <v>#REF!</v>
      </c>
      <c r="E67" s="162" t="e">
        <f>+SUM(E52:E66)</f>
        <v>#REF!</v>
      </c>
      <c r="F67" s="257"/>
      <c r="G67" s="133" t="e">
        <f>E67/$E$120</f>
        <v>#REF!</v>
      </c>
      <c r="H67" s="257"/>
    </row>
    <row r="68" spans="1:8" x14ac:dyDescent="0.2">
      <c r="A68" s="262" t="s">
        <v>177</v>
      </c>
      <c r="B68" s="105" t="s">
        <v>241</v>
      </c>
      <c r="C68" s="161" t="e">
        <f>+'2020'!#REF!</f>
        <v>#REF!</v>
      </c>
      <c r="D68" s="161" t="e">
        <f>+'2020'!#REF!</f>
        <v>#REF!</v>
      </c>
      <c r="E68" s="161" t="e">
        <f t="shared" ref="E68:E75" si="14">+C68+D68</f>
        <v>#REF!</v>
      </c>
      <c r="F68" s="257"/>
      <c r="H68" s="257"/>
    </row>
    <row r="69" spans="1:8" x14ac:dyDescent="0.2">
      <c r="A69" s="262"/>
      <c r="B69" s="105" t="s">
        <v>276</v>
      </c>
      <c r="C69" s="161" t="e">
        <f>+'2020'!#REF!</f>
        <v>#REF!</v>
      </c>
      <c r="D69" s="161" t="e">
        <f>+'2020'!#REF!</f>
        <v>#REF!</v>
      </c>
      <c r="E69" s="161" t="e">
        <f t="shared" si="14"/>
        <v>#REF!</v>
      </c>
      <c r="F69" s="257"/>
      <c r="H69" s="257"/>
    </row>
    <row r="70" spans="1:8" x14ac:dyDescent="0.2">
      <c r="A70" s="262"/>
      <c r="B70" s="105" t="s">
        <v>279</v>
      </c>
      <c r="C70" s="161" t="e">
        <f>+'2020'!#REF!</f>
        <v>#REF!</v>
      </c>
      <c r="D70" s="161" t="e">
        <f>+'2020'!#REF!</f>
        <v>#REF!</v>
      </c>
      <c r="E70" s="161" t="e">
        <f t="shared" si="14"/>
        <v>#REF!</v>
      </c>
      <c r="F70" s="257"/>
      <c r="H70" s="257"/>
    </row>
    <row r="71" spans="1:8" x14ac:dyDescent="0.2">
      <c r="A71" s="262"/>
      <c r="B71" s="105" t="s">
        <v>300</v>
      </c>
      <c r="C71" s="161" t="e">
        <f>+'2020'!#REF!</f>
        <v>#REF!</v>
      </c>
      <c r="D71" s="161" t="e">
        <f>+'2020'!#REF!</f>
        <v>#REF!</v>
      </c>
      <c r="E71" s="161" t="e">
        <f t="shared" si="14"/>
        <v>#REF!</v>
      </c>
      <c r="F71" s="257"/>
      <c r="H71" s="257"/>
    </row>
    <row r="72" spans="1:8" x14ac:dyDescent="0.2">
      <c r="A72" s="262"/>
      <c r="B72" s="105" t="s">
        <v>312</v>
      </c>
      <c r="C72" s="161" t="e">
        <f>+'2020'!#REF!</f>
        <v>#REF!</v>
      </c>
      <c r="D72" s="161" t="e">
        <f>+'2020'!#REF!</f>
        <v>#REF!</v>
      </c>
      <c r="E72" s="161" t="e">
        <f t="shared" si="14"/>
        <v>#REF!</v>
      </c>
      <c r="F72" s="257"/>
      <c r="H72" s="257"/>
    </row>
    <row r="73" spans="1:8" x14ac:dyDescent="0.2">
      <c r="A73" s="262"/>
      <c r="B73" s="105" t="s">
        <v>317</v>
      </c>
      <c r="C73" s="161" t="e">
        <f>+'2020'!#REF!</f>
        <v>#REF!</v>
      </c>
      <c r="D73" s="161" t="e">
        <f>+'2020'!#REF!</f>
        <v>#REF!</v>
      </c>
      <c r="E73" s="161" t="e">
        <f t="shared" si="14"/>
        <v>#REF!</v>
      </c>
      <c r="F73" s="257"/>
      <c r="H73" s="257"/>
    </row>
    <row r="74" spans="1:8" x14ac:dyDescent="0.2">
      <c r="A74" s="262"/>
      <c r="B74" s="105" t="s">
        <v>327</v>
      </c>
      <c r="C74" s="161" t="e">
        <f>+'2020'!#REF!</f>
        <v>#REF!</v>
      </c>
      <c r="D74" s="161" t="e">
        <f>+'2020'!#REF!</f>
        <v>#REF!</v>
      </c>
      <c r="E74" s="161" t="e">
        <f t="shared" si="14"/>
        <v>#REF!</v>
      </c>
      <c r="F74" s="257"/>
      <c r="H74" s="257"/>
    </row>
    <row r="75" spans="1:8" x14ac:dyDescent="0.2">
      <c r="B75" s="271" t="s">
        <v>332</v>
      </c>
      <c r="C75" s="161" t="e">
        <f>+'2020'!#REF!</f>
        <v>#REF!</v>
      </c>
      <c r="D75" s="161" t="e">
        <f>+'2020'!#REF!</f>
        <v>#REF!</v>
      </c>
      <c r="E75" s="161" t="e">
        <f t="shared" si="14"/>
        <v>#REF!</v>
      </c>
      <c r="F75" s="257"/>
      <c r="H75" s="257"/>
    </row>
    <row r="76" spans="1:8" x14ac:dyDescent="0.2">
      <c r="A76" s="339" t="s">
        <v>178</v>
      </c>
      <c r="B76" s="341"/>
      <c r="C76" s="162" t="e">
        <f>SUM(C68:C75)</f>
        <v>#REF!</v>
      </c>
      <c r="D76" s="162" t="e">
        <f>SUM(D68:D75)</f>
        <v>#REF!</v>
      </c>
      <c r="E76" s="162" t="e">
        <f>SUM(E68:E75)</f>
        <v>#REF!</v>
      </c>
      <c r="G76" s="133" t="e">
        <f>E76/$E$120</f>
        <v>#REF!</v>
      </c>
      <c r="H76" s="257"/>
    </row>
    <row r="77" spans="1:8" x14ac:dyDescent="0.2">
      <c r="A77" s="262" t="s">
        <v>38</v>
      </c>
      <c r="B77" s="105" t="s">
        <v>65</v>
      </c>
      <c r="C77" s="161" t="e">
        <f>+'2020'!#REF!</f>
        <v>#REF!</v>
      </c>
      <c r="D77" s="161" t="e">
        <f>+'2020'!#REF!</f>
        <v>#REF!</v>
      </c>
      <c r="E77" s="161" t="e">
        <f t="shared" ref="E77:E85" si="15">+C77+D77</f>
        <v>#REF!</v>
      </c>
      <c r="F77" s="257"/>
      <c r="H77" s="257"/>
    </row>
    <row r="78" spans="1:8" x14ac:dyDescent="0.2">
      <c r="A78" s="262"/>
      <c r="B78" s="105" t="s">
        <v>66</v>
      </c>
      <c r="C78" s="161" t="e">
        <f>+'2020'!#REF!</f>
        <v>#REF!</v>
      </c>
      <c r="D78" s="161" t="e">
        <f>+'2020'!#REF!</f>
        <v>#REF!</v>
      </c>
      <c r="E78" s="161" t="e">
        <f t="shared" si="15"/>
        <v>#REF!</v>
      </c>
      <c r="F78" s="257"/>
      <c r="H78" s="257"/>
    </row>
    <row r="79" spans="1:8" x14ac:dyDescent="0.2">
      <c r="A79" s="262"/>
      <c r="B79" s="105" t="s">
        <v>108</v>
      </c>
      <c r="C79" s="161" t="e">
        <f>+'2020'!#REF!</f>
        <v>#REF!</v>
      </c>
      <c r="D79" s="161" t="e">
        <f>+'2020'!#REF!</f>
        <v>#REF!</v>
      </c>
      <c r="E79" s="161" t="e">
        <f t="shared" si="15"/>
        <v>#REF!</v>
      </c>
      <c r="F79" s="257"/>
      <c r="H79" s="257"/>
    </row>
    <row r="80" spans="1:8" x14ac:dyDescent="0.2">
      <c r="A80" s="262"/>
      <c r="B80" s="105" t="s">
        <v>250</v>
      </c>
      <c r="C80" s="161" t="e">
        <f>+'2020'!#REF!</f>
        <v>#REF!</v>
      </c>
      <c r="D80" s="161" t="e">
        <f>+'2020'!#REF!</f>
        <v>#REF!</v>
      </c>
      <c r="E80" s="161" t="e">
        <f t="shared" si="15"/>
        <v>#REF!</v>
      </c>
      <c r="F80" s="257"/>
      <c r="H80" s="257"/>
    </row>
    <row r="81" spans="1:8" x14ac:dyDescent="0.2">
      <c r="A81" s="262"/>
      <c r="B81" s="105" t="s">
        <v>251</v>
      </c>
      <c r="C81" s="161" t="e">
        <f>+'2020'!#REF!</f>
        <v>#REF!</v>
      </c>
      <c r="D81" s="161" t="e">
        <f>+'2020'!#REF!</f>
        <v>#REF!</v>
      </c>
      <c r="E81" s="161" t="e">
        <f t="shared" si="15"/>
        <v>#REF!</v>
      </c>
      <c r="F81" s="257"/>
      <c r="H81" s="257"/>
    </row>
    <row r="82" spans="1:8" x14ac:dyDescent="0.2">
      <c r="A82" s="262"/>
      <c r="B82" s="105" t="s">
        <v>252</v>
      </c>
      <c r="C82" s="161" t="e">
        <f>+'2020'!#REF!</f>
        <v>#REF!</v>
      </c>
      <c r="D82" s="161" t="e">
        <f>+'2020'!#REF!</f>
        <v>#REF!</v>
      </c>
      <c r="E82" s="161" t="e">
        <f t="shared" si="15"/>
        <v>#REF!</v>
      </c>
      <c r="F82" s="257"/>
      <c r="H82" s="257"/>
    </row>
    <row r="83" spans="1:8" x14ac:dyDescent="0.2">
      <c r="A83" s="262"/>
      <c r="B83" s="105" t="s">
        <v>259</v>
      </c>
      <c r="C83" s="161" t="e">
        <f>+'2020'!#REF!</f>
        <v>#REF!</v>
      </c>
      <c r="D83" s="161" t="e">
        <f>+'2020'!#REF!</f>
        <v>#REF!</v>
      </c>
      <c r="E83" s="161" t="e">
        <f t="shared" si="15"/>
        <v>#REF!</v>
      </c>
      <c r="F83" s="257"/>
      <c r="H83" s="257"/>
    </row>
    <row r="84" spans="1:8" x14ac:dyDescent="0.2">
      <c r="A84" s="262"/>
      <c r="B84" s="105" t="s">
        <v>270</v>
      </c>
      <c r="C84" s="161" t="e">
        <f>+'2020'!#REF!</f>
        <v>#REF!</v>
      </c>
      <c r="D84" s="161" t="e">
        <f>+'2020'!#REF!</f>
        <v>#REF!</v>
      </c>
      <c r="E84" s="161" t="e">
        <f t="shared" si="15"/>
        <v>#REF!</v>
      </c>
      <c r="F84" s="257"/>
      <c r="H84" s="257"/>
    </row>
    <row r="85" spans="1:8" x14ac:dyDescent="0.2">
      <c r="A85" s="262"/>
      <c r="B85" s="105" t="s">
        <v>304</v>
      </c>
      <c r="C85" s="161" t="e">
        <f>+'2020'!#REF!</f>
        <v>#REF!</v>
      </c>
      <c r="D85" s="161" t="e">
        <f>+'2020'!#REF!</f>
        <v>#REF!</v>
      </c>
      <c r="E85" s="161" t="e">
        <f t="shared" si="15"/>
        <v>#REF!</v>
      </c>
      <c r="F85" s="257"/>
      <c r="H85" s="257"/>
    </row>
    <row r="86" spans="1:8" x14ac:dyDescent="0.2">
      <c r="A86" s="339" t="s">
        <v>67</v>
      </c>
      <c r="B86" s="341"/>
      <c r="C86" s="162" t="e">
        <f>SUM(C77:C85)</f>
        <v>#REF!</v>
      </c>
      <c r="D86" s="162" t="e">
        <f>SUM(D77:D85)</f>
        <v>#REF!</v>
      </c>
      <c r="E86" s="162" t="e">
        <f>SUM(E77:E85)</f>
        <v>#REF!</v>
      </c>
      <c r="G86" s="133" t="e">
        <f>E86/$E$120</f>
        <v>#REF!</v>
      </c>
      <c r="H86" s="257"/>
    </row>
    <row r="87" spans="1:8" x14ac:dyDescent="0.2">
      <c r="A87" s="262" t="s">
        <v>281</v>
      </c>
      <c r="B87" s="105" t="s">
        <v>283</v>
      </c>
      <c r="C87" s="161" t="e">
        <f>+'2020'!#REF!</f>
        <v>#REF!</v>
      </c>
      <c r="D87" s="161" t="e">
        <f>+'2020'!#REF!</f>
        <v>#REF!</v>
      </c>
      <c r="E87" s="161" t="e">
        <f>+C87+D87</f>
        <v>#REF!</v>
      </c>
      <c r="F87" s="257"/>
      <c r="H87" s="257"/>
    </row>
    <row r="88" spans="1:8" x14ac:dyDescent="0.2">
      <c r="A88" s="262"/>
      <c r="B88" s="105" t="s">
        <v>365</v>
      </c>
      <c r="C88" s="161" t="e">
        <f>+'2020'!#REF!</f>
        <v>#REF!</v>
      </c>
      <c r="D88" s="161" t="e">
        <f>+'2020'!#REF!</f>
        <v>#REF!</v>
      </c>
      <c r="E88" s="161" t="e">
        <f>+C88+D88</f>
        <v>#REF!</v>
      </c>
      <c r="F88" s="257"/>
      <c r="H88" s="257"/>
    </row>
    <row r="89" spans="1:8" x14ac:dyDescent="0.2">
      <c r="A89" s="339" t="s">
        <v>282</v>
      </c>
      <c r="B89" s="341"/>
      <c r="C89" s="162" t="e">
        <f>SUM(C87:C88)</f>
        <v>#REF!</v>
      </c>
      <c r="D89" s="162" t="e">
        <f>SUM(D87:D88)</f>
        <v>#REF!</v>
      </c>
      <c r="E89" s="162" t="e">
        <f t="shared" ref="E89" si="16">SUM(E87:E88)</f>
        <v>#REF!</v>
      </c>
      <c r="G89" s="133" t="e">
        <f>E89/$E$120</f>
        <v>#REF!</v>
      </c>
      <c r="H89" s="257"/>
    </row>
    <row r="90" spans="1:8" x14ac:dyDescent="0.2">
      <c r="A90" s="262" t="s">
        <v>101</v>
      </c>
      <c r="B90" s="105" t="s">
        <v>284</v>
      </c>
      <c r="C90" s="161" t="e">
        <f>+'2020'!#REF!</f>
        <v>#REF!</v>
      </c>
      <c r="D90" s="161" t="e">
        <f>+'2020'!#REF!</f>
        <v>#REF!</v>
      </c>
      <c r="E90" s="161" t="e">
        <f t="shared" ref="E90:E96" si="17">+C90+D90</f>
        <v>#REF!</v>
      </c>
      <c r="F90" s="257"/>
      <c r="H90" s="257"/>
    </row>
    <row r="91" spans="1:8" x14ac:dyDescent="0.2">
      <c r="A91" s="262"/>
      <c r="B91" s="105" t="s">
        <v>285</v>
      </c>
      <c r="C91" s="161" t="e">
        <f>+'2020'!#REF!</f>
        <v>#REF!</v>
      </c>
      <c r="D91" s="161" t="e">
        <f>+'2020'!#REF!</f>
        <v>#REF!</v>
      </c>
      <c r="E91" s="161" t="e">
        <f t="shared" si="17"/>
        <v>#REF!</v>
      </c>
      <c r="F91" s="257"/>
      <c r="H91" s="257"/>
    </row>
    <row r="92" spans="1:8" x14ac:dyDescent="0.2">
      <c r="A92" s="262"/>
      <c r="B92" s="105" t="s">
        <v>298</v>
      </c>
      <c r="C92" s="161" t="e">
        <f>+'2020'!#REF!</f>
        <v>#REF!</v>
      </c>
      <c r="D92" s="161" t="e">
        <f>+'2020'!#REF!</f>
        <v>#REF!</v>
      </c>
      <c r="E92" s="161" t="e">
        <f t="shared" si="17"/>
        <v>#REF!</v>
      </c>
      <c r="F92" s="257"/>
      <c r="H92" s="257"/>
    </row>
    <row r="93" spans="1:8" x14ac:dyDescent="0.2">
      <c r="A93" s="262"/>
      <c r="B93" s="105" t="s">
        <v>318</v>
      </c>
      <c r="C93" s="161" t="e">
        <f>+'2020'!#REF!</f>
        <v>#REF!</v>
      </c>
      <c r="D93" s="161" t="e">
        <f>+'2020'!#REF!</f>
        <v>#REF!</v>
      </c>
      <c r="E93" s="161" t="e">
        <f t="shared" si="17"/>
        <v>#REF!</v>
      </c>
      <c r="F93" s="257"/>
      <c r="H93" s="257"/>
    </row>
    <row r="94" spans="1:8" x14ac:dyDescent="0.2">
      <c r="A94" s="262"/>
      <c r="B94" s="105" t="s">
        <v>325</v>
      </c>
      <c r="C94" s="161" t="e">
        <f>+'2020'!#REF!</f>
        <v>#REF!</v>
      </c>
      <c r="D94" s="161" t="e">
        <f>+'2020'!#REF!</f>
        <v>#REF!</v>
      </c>
      <c r="E94" s="161" t="e">
        <f t="shared" si="17"/>
        <v>#REF!</v>
      </c>
      <c r="F94" s="257"/>
      <c r="H94" s="257"/>
    </row>
    <row r="95" spans="1:8" x14ac:dyDescent="0.2">
      <c r="A95" s="262"/>
      <c r="B95" s="105" t="s">
        <v>329</v>
      </c>
      <c r="C95" s="161" t="e">
        <f>+'2020'!#REF!</f>
        <v>#REF!</v>
      </c>
      <c r="D95" s="161" t="e">
        <f>+'2020'!#REF!</f>
        <v>#REF!</v>
      </c>
      <c r="E95" s="161" t="e">
        <f t="shared" si="17"/>
        <v>#REF!</v>
      </c>
      <c r="F95" s="257"/>
      <c r="H95" s="257"/>
    </row>
    <row r="96" spans="1:8" x14ac:dyDescent="0.2">
      <c r="A96" s="262"/>
      <c r="B96" s="105" t="s">
        <v>340</v>
      </c>
      <c r="C96" s="161" t="e">
        <f>+'2020'!#REF!</f>
        <v>#REF!</v>
      </c>
      <c r="D96" s="161" t="e">
        <f>+'2020'!#REF!</f>
        <v>#REF!</v>
      </c>
      <c r="E96" s="161" t="e">
        <f t="shared" si="17"/>
        <v>#REF!</v>
      </c>
      <c r="F96" s="257"/>
      <c r="H96" s="257"/>
    </row>
    <row r="97" spans="1:8" x14ac:dyDescent="0.2">
      <c r="A97" s="262"/>
      <c r="B97" s="105" t="s">
        <v>360</v>
      </c>
      <c r="C97" s="161" t="e">
        <f>+'2020'!#REF!</f>
        <v>#REF!</v>
      </c>
      <c r="D97" s="161" t="e">
        <f>+'2020'!#REF!</f>
        <v>#REF!</v>
      </c>
      <c r="E97" s="161" t="e">
        <f t="shared" ref="E97" si="18">+C97+D97</f>
        <v>#REF!</v>
      </c>
      <c r="F97" s="257"/>
      <c r="H97" s="257"/>
    </row>
    <row r="98" spans="1:8" x14ac:dyDescent="0.2">
      <c r="A98" s="339" t="s">
        <v>87</v>
      </c>
      <c r="B98" s="341"/>
      <c r="C98" s="162" t="e">
        <f>SUM(C90:C97)</f>
        <v>#REF!</v>
      </c>
      <c r="D98" s="162" t="e">
        <f>SUM(D90:D97)</f>
        <v>#REF!</v>
      </c>
      <c r="E98" s="162" t="e">
        <f t="shared" ref="E98" si="19">SUM(E90:E97)</f>
        <v>#REF!</v>
      </c>
      <c r="G98" s="133" t="e">
        <f>E98/$E$120</f>
        <v>#REF!</v>
      </c>
      <c r="H98" s="257"/>
    </row>
    <row r="99" spans="1:8" x14ac:dyDescent="0.2">
      <c r="A99" s="262" t="s">
        <v>223</v>
      </c>
      <c r="B99" s="105" t="s">
        <v>229</v>
      </c>
      <c r="C99" s="161" t="e">
        <f>+'2020'!#REF!</f>
        <v>#REF!</v>
      </c>
      <c r="D99" s="161" t="e">
        <f>+'2020'!#REF!</f>
        <v>#REF!</v>
      </c>
      <c r="E99" s="161" t="e">
        <f t="shared" ref="E99:E105" si="20">+C99+D99</f>
        <v>#REF!</v>
      </c>
      <c r="F99" s="257"/>
      <c r="H99" s="257"/>
    </row>
    <row r="100" spans="1:8" x14ac:dyDescent="0.2">
      <c r="A100" s="262"/>
      <c r="B100" s="105" t="s">
        <v>260</v>
      </c>
      <c r="C100" s="161" t="e">
        <f>+'2020'!#REF!</f>
        <v>#REF!</v>
      </c>
      <c r="D100" s="161" t="e">
        <f>+'2020'!#REF!</f>
        <v>#REF!</v>
      </c>
      <c r="E100" s="161" t="e">
        <f t="shared" si="20"/>
        <v>#REF!</v>
      </c>
      <c r="F100" s="257"/>
      <c r="H100" s="257"/>
    </row>
    <row r="101" spans="1:8" x14ac:dyDescent="0.2">
      <c r="A101" s="262"/>
      <c r="B101" s="105" t="s">
        <v>268</v>
      </c>
      <c r="C101" s="161" t="e">
        <f>+'2020'!#REF!</f>
        <v>#REF!</v>
      </c>
      <c r="D101" s="161" t="e">
        <f>+'2020'!#REF!</f>
        <v>#REF!</v>
      </c>
      <c r="E101" s="161" t="e">
        <f t="shared" si="20"/>
        <v>#REF!</v>
      </c>
      <c r="F101" s="257"/>
      <c r="H101" s="257"/>
    </row>
    <row r="102" spans="1:8" x14ac:dyDescent="0.2">
      <c r="A102" s="262"/>
      <c r="B102" s="105" t="s">
        <v>316</v>
      </c>
      <c r="C102" s="161" t="e">
        <f>+'2020'!#REF!</f>
        <v>#REF!</v>
      </c>
      <c r="D102" s="161" t="e">
        <f>+'2020'!#REF!</f>
        <v>#REF!</v>
      </c>
      <c r="E102" s="161" t="e">
        <f t="shared" si="20"/>
        <v>#REF!</v>
      </c>
      <c r="F102" s="257"/>
      <c r="H102" s="257"/>
    </row>
    <row r="103" spans="1:8" x14ac:dyDescent="0.2">
      <c r="A103" s="262"/>
      <c r="B103" s="105" t="s">
        <v>319</v>
      </c>
      <c r="C103" s="161" t="e">
        <f>+'2020'!#REF!</f>
        <v>#REF!</v>
      </c>
      <c r="D103" s="161" t="e">
        <f>+'2020'!#REF!</f>
        <v>#REF!</v>
      </c>
      <c r="E103" s="161" t="e">
        <f t="shared" si="20"/>
        <v>#REF!</v>
      </c>
      <c r="F103" s="257"/>
      <c r="H103" s="257"/>
    </row>
    <row r="104" spans="1:8" x14ac:dyDescent="0.2">
      <c r="A104" s="262"/>
      <c r="B104" s="105" t="s">
        <v>335</v>
      </c>
      <c r="C104" s="161" t="e">
        <f>+'2020'!#REF!</f>
        <v>#REF!</v>
      </c>
      <c r="D104" s="161" t="e">
        <f>+'2020'!#REF!</f>
        <v>#REF!</v>
      </c>
      <c r="E104" s="161" t="e">
        <f t="shared" si="20"/>
        <v>#REF!</v>
      </c>
      <c r="F104" s="257"/>
      <c r="H104" s="257"/>
    </row>
    <row r="105" spans="1:8" x14ac:dyDescent="0.2">
      <c r="A105" s="262"/>
      <c r="B105" s="105" t="s">
        <v>342</v>
      </c>
      <c r="C105" s="161" t="e">
        <f>+'2020'!#REF!</f>
        <v>#REF!</v>
      </c>
      <c r="D105" s="161" t="e">
        <f>+'2020'!#REF!</f>
        <v>#REF!</v>
      </c>
      <c r="E105" s="161" t="e">
        <f t="shared" si="20"/>
        <v>#REF!</v>
      </c>
      <c r="F105" s="257"/>
      <c r="H105" s="257"/>
    </row>
    <row r="106" spans="1:8" x14ac:dyDescent="0.2">
      <c r="A106" s="277"/>
      <c r="B106" s="278" t="s">
        <v>224</v>
      </c>
      <c r="C106" s="162" t="e">
        <f>SUM(C99:C105)</f>
        <v>#REF!</v>
      </c>
      <c r="D106" s="162" t="e">
        <f>SUM(D99:D105)</f>
        <v>#REF!</v>
      </c>
      <c r="E106" s="162" t="e">
        <f t="shared" ref="E106" si="21">SUM(E99:E105)</f>
        <v>#REF!</v>
      </c>
      <c r="G106" s="133" t="e">
        <f>E106/$E$120</f>
        <v>#REF!</v>
      </c>
      <c r="H106" s="257"/>
    </row>
    <row r="107" spans="1:8" x14ac:dyDescent="0.2">
      <c r="A107" s="262" t="s">
        <v>333</v>
      </c>
      <c r="B107" s="105" t="s">
        <v>338</v>
      </c>
      <c r="C107" s="161" t="e">
        <f>+'2020'!#REF!</f>
        <v>#REF!</v>
      </c>
      <c r="D107" s="161" t="e">
        <f>+'2020'!#REF!</f>
        <v>#REF!</v>
      </c>
      <c r="E107" s="161" t="e">
        <f>+C107+D107</f>
        <v>#REF!</v>
      </c>
      <c r="F107" s="257"/>
      <c r="H107" s="257"/>
    </row>
    <row r="108" spans="1:8" x14ac:dyDescent="0.2">
      <c r="A108" s="277"/>
      <c r="B108" s="278" t="s">
        <v>334</v>
      </c>
      <c r="C108" s="162" t="e">
        <f>+C107</f>
        <v>#REF!</v>
      </c>
      <c r="D108" s="162" t="e">
        <f>+D107</f>
        <v>#REF!</v>
      </c>
      <c r="E108" s="162" t="e">
        <f>+E107</f>
        <v>#REF!</v>
      </c>
      <c r="F108" s="261"/>
      <c r="G108" s="133" t="e">
        <f>E108/$E$120</f>
        <v>#REF!</v>
      </c>
      <c r="H108" s="257"/>
    </row>
    <row r="109" spans="1:8" x14ac:dyDescent="0.2">
      <c r="A109" s="262" t="s">
        <v>48</v>
      </c>
      <c r="B109" s="105" t="s">
        <v>264</v>
      </c>
      <c r="C109" s="161" t="e">
        <f>+'2020'!#REF!</f>
        <v>#REF!</v>
      </c>
      <c r="D109" s="161" t="e">
        <f>+'2020'!#REF!</f>
        <v>#REF!</v>
      </c>
      <c r="E109" s="161" t="e">
        <f t="shared" ref="E109:E116" si="22">+C109+D109</f>
        <v>#REF!</v>
      </c>
      <c r="F109" s="257"/>
      <c r="H109" s="257"/>
    </row>
    <row r="110" spans="1:8" x14ac:dyDescent="0.2">
      <c r="A110" s="262"/>
      <c r="B110" s="105" t="s">
        <v>278</v>
      </c>
      <c r="C110" s="161" t="e">
        <f>+'2020'!#REF!</f>
        <v>#REF!</v>
      </c>
      <c r="D110" s="161" t="e">
        <f>+'2020'!#REF!</f>
        <v>#REF!</v>
      </c>
      <c r="E110" s="161" t="e">
        <f t="shared" si="22"/>
        <v>#REF!</v>
      </c>
      <c r="F110" s="257"/>
      <c r="H110" s="257"/>
    </row>
    <row r="111" spans="1:8" x14ac:dyDescent="0.2">
      <c r="A111" s="262"/>
      <c r="B111" s="105" t="s">
        <v>294</v>
      </c>
      <c r="C111" s="161" t="e">
        <f>+'2020'!#REF!</f>
        <v>#REF!</v>
      </c>
      <c r="D111" s="161" t="e">
        <f>+'2020'!#REF!</f>
        <v>#REF!</v>
      </c>
      <c r="E111" s="161" t="e">
        <f t="shared" si="22"/>
        <v>#REF!</v>
      </c>
      <c r="F111" s="257"/>
      <c r="H111" s="257"/>
    </row>
    <row r="112" spans="1:8" x14ac:dyDescent="0.2">
      <c r="A112" s="262"/>
      <c r="B112" s="105" t="s">
        <v>305</v>
      </c>
      <c r="C112" s="161" t="e">
        <f>+'2020'!#REF!</f>
        <v>#REF!</v>
      </c>
      <c r="D112" s="161" t="e">
        <f>+'2020'!#REF!</f>
        <v>#REF!</v>
      </c>
      <c r="E112" s="161" t="e">
        <f t="shared" si="22"/>
        <v>#REF!</v>
      </c>
      <c r="F112" s="257"/>
      <c r="H112" s="257"/>
    </row>
    <row r="113" spans="1:8" x14ac:dyDescent="0.2">
      <c r="A113" s="262"/>
      <c r="B113" s="105" t="s">
        <v>306</v>
      </c>
      <c r="C113" s="161" t="e">
        <f>+'2020'!#REF!</f>
        <v>#REF!</v>
      </c>
      <c r="D113" s="161" t="e">
        <f>+'2020'!#REF!</f>
        <v>#REF!</v>
      </c>
      <c r="E113" s="161" t="e">
        <f t="shared" si="22"/>
        <v>#REF!</v>
      </c>
      <c r="F113" s="257"/>
      <c r="H113" s="257"/>
    </row>
    <row r="114" spans="1:8" x14ac:dyDescent="0.2">
      <c r="A114" s="262"/>
      <c r="B114" s="105" t="s">
        <v>307</v>
      </c>
      <c r="C114" s="161" t="e">
        <f>+'2020'!#REF!</f>
        <v>#REF!</v>
      </c>
      <c r="D114" s="161" t="e">
        <f>+'2020'!#REF!</f>
        <v>#REF!</v>
      </c>
      <c r="E114" s="161" t="e">
        <f t="shared" si="22"/>
        <v>#REF!</v>
      </c>
      <c r="F114" s="257"/>
      <c r="H114" s="257"/>
    </row>
    <row r="115" spans="1:8" x14ac:dyDescent="0.2">
      <c r="A115" s="262"/>
      <c r="B115" s="105" t="s">
        <v>328</v>
      </c>
      <c r="C115" s="161" t="e">
        <f>+'2020'!#REF!</f>
        <v>#REF!</v>
      </c>
      <c r="D115" s="161" t="e">
        <f>+'2020'!#REF!</f>
        <v>#REF!</v>
      </c>
      <c r="E115" s="161" t="e">
        <f t="shared" si="22"/>
        <v>#REF!</v>
      </c>
      <c r="F115" s="257"/>
      <c r="H115" s="257"/>
    </row>
    <row r="116" spans="1:8" x14ac:dyDescent="0.2">
      <c r="A116" s="262"/>
      <c r="B116" s="105" t="s">
        <v>337</v>
      </c>
      <c r="C116" s="161" t="e">
        <f>+'2020'!#REF!</f>
        <v>#REF!</v>
      </c>
      <c r="D116" s="161" t="e">
        <f>+'2020'!#REF!</f>
        <v>#REF!</v>
      </c>
      <c r="E116" s="161" t="e">
        <f t="shared" si="22"/>
        <v>#REF!</v>
      </c>
      <c r="F116" s="257"/>
      <c r="H116" s="257"/>
    </row>
    <row r="117" spans="1:8" x14ac:dyDescent="0.2">
      <c r="A117" s="277"/>
      <c r="B117" s="278" t="s">
        <v>76</v>
      </c>
      <c r="C117" s="162" t="e">
        <f>SUM(C109:C116)</f>
        <v>#REF!</v>
      </c>
      <c r="D117" s="162" t="e">
        <f>SUM(D109:D116)</f>
        <v>#REF!</v>
      </c>
      <c r="E117" s="162" t="e">
        <f>SUM(E109:E116)</f>
        <v>#REF!</v>
      </c>
      <c r="G117" s="133" t="e">
        <f>E117/$E$120</f>
        <v>#REF!</v>
      </c>
      <c r="H117" s="257"/>
    </row>
    <row r="118" spans="1:8" x14ac:dyDescent="0.2">
      <c r="A118" s="262" t="s">
        <v>59</v>
      </c>
      <c r="B118" s="241" t="s">
        <v>261</v>
      </c>
      <c r="C118" s="161" t="e">
        <f>+'2020'!#REF!</f>
        <v>#REF!</v>
      </c>
      <c r="D118" s="161" t="e">
        <f>+'2020'!#REF!</f>
        <v>#REF!</v>
      </c>
      <c r="E118" s="161" t="e">
        <f>+C118+D118</f>
        <v>#REF!</v>
      </c>
      <c r="F118" s="257"/>
      <c r="H118" s="257"/>
    </row>
    <row r="119" spans="1:8" x14ac:dyDescent="0.2">
      <c r="A119" s="277"/>
      <c r="B119" s="278" t="s">
        <v>61</v>
      </c>
      <c r="C119" s="162" t="e">
        <f>SUM(C118:C118)</f>
        <v>#REF!</v>
      </c>
      <c r="D119" s="162" t="e">
        <f>SUM(D118:D118)</f>
        <v>#REF!</v>
      </c>
      <c r="E119" s="162" t="e">
        <f>SUM(E118:E118)</f>
        <v>#REF!</v>
      </c>
      <c r="G119" s="133" t="e">
        <f>E119/$E$120</f>
        <v>#REF!</v>
      </c>
      <c r="H119" s="257"/>
    </row>
    <row r="120" spans="1:8" ht="12" x14ac:dyDescent="0.2">
      <c r="A120" s="337" t="s">
        <v>91</v>
      </c>
      <c r="B120" s="338"/>
      <c r="C120" s="272" t="e">
        <f>+C7+C29+C39+C67+C51+C76+C86+C98+C106+C117+C119+C89+C108</f>
        <v>#REF!</v>
      </c>
      <c r="D120" s="272" t="e">
        <f>+D7+D29+D39+D67+D51+D76+D86+D98+D106+D117+D119+D89+D108</f>
        <v>#REF!</v>
      </c>
      <c r="E120" s="272" t="e">
        <f>+E7+E29+E39+E67+E51+E76+E86+E98+E106+E117+E119+E89+E108</f>
        <v>#REF!</v>
      </c>
      <c r="G120" s="133" t="e">
        <f>SUM(G7:G119)</f>
        <v>#REF!</v>
      </c>
      <c r="H120" s="257"/>
    </row>
    <row r="121" spans="1:8" x14ac:dyDescent="0.2">
      <c r="E121" s="261"/>
      <c r="F121" s="269"/>
    </row>
    <row r="122" spans="1:8" x14ac:dyDescent="0.2">
      <c r="E122" s="261"/>
      <c r="F122" s="261"/>
    </row>
    <row r="123" spans="1:8" x14ac:dyDescent="0.2">
      <c r="E123" s="163" t="e">
        <f>+'2020'!#REF!</f>
        <v>#REF!</v>
      </c>
      <c r="F123" s="261"/>
    </row>
    <row r="124" spans="1:8" x14ac:dyDescent="0.2">
      <c r="D124" s="164" t="s">
        <v>119</v>
      </c>
      <c r="E124" s="164" t="e">
        <f>+E123-E120</f>
        <v>#REF!</v>
      </c>
      <c r="F124" s="261"/>
    </row>
    <row r="125" spans="1:8" x14ac:dyDescent="0.2">
      <c r="D125" s="164" t="s">
        <v>239</v>
      </c>
      <c r="E125" s="243" t="e">
        <f>+E120-D120-C120</f>
        <v>#REF!</v>
      </c>
      <c r="F125" s="261"/>
    </row>
    <row r="126" spans="1:8" x14ac:dyDescent="0.2">
      <c r="F126" s="261"/>
    </row>
    <row r="127" spans="1:8" x14ac:dyDescent="0.2">
      <c r="F127" s="261"/>
    </row>
    <row r="128" spans="1:8" x14ac:dyDescent="0.2">
      <c r="E128" s="261"/>
      <c r="F128" s="261"/>
    </row>
    <row r="129" spans="3:6" x14ac:dyDescent="0.2">
      <c r="C129" s="273"/>
      <c r="E129" s="257"/>
      <c r="F129" s="261"/>
    </row>
    <row r="130" spans="3:6" x14ac:dyDescent="0.2">
      <c r="E130" s="261"/>
      <c r="F130" s="261"/>
    </row>
    <row r="131" spans="3:6" x14ac:dyDescent="0.2">
      <c r="C131" s="273"/>
      <c r="E131" s="264"/>
    </row>
    <row r="132" spans="3:6" x14ac:dyDescent="0.2">
      <c r="C132" s="273"/>
      <c r="D132" s="274"/>
    </row>
  </sheetData>
  <mergeCells count="10">
    <mergeCell ref="A120:B120"/>
    <mergeCell ref="A7:B7"/>
    <mergeCell ref="A29:B29"/>
    <mergeCell ref="A39:B39"/>
    <mergeCell ref="A67:B67"/>
    <mergeCell ref="A51:B51"/>
    <mergeCell ref="A76:B76"/>
    <mergeCell ref="A86:B86"/>
    <mergeCell ref="A98:B98"/>
    <mergeCell ref="A89:B89"/>
  </mergeCells>
  <phoneticPr fontId="19" type="noConversion"/>
  <pageMargins left="0.75" right="0.75" top="1" bottom="1" header="0" footer="0"/>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6"/>
  <sheetViews>
    <sheetView showGridLines="0" workbookViewId="0">
      <selection activeCell="H29" sqref="H29"/>
    </sheetView>
  </sheetViews>
  <sheetFormatPr baseColWidth="10" defaultColWidth="11.42578125" defaultRowHeight="11.25" x14ac:dyDescent="0.2"/>
  <cols>
    <col min="1" max="1" width="16.5703125" style="89" bestFit="1" customWidth="1"/>
    <col min="2" max="2" width="19.7109375" style="89" customWidth="1"/>
    <col min="3" max="3" width="17" style="99" bestFit="1" customWidth="1"/>
    <col min="4" max="4" width="20.5703125" style="99" bestFit="1" customWidth="1"/>
    <col min="5" max="5" width="17" style="89" bestFit="1" customWidth="1"/>
    <col min="6" max="6" width="11.42578125" style="89"/>
    <col min="7" max="7" width="0" style="90" hidden="1" customWidth="1"/>
    <col min="8" max="16384" width="11.42578125" style="89"/>
  </cols>
  <sheetData>
    <row r="1" spans="1:10" ht="12" x14ac:dyDescent="0.2">
      <c r="A1" s="86" t="s">
        <v>55</v>
      </c>
      <c r="B1" s="87" t="s">
        <v>56</v>
      </c>
      <c r="C1" s="88" t="s">
        <v>57</v>
      </c>
      <c r="D1" s="88" t="s">
        <v>58</v>
      </c>
      <c r="E1" s="88" t="s">
        <v>41</v>
      </c>
    </row>
    <row r="2" spans="1:10" x14ac:dyDescent="0.2">
      <c r="A2" s="91" t="s">
        <v>59</v>
      </c>
      <c r="B2" s="92" t="s">
        <v>51</v>
      </c>
      <c r="C2" s="93">
        <v>151668.98000000001</v>
      </c>
      <c r="D2" s="93">
        <v>3181.15</v>
      </c>
      <c r="E2" s="93">
        <v>154850.13</v>
      </c>
      <c r="H2" s="94"/>
    </row>
    <row r="3" spans="1:10" x14ac:dyDescent="0.2">
      <c r="A3" s="91"/>
      <c r="B3" s="92" t="s">
        <v>60</v>
      </c>
      <c r="C3" s="93">
        <v>352809.23</v>
      </c>
      <c r="D3" s="93">
        <v>7345.01</v>
      </c>
      <c r="E3" s="93">
        <v>360154.24</v>
      </c>
      <c r="H3" s="94"/>
    </row>
    <row r="4" spans="1:10" x14ac:dyDescent="0.2">
      <c r="A4" s="342" t="s">
        <v>61</v>
      </c>
      <c r="B4" s="343"/>
      <c r="C4" s="95">
        <v>504478.20999999996</v>
      </c>
      <c r="D4" s="95">
        <v>10526.16</v>
      </c>
      <c r="E4" s="95">
        <v>515004.37</v>
      </c>
      <c r="G4" s="90">
        <v>1.7496752657441321E-2</v>
      </c>
      <c r="H4" s="94"/>
    </row>
    <row r="5" spans="1:10" x14ac:dyDescent="0.2">
      <c r="A5" s="91" t="s">
        <v>45</v>
      </c>
      <c r="B5" s="92" t="s">
        <v>52</v>
      </c>
      <c r="C5" s="93">
        <v>511606.45</v>
      </c>
      <c r="D5" s="93">
        <v>9123.4500000000007</v>
      </c>
      <c r="E5" s="93">
        <v>520729.9</v>
      </c>
      <c r="H5" s="94"/>
    </row>
    <row r="6" spans="1:10" x14ac:dyDescent="0.2">
      <c r="A6" s="91"/>
      <c r="B6" s="92" t="s">
        <v>62</v>
      </c>
      <c r="C6" s="93">
        <v>256594.15</v>
      </c>
      <c r="D6" s="93">
        <v>5144.2700000000004</v>
      </c>
      <c r="E6" s="93">
        <v>261738.41999999998</v>
      </c>
      <c r="H6" s="94"/>
    </row>
    <row r="7" spans="1:10" x14ac:dyDescent="0.2">
      <c r="A7" s="91"/>
      <c r="B7" s="92" t="s">
        <v>92</v>
      </c>
      <c r="C7" s="93">
        <v>264775.52</v>
      </c>
      <c r="D7" s="93">
        <v>3680.14</v>
      </c>
      <c r="E7" s="93">
        <v>268455.66000000003</v>
      </c>
      <c r="H7" s="94"/>
    </row>
    <row r="8" spans="1:10" x14ac:dyDescent="0.2">
      <c r="A8" s="91"/>
      <c r="B8" s="92" t="s">
        <v>105</v>
      </c>
      <c r="C8" s="93">
        <v>200874.64</v>
      </c>
      <c r="D8" s="93">
        <v>110.23</v>
      </c>
      <c r="E8" s="93">
        <v>200984.87000000002</v>
      </c>
      <c r="H8" s="94"/>
    </row>
    <row r="9" spans="1:10" x14ac:dyDescent="0.2">
      <c r="A9" s="91"/>
      <c r="B9" s="92" t="s">
        <v>100</v>
      </c>
      <c r="C9" s="93">
        <v>1507049.31</v>
      </c>
      <c r="D9" s="93">
        <v>31934.39</v>
      </c>
      <c r="E9" s="93">
        <v>1538983.7</v>
      </c>
      <c r="H9" s="94"/>
    </row>
    <row r="10" spans="1:10" x14ac:dyDescent="0.2">
      <c r="A10" s="91"/>
      <c r="B10" s="92" t="s">
        <v>114</v>
      </c>
      <c r="C10" s="93">
        <v>999012.39</v>
      </c>
      <c r="D10" s="93">
        <v>3391.67</v>
      </c>
      <c r="E10" s="93">
        <v>1002404.06</v>
      </c>
      <c r="H10" s="94"/>
    </row>
    <row r="11" spans="1:10" x14ac:dyDescent="0.2">
      <c r="A11" s="342" t="s">
        <v>63</v>
      </c>
      <c r="B11" s="343"/>
      <c r="C11" s="95">
        <v>3739912.4600000004</v>
      </c>
      <c r="D11" s="95">
        <v>53384.15</v>
      </c>
      <c r="E11" s="95">
        <v>3793296.61</v>
      </c>
      <c r="G11" s="101">
        <v>0.1288734162420421</v>
      </c>
      <c r="H11" s="94"/>
    </row>
    <row r="12" spans="1:10" x14ac:dyDescent="0.2">
      <c r="A12" s="91" t="s">
        <v>38</v>
      </c>
      <c r="B12" s="92" t="s">
        <v>64</v>
      </c>
      <c r="C12" s="93">
        <v>571974.76</v>
      </c>
      <c r="D12" s="93">
        <v>13302.5</v>
      </c>
      <c r="E12" s="93">
        <v>585277.26</v>
      </c>
      <c r="H12" s="94"/>
    </row>
    <row r="13" spans="1:10" x14ac:dyDescent="0.2">
      <c r="A13" s="91"/>
      <c r="B13" s="92" t="s">
        <v>65</v>
      </c>
      <c r="C13" s="93">
        <v>245501.65</v>
      </c>
      <c r="D13" s="93">
        <v>5998.99</v>
      </c>
      <c r="E13" s="93">
        <v>251500.63999999998</v>
      </c>
      <c r="H13" s="94"/>
    </row>
    <row r="14" spans="1:10" x14ac:dyDescent="0.2">
      <c r="A14" s="91"/>
      <c r="B14" s="92" t="s">
        <v>66</v>
      </c>
      <c r="C14" s="93">
        <v>973208.87000000011</v>
      </c>
      <c r="D14" s="93">
        <v>24223.72</v>
      </c>
      <c r="E14" s="93">
        <v>997432.59000000008</v>
      </c>
      <c r="H14" s="94"/>
      <c r="J14" s="96"/>
    </row>
    <row r="15" spans="1:10" x14ac:dyDescent="0.2">
      <c r="A15" s="91"/>
      <c r="B15" s="92" t="s">
        <v>108</v>
      </c>
      <c r="C15" s="93">
        <v>632554.21</v>
      </c>
      <c r="D15" s="93">
        <v>14232.47</v>
      </c>
      <c r="E15" s="93">
        <v>646786.67999999993</v>
      </c>
      <c r="H15" s="94"/>
    </row>
    <row r="16" spans="1:10" x14ac:dyDescent="0.2">
      <c r="A16" s="91"/>
      <c r="B16" s="92" t="s">
        <v>54</v>
      </c>
      <c r="C16" s="93">
        <v>728789.67</v>
      </c>
      <c r="D16" s="93">
        <v>21493.5</v>
      </c>
      <c r="E16" s="93">
        <v>750283.17</v>
      </c>
      <c r="H16" s="94"/>
    </row>
    <row r="17" spans="1:8" x14ac:dyDescent="0.2">
      <c r="A17" s="342" t="s">
        <v>67</v>
      </c>
      <c r="B17" s="343"/>
      <c r="C17" s="95">
        <v>3152029.16</v>
      </c>
      <c r="D17" s="95">
        <v>79251.179999999993</v>
      </c>
      <c r="E17" s="95">
        <v>3231280.34</v>
      </c>
      <c r="G17" s="97">
        <v>0.10977948182426664</v>
      </c>
      <c r="H17" s="94"/>
    </row>
    <row r="18" spans="1:8" x14ac:dyDescent="0.2">
      <c r="A18" s="91" t="s">
        <v>50</v>
      </c>
      <c r="B18" s="92" t="s">
        <v>68</v>
      </c>
      <c r="C18" s="93">
        <v>1152482.1299999999</v>
      </c>
      <c r="D18" s="93">
        <v>40129.06</v>
      </c>
      <c r="E18" s="93">
        <v>1192611.19</v>
      </c>
      <c r="H18" s="94"/>
    </row>
    <row r="19" spans="1:8" x14ac:dyDescent="0.2">
      <c r="A19" s="342" t="s">
        <v>69</v>
      </c>
      <c r="B19" s="343"/>
      <c r="C19" s="95">
        <v>1152482.1299999999</v>
      </c>
      <c r="D19" s="95">
        <v>40129.06</v>
      </c>
      <c r="E19" s="95">
        <v>1192611.19</v>
      </c>
      <c r="G19" s="90">
        <v>4.0517759117125074E-2</v>
      </c>
      <c r="H19" s="94"/>
    </row>
    <row r="20" spans="1:8" x14ac:dyDescent="0.2">
      <c r="A20" s="91" t="s">
        <v>40</v>
      </c>
      <c r="B20" s="92" t="s">
        <v>70</v>
      </c>
      <c r="C20" s="93">
        <v>244053.18000000002</v>
      </c>
      <c r="D20" s="93">
        <v>2326.6999999999998</v>
      </c>
      <c r="E20" s="93">
        <v>246379.88000000003</v>
      </c>
      <c r="H20" s="94"/>
    </row>
    <row r="21" spans="1:8" x14ac:dyDescent="0.2">
      <c r="A21" s="91"/>
      <c r="B21" s="92" t="s">
        <v>93</v>
      </c>
      <c r="C21" s="93">
        <v>448517.83</v>
      </c>
      <c r="D21" s="93">
        <v>850</v>
      </c>
      <c r="E21" s="93">
        <v>449367.83</v>
      </c>
      <c r="H21" s="94"/>
    </row>
    <row r="22" spans="1:8" x14ac:dyDescent="0.2">
      <c r="A22" s="91"/>
      <c r="B22" s="92" t="s">
        <v>71</v>
      </c>
      <c r="C22" s="93">
        <v>559167.44999999995</v>
      </c>
      <c r="D22" s="93">
        <v>8757.82</v>
      </c>
      <c r="E22" s="93">
        <v>567925.2699999999</v>
      </c>
      <c r="H22" s="94"/>
    </row>
    <row r="23" spans="1:8" x14ac:dyDescent="0.2">
      <c r="A23" s="91"/>
      <c r="B23" s="92" t="s">
        <v>72</v>
      </c>
      <c r="C23" s="93">
        <v>149190.37</v>
      </c>
      <c r="D23" s="93">
        <v>3543.75</v>
      </c>
      <c r="E23" s="93">
        <v>152734.12</v>
      </c>
      <c r="H23" s="94"/>
    </row>
    <row r="24" spans="1:8" x14ac:dyDescent="0.2">
      <c r="A24" s="91"/>
      <c r="B24" s="92" t="s">
        <v>99</v>
      </c>
      <c r="C24" s="93">
        <v>596404.14</v>
      </c>
      <c r="D24" s="93">
        <v>333.34</v>
      </c>
      <c r="E24" s="93">
        <v>596737.48</v>
      </c>
      <c r="H24" s="94"/>
    </row>
    <row r="25" spans="1:8" x14ac:dyDescent="0.2">
      <c r="A25" s="91"/>
      <c r="B25" s="92" t="s">
        <v>115</v>
      </c>
      <c r="C25" s="93">
        <v>496560.9</v>
      </c>
      <c r="D25" s="93">
        <v>2506.94</v>
      </c>
      <c r="E25" s="93">
        <v>499067.84</v>
      </c>
      <c r="H25" s="94"/>
    </row>
    <row r="26" spans="1:8" x14ac:dyDescent="0.2">
      <c r="A26" s="91"/>
      <c r="B26" s="92" t="s">
        <v>107</v>
      </c>
      <c r="C26" s="93">
        <v>995597.06</v>
      </c>
      <c r="D26" s="93">
        <v>19800</v>
      </c>
      <c r="E26" s="93">
        <v>1015397.06</v>
      </c>
      <c r="H26" s="94"/>
    </row>
    <row r="27" spans="1:8" x14ac:dyDescent="0.2">
      <c r="A27" s="91"/>
      <c r="B27" s="92" t="s">
        <v>110</v>
      </c>
      <c r="C27" s="93">
        <v>396707.81</v>
      </c>
      <c r="D27" s="93">
        <v>9450</v>
      </c>
      <c r="E27" s="93">
        <v>406157.81</v>
      </c>
      <c r="H27" s="94"/>
    </row>
    <row r="28" spans="1:8" x14ac:dyDescent="0.2">
      <c r="A28" s="342" t="s">
        <v>73</v>
      </c>
      <c r="B28" s="343"/>
      <c r="C28" s="95">
        <v>3886198.74</v>
      </c>
      <c r="D28" s="95">
        <v>47568.55</v>
      </c>
      <c r="E28" s="95">
        <v>3933767.29</v>
      </c>
      <c r="G28" s="97">
        <v>0.13364576553993754</v>
      </c>
      <c r="H28" s="94"/>
    </row>
    <row r="29" spans="1:8" x14ac:dyDescent="0.2">
      <c r="A29" s="91" t="s">
        <v>47</v>
      </c>
      <c r="B29" s="92" t="s">
        <v>96</v>
      </c>
      <c r="C29" s="93">
        <v>373673.47</v>
      </c>
      <c r="D29" s="93">
        <v>7817.7</v>
      </c>
      <c r="E29" s="93">
        <v>381491.17</v>
      </c>
      <c r="H29" s="94"/>
    </row>
    <row r="30" spans="1:8" x14ac:dyDescent="0.2">
      <c r="A30" s="91"/>
      <c r="B30" s="92" t="s">
        <v>95</v>
      </c>
      <c r="C30" s="93">
        <v>647130.12</v>
      </c>
      <c r="D30" s="93">
        <v>12837.5</v>
      </c>
      <c r="E30" s="93">
        <v>659967.62</v>
      </c>
      <c r="H30" s="94"/>
    </row>
    <row r="31" spans="1:8" x14ac:dyDescent="0.2">
      <c r="A31" s="342" t="s">
        <v>74</v>
      </c>
      <c r="B31" s="343"/>
      <c r="C31" s="95">
        <v>1020803.59</v>
      </c>
      <c r="D31" s="95">
        <v>20655.2</v>
      </c>
      <c r="E31" s="95">
        <v>1041458.79</v>
      </c>
      <c r="G31" s="90">
        <v>3.5382509184432989E-2</v>
      </c>
      <c r="H31" s="94"/>
    </row>
    <row r="32" spans="1:8" x14ac:dyDescent="0.2">
      <c r="A32" s="91" t="s">
        <v>48</v>
      </c>
      <c r="B32" s="92" t="s">
        <v>75</v>
      </c>
      <c r="C32" s="93">
        <v>769970.5</v>
      </c>
      <c r="D32" s="93">
        <v>21746.959999999999</v>
      </c>
      <c r="E32" s="93">
        <v>791717.46</v>
      </c>
      <c r="H32" s="94"/>
    </row>
    <row r="33" spans="1:9" x14ac:dyDescent="0.2">
      <c r="A33" s="342" t="s">
        <v>76</v>
      </c>
      <c r="B33" s="343"/>
      <c r="C33" s="95">
        <v>769970.5</v>
      </c>
      <c r="D33" s="95">
        <v>21746.959999999999</v>
      </c>
      <c r="E33" s="95">
        <v>791717.46</v>
      </c>
      <c r="G33" s="90">
        <v>2.6897800055944558E-2</v>
      </c>
      <c r="H33" s="94"/>
    </row>
    <row r="34" spans="1:9" x14ac:dyDescent="0.2">
      <c r="A34" s="91" t="s">
        <v>36</v>
      </c>
      <c r="B34" s="92" t="s">
        <v>77</v>
      </c>
      <c r="C34" s="93">
        <v>248049.05</v>
      </c>
      <c r="D34" s="93">
        <v>7159.04</v>
      </c>
      <c r="E34" s="93">
        <v>255208.09</v>
      </c>
      <c r="H34" s="94"/>
    </row>
    <row r="35" spans="1:9" x14ac:dyDescent="0.2">
      <c r="A35" s="91"/>
      <c r="B35" s="92" t="s">
        <v>78</v>
      </c>
      <c r="C35" s="93">
        <v>520004.94</v>
      </c>
      <c r="D35" s="93">
        <v>17321.41</v>
      </c>
      <c r="E35" s="93">
        <v>537326.35</v>
      </c>
      <c r="H35" s="94"/>
    </row>
    <row r="36" spans="1:9" x14ac:dyDescent="0.2">
      <c r="A36" s="342" t="s">
        <v>79</v>
      </c>
      <c r="B36" s="343"/>
      <c r="C36" s="95">
        <v>768053.99</v>
      </c>
      <c r="D36" s="95">
        <v>24480.45</v>
      </c>
      <c r="E36" s="95">
        <v>792534.44</v>
      </c>
      <c r="G36" s="90">
        <v>2.6925556125249515E-2</v>
      </c>
      <c r="H36" s="94"/>
    </row>
    <row r="37" spans="1:9" x14ac:dyDescent="0.2">
      <c r="A37" s="91" t="s">
        <v>46</v>
      </c>
      <c r="B37" s="92" t="s">
        <v>104</v>
      </c>
      <c r="C37" s="93">
        <v>594449.52</v>
      </c>
      <c r="D37" s="93">
        <v>16184.73</v>
      </c>
      <c r="E37" s="93">
        <v>610634.25</v>
      </c>
      <c r="H37" s="94"/>
    </row>
    <row r="38" spans="1:9" x14ac:dyDescent="0.2">
      <c r="A38" s="91"/>
      <c r="B38" s="92" t="s">
        <v>80</v>
      </c>
      <c r="C38" s="93">
        <v>817652.91</v>
      </c>
      <c r="D38" s="93">
        <v>78977.06</v>
      </c>
      <c r="E38" s="93">
        <v>896629.97</v>
      </c>
      <c r="H38" s="94"/>
    </row>
    <row r="39" spans="1:9" x14ac:dyDescent="0.2">
      <c r="A39" s="91"/>
      <c r="B39" s="92" t="s">
        <v>94</v>
      </c>
      <c r="C39" s="93">
        <v>1271961.1199999999</v>
      </c>
      <c r="D39" s="93">
        <v>33260.949999999997</v>
      </c>
      <c r="E39" s="93">
        <v>1305222.0699999998</v>
      </c>
      <c r="H39" s="94"/>
    </row>
    <row r="40" spans="1:9" x14ac:dyDescent="0.2">
      <c r="A40" s="91"/>
      <c r="B40" s="92" t="s">
        <v>109</v>
      </c>
      <c r="C40" s="93">
        <v>507311.27</v>
      </c>
      <c r="D40" s="93">
        <v>14514.18</v>
      </c>
      <c r="E40" s="93">
        <v>521825.45</v>
      </c>
      <c r="H40" s="94"/>
    </row>
    <row r="41" spans="1:9" x14ac:dyDescent="0.2">
      <c r="A41" s="342" t="s">
        <v>81</v>
      </c>
      <c r="B41" s="343"/>
      <c r="C41" s="95">
        <v>3191374.82</v>
      </c>
      <c r="D41" s="95">
        <v>142936.91999999998</v>
      </c>
      <c r="E41" s="95">
        <v>3334311.74</v>
      </c>
      <c r="G41" s="101">
        <v>0.11327986944573461</v>
      </c>
      <c r="H41" s="94"/>
    </row>
    <row r="42" spans="1:9" x14ac:dyDescent="0.2">
      <c r="A42" s="91" t="s">
        <v>33</v>
      </c>
      <c r="B42" s="92" t="s">
        <v>113</v>
      </c>
      <c r="C42" s="93">
        <v>1188000</v>
      </c>
      <c r="D42" s="93">
        <v>0</v>
      </c>
      <c r="E42" s="93">
        <v>1188000</v>
      </c>
      <c r="G42" s="101"/>
      <c r="H42" s="94"/>
    </row>
    <row r="43" spans="1:9" x14ac:dyDescent="0.2">
      <c r="A43" s="342" t="s">
        <v>116</v>
      </c>
      <c r="B43" s="343"/>
      <c r="C43" s="95">
        <v>1188000</v>
      </c>
      <c r="D43" s="95">
        <v>0</v>
      </c>
      <c r="E43" s="95">
        <v>1188000</v>
      </c>
      <c r="G43" s="101"/>
      <c r="H43" s="94"/>
    </row>
    <row r="44" spans="1:9" x14ac:dyDescent="0.2">
      <c r="A44" s="91" t="s">
        <v>28</v>
      </c>
      <c r="B44" s="92" t="s">
        <v>97</v>
      </c>
      <c r="C44" s="93">
        <v>1107118.8</v>
      </c>
      <c r="D44" s="93">
        <v>16687.97</v>
      </c>
      <c r="E44" s="93">
        <v>1123806.77</v>
      </c>
      <c r="H44" s="94"/>
      <c r="I44" s="92"/>
    </row>
    <row r="45" spans="1:9" x14ac:dyDescent="0.2">
      <c r="A45" s="91"/>
      <c r="B45" s="92" t="s">
        <v>102</v>
      </c>
      <c r="C45" s="93">
        <v>966593.31</v>
      </c>
      <c r="D45" s="93">
        <v>32136.01</v>
      </c>
      <c r="E45" s="93">
        <v>998729.32000000007</v>
      </c>
      <c r="H45" s="94"/>
      <c r="I45" s="92"/>
    </row>
    <row r="46" spans="1:9" x14ac:dyDescent="0.2">
      <c r="A46" s="342" t="s">
        <v>82</v>
      </c>
      <c r="B46" s="343"/>
      <c r="C46" s="95">
        <v>2073712.11</v>
      </c>
      <c r="D46" s="95">
        <v>48823.979999999996</v>
      </c>
      <c r="E46" s="95">
        <v>2122536.09</v>
      </c>
      <c r="G46" s="90">
        <v>7.2111017180733067E-2</v>
      </c>
      <c r="H46" s="94"/>
    </row>
    <row r="47" spans="1:9" x14ac:dyDescent="0.2">
      <c r="A47" s="91" t="s">
        <v>101</v>
      </c>
      <c r="B47" s="92" t="s">
        <v>83</v>
      </c>
      <c r="C47" s="93">
        <v>171878.24</v>
      </c>
      <c r="D47" s="93">
        <v>5336.98</v>
      </c>
      <c r="E47" s="93">
        <v>177215.22</v>
      </c>
      <c r="H47" s="94"/>
    </row>
    <row r="48" spans="1:9" x14ac:dyDescent="0.2">
      <c r="A48" s="91"/>
      <c r="B48" s="92" t="s">
        <v>84</v>
      </c>
      <c r="C48" s="93">
        <v>173194.62</v>
      </c>
      <c r="D48" s="93">
        <v>5444.02</v>
      </c>
      <c r="E48" s="93">
        <v>178638.63999999998</v>
      </c>
      <c r="H48" s="94"/>
    </row>
    <row r="49" spans="1:8" x14ac:dyDescent="0.2">
      <c r="A49" s="91"/>
      <c r="B49" s="92" t="s">
        <v>85</v>
      </c>
      <c r="C49" s="93">
        <v>537951.14</v>
      </c>
      <c r="D49" s="93">
        <v>15507.61</v>
      </c>
      <c r="E49" s="93">
        <v>553458.75</v>
      </c>
      <c r="H49" s="94"/>
    </row>
    <row r="50" spans="1:8" x14ac:dyDescent="0.2">
      <c r="A50" s="91"/>
      <c r="B50" s="92" t="s">
        <v>86</v>
      </c>
      <c r="C50" s="93">
        <v>866418.51</v>
      </c>
      <c r="D50" s="93">
        <v>0</v>
      </c>
      <c r="E50" s="93">
        <v>866418.51</v>
      </c>
      <c r="H50" s="94"/>
    </row>
    <row r="51" spans="1:8" x14ac:dyDescent="0.2">
      <c r="A51" s="91"/>
      <c r="B51" s="92" t="s">
        <v>103</v>
      </c>
      <c r="C51" s="93">
        <v>1537125.44</v>
      </c>
      <c r="D51" s="93">
        <v>30541.17</v>
      </c>
      <c r="E51" s="93">
        <v>1567666.6099999999</v>
      </c>
      <c r="H51" s="94"/>
    </row>
    <row r="52" spans="1:8" x14ac:dyDescent="0.2">
      <c r="A52" s="91"/>
      <c r="B52" s="92" t="s">
        <v>111</v>
      </c>
      <c r="C52" s="93">
        <v>1511002.03</v>
      </c>
      <c r="D52" s="93">
        <v>33537.79</v>
      </c>
      <c r="E52" s="93">
        <v>1544539.82</v>
      </c>
      <c r="H52" s="94"/>
    </row>
    <row r="53" spans="1:8" x14ac:dyDescent="0.2">
      <c r="A53" s="342" t="s">
        <v>87</v>
      </c>
      <c r="B53" s="343"/>
      <c r="C53" s="95">
        <v>4797569.9800000004</v>
      </c>
      <c r="D53" s="95">
        <v>90367.57</v>
      </c>
      <c r="E53" s="95">
        <v>4887937.55</v>
      </c>
      <c r="G53" s="97">
        <v>0.16606273519071249</v>
      </c>
      <c r="H53" s="94"/>
    </row>
    <row r="54" spans="1:8" x14ac:dyDescent="0.2">
      <c r="A54" s="91" t="s">
        <v>88</v>
      </c>
      <c r="B54" s="92" t="s">
        <v>89</v>
      </c>
      <c r="C54" s="93">
        <v>684271.4</v>
      </c>
      <c r="D54" s="93">
        <v>21829.66</v>
      </c>
      <c r="E54" s="93">
        <v>706101.06</v>
      </c>
      <c r="H54" s="94"/>
    </row>
    <row r="55" spans="1:8" x14ac:dyDescent="0.2">
      <c r="A55" s="91"/>
      <c r="B55" s="92" t="s">
        <v>98</v>
      </c>
      <c r="C55" s="93">
        <v>673378.94</v>
      </c>
      <c r="D55" s="93">
        <v>21496.71</v>
      </c>
      <c r="E55" s="93">
        <v>694875.64999999991</v>
      </c>
      <c r="H55" s="94"/>
    </row>
    <row r="56" spans="1:8" x14ac:dyDescent="0.2">
      <c r="A56" s="91"/>
      <c r="B56" s="92" t="s">
        <v>53</v>
      </c>
      <c r="C56" s="93">
        <v>1169802.31</v>
      </c>
      <c r="D56" s="93">
        <v>39048.15</v>
      </c>
      <c r="E56" s="93">
        <v>1208850.46</v>
      </c>
      <c r="H56" s="94"/>
    </row>
    <row r="57" spans="1:8" x14ac:dyDescent="0.2">
      <c r="A57" s="342" t="s">
        <v>90</v>
      </c>
      <c r="B57" s="343"/>
      <c r="C57" s="95">
        <v>2527452.65</v>
      </c>
      <c r="D57" s="95">
        <v>82374.51999999999</v>
      </c>
      <c r="E57" s="95">
        <v>2609827.17</v>
      </c>
      <c r="G57" s="97">
        <v>8.866623883630359E-2</v>
      </c>
      <c r="H57" s="94"/>
    </row>
    <row r="58" spans="1:8" ht="12" x14ac:dyDescent="0.2">
      <c r="A58" s="344" t="s">
        <v>91</v>
      </c>
      <c r="B58" s="345"/>
      <c r="C58" s="98">
        <v>28772038.34</v>
      </c>
      <c r="D58" s="98">
        <v>662244.69999999995</v>
      </c>
      <c r="E58" s="98">
        <v>29434283.039999999</v>
      </c>
      <c r="F58" s="94"/>
      <c r="G58" s="90">
        <v>1</v>
      </c>
      <c r="H58" s="94"/>
    </row>
    <row r="60" spans="1:8" x14ac:dyDescent="0.2">
      <c r="E60" s="94"/>
    </row>
    <row r="61" spans="1:8" x14ac:dyDescent="0.2">
      <c r="E61" s="99"/>
    </row>
    <row r="62" spans="1:8" x14ac:dyDescent="0.2">
      <c r="E62" s="99"/>
    </row>
    <row r="63" spans="1:8" x14ac:dyDescent="0.2">
      <c r="E63" s="103"/>
    </row>
    <row r="64" spans="1:8" x14ac:dyDescent="0.2">
      <c r="E64" s="103"/>
    </row>
    <row r="65" spans="5:5" x14ac:dyDescent="0.2">
      <c r="E65" s="94"/>
    </row>
    <row r="66" spans="5:5" x14ac:dyDescent="0.2">
      <c r="E66" s="94"/>
    </row>
  </sheetData>
  <mergeCells count="14">
    <mergeCell ref="A4:B4"/>
    <mergeCell ref="A11:B11"/>
    <mergeCell ref="A17:B17"/>
    <mergeCell ref="A19:B19"/>
    <mergeCell ref="A28:B28"/>
    <mergeCell ref="A57:B57"/>
    <mergeCell ref="A58:B58"/>
    <mergeCell ref="A43:B43"/>
    <mergeCell ref="A31:B31"/>
    <mergeCell ref="A33:B33"/>
    <mergeCell ref="A36:B36"/>
    <mergeCell ref="A41:B41"/>
    <mergeCell ref="A46:B46"/>
    <mergeCell ref="A53:B53"/>
  </mergeCells>
  <pageMargins left="0.75" right="0.75" top="1" bottom="1" header="0" footer="0"/>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H18"/>
  <sheetViews>
    <sheetView topLeftCell="A4" workbookViewId="0">
      <selection activeCell="G6" sqref="G6"/>
    </sheetView>
  </sheetViews>
  <sheetFormatPr baseColWidth="10" defaultColWidth="11.5703125" defaultRowHeight="12" x14ac:dyDescent="0.2"/>
  <cols>
    <col min="1" max="1" width="4.85546875" style="225" customWidth="1"/>
    <col min="2" max="2" width="33.7109375" style="225" bestFit="1" customWidth="1"/>
    <col min="3" max="3" width="16.7109375" style="225" customWidth="1"/>
    <col min="4" max="4" width="14.7109375" style="225" bestFit="1" customWidth="1"/>
    <col min="5" max="5" width="15.42578125" style="225" bestFit="1" customWidth="1"/>
    <col min="6" max="16384" width="11.5703125" style="225"/>
  </cols>
  <sheetData>
    <row r="3" spans="2:8" x14ac:dyDescent="0.2">
      <c r="B3" s="225" t="s">
        <v>230</v>
      </c>
      <c r="C3" s="226">
        <v>31100000</v>
      </c>
    </row>
    <row r="4" spans="2:8" ht="12.75" thickBot="1" x14ac:dyDescent="0.25">
      <c r="B4" s="225" t="s">
        <v>231</v>
      </c>
      <c r="C4" s="227">
        <v>5.0000000000000001E-3</v>
      </c>
    </row>
    <row r="5" spans="2:8" ht="12.75" thickBot="1" x14ac:dyDescent="0.25">
      <c r="B5" s="228" t="s">
        <v>232</v>
      </c>
      <c r="C5" s="229">
        <f>+C3*C4</f>
        <v>155500</v>
      </c>
    </row>
    <row r="7" spans="2:8" x14ac:dyDescent="0.2">
      <c r="C7" s="235">
        <v>5</v>
      </c>
    </row>
    <row r="8" spans="2:8" ht="24" x14ac:dyDescent="0.2">
      <c r="B8" s="230"/>
      <c r="C8" s="236" t="s">
        <v>235</v>
      </c>
      <c r="D8" s="231" t="s">
        <v>233</v>
      </c>
      <c r="E8" s="236" t="s">
        <v>238</v>
      </c>
      <c r="F8" s="234" t="s">
        <v>234</v>
      </c>
      <c r="G8" s="234" t="s">
        <v>236</v>
      </c>
      <c r="H8" s="234" t="s">
        <v>237</v>
      </c>
    </row>
    <row r="9" spans="2:8" x14ac:dyDescent="0.2">
      <c r="B9" s="225" t="e">
        <f>+#REF!</f>
        <v>#REF!</v>
      </c>
      <c r="C9" s="237" t="e">
        <f>+#REF!</f>
        <v>#REF!</v>
      </c>
      <c r="D9" s="232"/>
      <c r="E9" s="237" t="e">
        <f>+D9+C9</f>
        <v>#REF!</v>
      </c>
      <c r="F9" s="237">
        <v>-800</v>
      </c>
      <c r="G9" s="237" t="e">
        <f>(F9+E9)</f>
        <v>#REF!</v>
      </c>
      <c r="H9" s="237" t="e">
        <f>+E9+F9+G9</f>
        <v>#REF!</v>
      </c>
    </row>
    <row r="10" spans="2:8" x14ac:dyDescent="0.2">
      <c r="B10" s="225" t="e">
        <f>+#REF!</f>
        <v>#REF!</v>
      </c>
      <c r="C10" s="237" t="e">
        <f>+#REF!</f>
        <v>#REF!</v>
      </c>
      <c r="D10" s="232"/>
      <c r="E10" s="237" t="e">
        <f t="shared" ref="E10:E16" si="0">+D10+C10</f>
        <v>#REF!</v>
      </c>
      <c r="F10" s="237">
        <f>-((28375.92/6.96)+1784.5+5787.2+2909.11)</f>
        <v>-14557.810000000001</v>
      </c>
      <c r="G10" s="239" t="e">
        <f t="shared" ref="G10:G16" si="1">(F10+E10)</f>
        <v>#REF!</v>
      </c>
      <c r="H10" s="237" t="e">
        <f t="shared" ref="H10:H16" si="2">+E10+F10+G10</f>
        <v>#REF!</v>
      </c>
    </row>
    <row r="11" spans="2:8" x14ac:dyDescent="0.2">
      <c r="B11" s="225" t="e">
        <f>+#REF!</f>
        <v>#REF!</v>
      </c>
      <c r="C11" s="237" t="e">
        <f>+#REF!</f>
        <v>#REF!</v>
      </c>
      <c r="D11" s="237">
        <v>3950</v>
      </c>
      <c r="E11" s="237" t="e">
        <f t="shared" si="0"/>
        <v>#REF!</v>
      </c>
      <c r="F11" s="237">
        <v>-3238</v>
      </c>
      <c r="G11" s="237" t="e">
        <f t="shared" si="1"/>
        <v>#REF!</v>
      </c>
      <c r="H11" s="237" t="e">
        <f>+(E11+F11+G11)*1.1</f>
        <v>#REF!</v>
      </c>
    </row>
    <row r="12" spans="2:8" x14ac:dyDescent="0.2">
      <c r="B12" s="225" t="e">
        <f>+#REF!</f>
        <v>#REF!</v>
      </c>
      <c r="C12" s="237" t="e">
        <f>+#REF!</f>
        <v>#REF!</v>
      </c>
      <c r="D12" s="237"/>
      <c r="E12" s="237" t="e">
        <f t="shared" si="0"/>
        <v>#REF!</v>
      </c>
      <c r="F12" s="237">
        <v>-1000</v>
      </c>
      <c r="G12" s="237" t="e">
        <f t="shared" si="1"/>
        <v>#REF!</v>
      </c>
      <c r="H12" s="237" t="e">
        <f t="shared" si="2"/>
        <v>#REF!</v>
      </c>
    </row>
    <row r="13" spans="2:8" x14ac:dyDescent="0.2">
      <c r="B13" s="225" t="e">
        <f>+#REF!</f>
        <v>#REF!</v>
      </c>
      <c r="C13" s="237" t="e">
        <f>+#REF!</f>
        <v>#REF!</v>
      </c>
      <c r="D13" s="237"/>
      <c r="E13" s="237" t="e">
        <f t="shared" si="0"/>
        <v>#REF!</v>
      </c>
      <c r="F13" s="237">
        <v>0</v>
      </c>
      <c r="G13" s="237" t="e">
        <f t="shared" si="1"/>
        <v>#REF!</v>
      </c>
      <c r="H13" s="237" t="e">
        <f t="shared" si="2"/>
        <v>#REF!</v>
      </c>
    </row>
    <row r="14" spans="2:8" x14ac:dyDescent="0.2">
      <c r="B14" s="225" t="e">
        <f>+#REF!</f>
        <v>#REF!</v>
      </c>
      <c r="C14" s="237" t="e">
        <f>+#REF!</f>
        <v>#REF!</v>
      </c>
      <c r="D14" s="237"/>
      <c r="E14" s="237" t="e">
        <f t="shared" si="0"/>
        <v>#REF!</v>
      </c>
      <c r="F14" s="237">
        <v>-1187</v>
      </c>
      <c r="G14" s="237" t="e">
        <f t="shared" si="1"/>
        <v>#REF!</v>
      </c>
      <c r="H14" s="237" t="e">
        <f>(+E14+F14+G14)*1.1</f>
        <v>#REF!</v>
      </c>
    </row>
    <row r="15" spans="2:8" x14ac:dyDescent="0.2">
      <c r="B15" s="225" t="e">
        <f>+#REF!</f>
        <v>#REF!</v>
      </c>
      <c r="C15" s="237" t="e">
        <f>+#REF!</f>
        <v>#REF!</v>
      </c>
      <c r="D15" s="237"/>
      <c r="E15" s="237" t="e">
        <f t="shared" si="0"/>
        <v>#REF!</v>
      </c>
      <c r="F15" s="237">
        <v>-3000</v>
      </c>
      <c r="G15" s="237">
        <v>0</v>
      </c>
      <c r="H15" s="237" t="e">
        <f t="shared" si="2"/>
        <v>#REF!</v>
      </c>
    </row>
    <row r="16" spans="2:8" x14ac:dyDescent="0.2">
      <c r="B16" s="225" t="e">
        <f>+#REF!</f>
        <v>#REF!</v>
      </c>
      <c r="C16" s="237">
        <v>0</v>
      </c>
      <c r="D16" s="237"/>
      <c r="E16" s="237">
        <f t="shared" si="0"/>
        <v>0</v>
      </c>
      <c r="F16" s="237">
        <v>0</v>
      </c>
      <c r="G16" s="237">
        <f t="shared" si="1"/>
        <v>0</v>
      </c>
      <c r="H16" s="237">
        <f t="shared" si="2"/>
        <v>0</v>
      </c>
    </row>
    <row r="17" spans="2:8" x14ac:dyDescent="0.2">
      <c r="B17" s="233"/>
      <c r="C17" s="238" t="e">
        <f t="shared" ref="C17:H17" si="3">SUM(C9:C16)</f>
        <v>#REF!</v>
      </c>
      <c r="D17" s="238">
        <f t="shared" si="3"/>
        <v>3950</v>
      </c>
      <c r="E17" s="238" t="e">
        <f t="shared" si="3"/>
        <v>#REF!</v>
      </c>
      <c r="F17" s="238">
        <f t="shared" si="3"/>
        <v>-23782.81</v>
      </c>
      <c r="G17" s="238" t="e">
        <f t="shared" si="3"/>
        <v>#REF!</v>
      </c>
      <c r="H17" s="238" t="e">
        <f t="shared" si="3"/>
        <v>#REF!</v>
      </c>
    </row>
    <row r="18" spans="2:8" x14ac:dyDescent="0.2">
      <c r="D18" s="23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3FE616-A6FB-456E-9377-03D73B50BECD}">
  <ds:schemaRefs>
    <ds:schemaRef ds:uri="http://schemas.microsoft.com/sharepoint/v3/contenttype/forms"/>
  </ds:schemaRefs>
</ds:datastoreItem>
</file>

<file path=customXml/itemProps2.xml><?xml version="1.0" encoding="utf-8"?>
<ds:datastoreItem xmlns:ds="http://schemas.openxmlformats.org/officeDocument/2006/customXml" ds:itemID="{516E915E-9D02-425B-BBF3-5A289B13AD8E}">
  <ds:schemaRefs>
    <ds:schemaRef ds:uri="http://purl.org/dc/dcmitype/"/>
    <ds:schemaRef ds:uri="6b12c305-95b0-4b80-9514-c6b86e19b0c5"/>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70adaaf-5bd9-47fc-b1cd-b112a7c2f5a0"/>
    <ds:schemaRef ds:uri="http://purl.org/dc/terms/"/>
    <ds:schemaRef ds:uri="http://purl.org/dc/elements/1.1/"/>
  </ds:schemaRefs>
</ds:datastoreItem>
</file>

<file path=customXml/itemProps3.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2013</vt:lpstr>
      <vt:lpstr>2014</vt:lpstr>
      <vt:lpstr>2020</vt:lpstr>
      <vt:lpstr>2021</vt:lpstr>
      <vt:lpstr>CUADROS DE RESPALDO</vt:lpstr>
      <vt:lpstr>Hoja Resumen Cartera</vt:lpstr>
      <vt:lpstr>Country Analysis</vt:lpstr>
      <vt:lpstr>Country Analysis (2)</vt:lpstr>
      <vt:lpstr>Cap</vt:lpstr>
      <vt:lpstr>'Hoja Resumen Cartera'!Área_de_impresión</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Patricia</cp:lastModifiedBy>
  <cp:lastPrinted>2020-09-08T22:38:45Z</cp:lastPrinted>
  <dcterms:created xsi:type="dcterms:W3CDTF">2007-02-21T16:38:19Z</dcterms:created>
  <dcterms:modified xsi:type="dcterms:W3CDTF">2021-03-12T17:34:16Z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