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bimbfm-my.sharepoint.com/personal/lbellott_bim-bfm_com/Documents/BIM/01 Locfund Next/09 ALM/08 EEFF/"/>
    </mc:Choice>
  </mc:AlternateContent>
  <xr:revisionPtr revIDLastSave="497" documentId="8_{8AA5FAB3-580A-4BF8-BE28-CDAA0F73C39B}" xr6:coauthVersionLast="46" xr6:coauthVersionMax="46" xr10:uidLastSave="{3C4798BA-7621-491A-A7B7-BE9A2B2A121A}"/>
  <bookViews>
    <workbookView xWindow="-100" yWindow="-10910" windowWidth="19420" windowHeight="10420" tabRatio="773" activeTab="1" xr2:uid="{00000000-000D-0000-FFFF-FFFF00000000}"/>
  </bookViews>
  <sheets>
    <sheet name="2020" sheetId="49" r:id="rId1"/>
    <sheet name="2021" sheetId="50" r:id="rId2"/>
    <sheet name="Desembolsos" sheetId="54" r:id="rId3"/>
    <sheet name="CUADROS DE RESPALDO" sheetId="51" r:id="rId4"/>
    <sheet name="CONTRY ANALYSIS" sheetId="53" r:id="rId5"/>
  </sheets>
  <definedNames>
    <definedName name="_xlnm._FilterDatabase" localSheetId="0" hidden="1">'2020'!$A$7:$G$37</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4" i="50" l="1"/>
  <c r="E113" i="50"/>
  <c r="E111" i="50"/>
  <c r="E107" i="50"/>
  <c r="E101" i="50"/>
  <c r="E100" i="50"/>
  <c r="E99" i="50"/>
  <c r="E102" i="50"/>
  <c r="E103" i="50"/>
  <c r="E104" i="50"/>
  <c r="E105" i="50"/>
  <c r="E106" i="50"/>
  <c r="E95" i="50"/>
  <c r="E94" i="50"/>
  <c r="E93" i="50"/>
  <c r="E92" i="50"/>
  <c r="E91" i="50"/>
  <c r="E90" i="50"/>
  <c r="E89" i="50"/>
  <c r="E88" i="50"/>
  <c r="E87" i="50"/>
  <c r="E86" i="50"/>
  <c r="E85" i="50"/>
  <c r="E84" i="50"/>
  <c r="E83" i="50"/>
  <c r="E82" i="50"/>
  <c r="E81" i="50"/>
  <c r="E75" i="50"/>
  <c r="E70" i="50"/>
  <c r="E71" i="50"/>
  <c r="E72" i="50"/>
  <c r="E73" i="50"/>
  <c r="E74" i="50"/>
  <c r="E69" i="50"/>
  <c r="E68" i="50"/>
  <c r="E63" i="50"/>
  <c r="E62" i="50"/>
  <c r="E59" i="50"/>
  <c r="E11" i="50"/>
  <c r="E13" i="50"/>
  <c r="E12" i="50"/>
  <c r="E21" i="50"/>
  <c r="E61" i="50"/>
  <c r="E60" i="50"/>
  <c r="E58" i="50"/>
  <c r="E57" i="50"/>
  <c r="E56" i="50"/>
  <c r="E55" i="50"/>
  <c r="E54" i="50"/>
  <c r="E53" i="50"/>
  <c r="E52" i="50"/>
  <c r="E51" i="50"/>
  <c r="E50" i="50"/>
  <c r="E49" i="50"/>
  <c r="E48" i="50"/>
  <c r="E47" i="50"/>
  <c r="E46" i="50"/>
  <c r="E45" i="50"/>
  <c r="E44" i="50"/>
  <c r="E43" i="50"/>
  <c r="E42" i="50"/>
  <c r="E41" i="50"/>
  <c r="E40" i="50"/>
  <c r="E39" i="50"/>
  <c r="E38" i="50"/>
  <c r="E37" i="50"/>
  <c r="E36" i="50"/>
  <c r="E35" i="50"/>
  <c r="E34" i="50"/>
  <c r="E33" i="50"/>
  <c r="E32" i="50"/>
  <c r="E31" i="50"/>
  <c r="E30" i="50"/>
  <c r="E29" i="50"/>
  <c r="E28" i="50"/>
  <c r="E27" i="50"/>
  <c r="E26" i="50"/>
  <c r="E25" i="50"/>
  <c r="E24" i="50"/>
  <c r="E23" i="50"/>
  <c r="E22" i="50"/>
  <c r="E20" i="50"/>
  <c r="E19" i="50"/>
  <c r="E18" i="50"/>
  <c r="E17" i="50"/>
  <c r="E16" i="50"/>
  <c r="E15" i="50"/>
  <c r="E14" i="50"/>
  <c r="E9" i="50"/>
  <c r="E10" i="50"/>
  <c r="E8" i="50"/>
  <c r="E7" i="50"/>
  <c r="E19" i="53" l="1"/>
  <c r="E20" i="53" s="1"/>
  <c r="E17" i="53"/>
  <c r="E18" i="53" s="1"/>
  <c r="E15" i="53"/>
  <c r="E16" i="53" s="1"/>
  <c r="E13" i="53"/>
  <c r="E14" i="53" s="1"/>
  <c r="E11" i="53"/>
  <c r="E10" i="53"/>
  <c r="E8" i="53"/>
  <c r="E7" i="53"/>
  <c r="E6" i="53"/>
  <c r="E5" i="53"/>
  <c r="E3" i="53"/>
  <c r="E2" i="53"/>
  <c r="C19" i="53"/>
  <c r="C17" i="53"/>
  <c r="C18" i="53" s="1"/>
  <c r="C15" i="53"/>
  <c r="C13" i="53"/>
  <c r="C11" i="53"/>
  <c r="C10" i="53"/>
  <c r="C8" i="53"/>
  <c r="C7" i="53"/>
  <c r="C6" i="53"/>
  <c r="C5" i="53"/>
  <c r="C3" i="53"/>
  <c r="C2" i="53"/>
  <c r="E4" i="53" l="1"/>
  <c r="E9" i="53"/>
  <c r="E12" i="53"/>
  <c r="E21" i="53" s="1"/>
  <c r="D19" i="53" l="1"/>
  <c r="F19" i="53" s="1"/>
  <c r="D17" i="53"/>
  <c r="F17" i="53" s="1"/>
  <c r="D15" i="53"/>
  <c r="F15" i="53" s="1"/>
  <c r="D13" i="53"/>
  <c r="F13" i="53" s="1"/>
  <c r="D11" i="53"/>
  <c r="F11" i="53" s="1"/>
  <c r="D10" i="53"/>
  <c r="F10" i="53" s="1"/>
  <c r="D8" i="53"/>
  <c r="F8" i="53" s="1"/>
  <c r="D7" i="53"/>
  <c r="F7" i="53" s="1"/>
  <c r="D6" i="53"/>
  <c r="F6" i="53" s="1"/>
  <c r="D5" i="53"/>
  <c r="F5" i="53" s="1"/>
  <c r="D3" i="53"/>
  <c r="F3" i="53" s="1"/>
  <c r="D2" i="53"/>
  <c r="F2" i="53" s="1"/>
  <c r="D58" i="51"/>
  <c r="D57" i="51"/>
  <c r="H55" i="51"/>
  <c r="D12" i="53" l="1"/>
  <c r="D20" i="53"/>
  <c r="C16" i="53"/>
  <c r="C4" i="53"/>
  <c r="D14" i="53"/>
  <c r="C14" i="53"/>
  <c r="D16" i="53"/>
  <c r="D4" i="53"/>
  <c r="D9" i="53"/>
  <c r="C12" i="53"/>
  <c r="D18" i="53"/>
  <c r="C20" i="53"/>
  <c r="C9" i="53"/>
  <c r="C21" i="53" l="1"/>
  <c r="D21" i="53"/>
  <c r="F4" i="53"/>
  <c r="F14" i="53"/>
  <c r="F18" i="53"/>
  <c r="F9" i="53"/>
  <c r="F16" i="53"/>
  <c r="F12" i="53"/>
  <c r="F20" i="53"/>
  <c r="F21" i="53" l="1"/>
  <c r="H16" i="53" s="1"/>
  <c r="H20" i="53" l="1"/>
  <c r="H4" i="53"/>
  <c r="H14" i="53"/>
  <c r="H12" i="53"/>
  <c r="H9" i="53"/>
  <c r="H18" i="53"/>
  <c r="H21" i="53" l="1"/>
  <c r="H42" i="51" l="1"/>
  <c r="F55" i="51" l="1"/>
  <c r="E55" i="51"/>
  <c r="D55" i="51"/>
  <c r="C55" i="51"/>
  <c r="G54" i="51"/>
  <c r="G53" i="51"/>
  <c r="G52" i="51"/>
  <c r="G51" i="51"/>
  <c r="G50" i="51"/>
  <c r="B46" i="51"/>
  <c r="F42" i="51"/>
  <c r="E42" i="51"/>
  <c r="D42" i="51"/>
  <c r="G41" i="51"/>
  <c r="G40" i="51"/>
  <c r="G39" i="51"/>
  <c r="G38" i="51"/>
  <c r="G37" i="51"/>
  <c r="D74" i="50"/>
  <c r="G55" i="51" l="1"/>
  <c r="I55" i="51" s="1"/>
  <c r="G42" i="51"/>
  <c r="I42" i="51" s="1"/>
  <c r="D59" i="51"/>
  <c r="D81" i="50" l="1"/>
  <c r="D132" i="50"/>
  <c r="B162" i="50"/>
  <c r="C162" i="50"/>
  <c r="D162" i="50"/>
  <c r="D163" i="50"/>
  <c r="D58" i="50"/>
  <c r="C58" i="50"/>
  <c r="B58" i="50"/>
  <c r="D54" i="50"/>
  <c r="C54" i="50"/>
  <c r="B54" i="50"/>
  <c r="D17" i="50"/>
  <c r="C17" i="50"/>
  <c r="B17" i="50"/>
  <c r="D91" i="50" l="1"/>
  <c r="C91" i="50"/>
  <c r="B91" i="50"/>
  <c r="B94" i="50"/>
  <c r="D50" i="50"/>
  <c r="D46" i="50"/>
  <c r="D42" i="50"/>
  <c r="D38" i="50"/>
  <c r="D34" i="50"/>
  <c r="D30" i="50"/>
  <c r="D26" i="50"/>
  <c r="D22" i="50"/>
  <c r="D130" i="50"/>
  <c r="D159" i="50"/>
  <c r="D152" i="50"/>
  <c r="D140" i="50"/>
  <c r="D135" i="50"/>
  <c r="D134" i="50"/>
  <c r="D133" i="50"/>
  <c r="D131" i="50"/>
  <c r="D127" i="50"/>
  <c r="D126" i="50"/>
  <c r="D125" i="50"/>
  <c r="D121" i="50"/>
  <c r="D120" i="50"/>
  <c r="D119" i="50"/>
  <c r="D116" i="50"/>
  <c r="E116" i="50" s="1"/>
  <c r="D108" i="50"/>
  <c r="D99" i="50"/>
  <c r="D88" i="50"/>
  <c r="D85" i="50"/>
  <c r="D82" i="50"/>
  <c r="D68" i="50"/>
  <c r="D13" i="50"/>
  <c r="D12" i="50" s="1"/>
  <c r="D7" i="50"/>
  <c r="D21" i="50" l="1"/>
  <c r="D11" i="50" s="1"/>
  <c r="D95" i="50"/>
  <c r="D158" i="50"/>
  <c r="D170" i="50" s="1"/>
  <c r="D172" i="50" s="1"/>
  <c r="D176" i="50" s="1"/>
  <c r="D122" i="50"/>
  <c r="D63" i="50" l="1"/>
  <c r="F24" i="53"/>
  <c r="F25" i="53" s="1"/>
  <c r="D111" i="50"/>
  <c r="D113" i="50" s="1"/>
  <c r="D114" i="50" s="1"/>
  <c r="D178" i="50" l="1"/>
  <c r="H72" i="49"/>
  <c r="H73" i="49"/>
  <c r="H74" i="49"/>
  <c r="H75" i="49"/>
  <c r="H76" i="49"/>
  <c r="H71" i="49"/>
  <c r="G7" i="51" l="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59" i="50" l="1"/>
  <c r="D129" i="50" s="1"/>
  <c r="B159" i="50"/>
  <c r="C73" i="50"/>
  <c r="C140" i="50"/>
  <c r="C135" i="50"/>
  <c r="C134" i="50"/>
  <c r="C131" i="50"/>
  <c r="C127" i="50"/>
  <c r="D28" i="51" s="1"/>
  <c r="D29" i="51" s="1"/>
  <c r="C125" i="50"/>
  <c r="C121" i="50"/>
  <c r="C120" i="50"/>
  <c r="C119" i="50"/>
  <c r="C50" i="50"/>
  <c r="B50" i="50"/>
  <c r="C152" i="50" l="1"/>
  <c r="C133" i="50"/>
  <c r="C132" i="50"/>
  <c r="C130" i="50"/>
  <c r="C116" i="50"/>
  <c r="C108" i="50"/>
  <c r="C88" i="50"/>
  <c r="C85" i="50"/>
  <c r="C82" i="50"/>
  <c r="C46" i="50"/>
  <c r="C42" i="50"/>
  <c r="C38" i="50"/>
  <c r="C34" i="50"/>
  <c r="C30" i="50"/>
  <c r="C26" i="50"/>
  <c r="C22" i="50"/>
  <c r="C13" i="50"/>
  <c r="C12" i="50" s="1"/>
  <c r="C7" i="50"/>
  <c r="F7" i="49"/>
  <c r="C21" i="50" l="1"/>
  <c r="C11" i="50" s="1"/>
  <c r="C63" i="50" s="1"/>
  <c r="C158" i="50"/>
  <c r="C122" i="50"/>
  <c r="C68" i="50"/>
  <c r="C95" i="50" s="1"/>
  <c r="C81" i="50"/>
  <c r="C99" i="50"/>
  <c r="B72" i="50"/>
  <c r="B90" i="50"/>
  <c r="B87" i="50"/>
  <c r="B84" i="50"/>
  <c r="F132" i="49"/>
  <c r="C170" i="50" l="1"/>
  <c r="C172" i="50" s="1"/>
  <c r="C176" i="50" s="1"/>
  <c r="C111" i="50" s="1"/>
  <c r="C113" i="50" s="1"/>
  <c r="D128" i="50"/>
  <c r="D136" i="50" s="1"/>
  <c r="D138" i="50" s="1"/>
  <c r="D142" i="50" s="1"/>
  <c r="B156" i="50"/>
  <c r="C126" i="50" s="1"/>
  <c r="C114" i="50" l="1"/>
  <c r="C178" i="50" s="1"/>
  <c r="A135" i="50" l="1"/>
  <c r="B135" i="50"/>
  <c r="E135" i="50" s="1"/>
  <c r="B134" i="50" l="1"/>
  <c r="E134" i="50" s="1"/>
  <c r="B69" i="50"/>
  <c r="C129" i="50"/>
  <c r="B46" i="50" l="1"/>
  <c r="B126" i="50"/>
  <c r="E126" i="50" s="1"/>
  <c r="B127" i="50"/>
  <c r="E127" i="50" s="1"/>
  <c r="B131" i="50"/>
  <c r="E131" i="50" s="1"/>
  <c r="B13" i="50" l="1"/>
  <c r="B12" i="50" s="1"/>
  <c r="B133" i="50" l="1"/>
  <c r="E133" i="50" s="1"/>
  <c r="B132" i="50"/>
  <c r="E132" i="50" s="1"/>
  <c r="B129" i="50"/>
  <c r="E129" i="50" s="1"/>
  <c r="B125" i="50"/>
  <c r="E125" i="50" s="1"/>
  <c r="B121" i="50"/>
  <c r="E121" i="50" s="1"/>
  <c r="B120" i="50"/>
  <c r="E120" i="50" s="1"/>
  <c r="B119" i="50"/>
  <c r="E119" i="50" s="1"/>
  <c r="B140" i="50"/>
  <c r="E140" i="50" s="1"/>
  <c r="B152" i="50"/>
  <c r="A136" i="50"/>
  <c r="A134" i="50"/>
  <c r="A133" i="50"/>
  <c r="A132" i="50"/>
  <c r="A131" i="50"/>
  <c r="A130" i="50"/>
  <c r="A129" i="50"/>
  <c r="A128" i="50"/>
  <c r="A127" i="50"/>
  <c r="A126" i="50"/>
  <c r="A125" i="50"/>
  <c r="A121" i="50"/>
  <c r="A120" i="50"/>
  <c r="A119" i="50"/>
  <c r="B116" i="50"/>
  <c r="B108" i="50"/>
  <c r="B105" i="50"/>
  <c r="B104" i="50"/>
  <c r="B103" i="50"/>
  <c r="B102" i="50"/>
  <c r="B101" i="50"/>
  <c r="B100" i="50"/>
  <c r="B88" i="50"/>
  <c r="B85" i="50"/>
  <c r="B82" i="50"/>
  <c r="B68" i="50"/>
  <c r="B42" i="50"/>
  <c r="B38" i="50"/>
  <c r="B34" i="50"/>
  <c r="B30" i="50"/>
  <c r="B26" i="50"/>
  <c r="B22" i="50"/>
  <c r="E9" i="49"/>
  <c r="F127" i="49"/>
  <c r="E127" i="49"/>
  <c r="E122" i="50" l="1"/>
  <c r="B122" i="50"/>
  <c r="B21" i="50"/>
  <c r="B11" i="50" s="1"/>
  <c r="B158" i="50"/>
  <c r="B130" i="50"/>
  <c r="E130" i="50" s="1"/>
  <c r="B81" i="50"/>
  <c r="B95" i="50" s="1"/>
  <c r="B99" i="50"/>
  <c r="B7" i="50"/>
  <c r="F9" i="49"/>
  <c r="B63" i="50" l="1"/>
  <c r="B170" i="50"/>
  <c r="B172" i="50" s="1"/>
  <c r="B176" i="50" s="1"/>
  <c r="C128" i="50"/>
  <c r="C136" i="50" s="1"/>
  <c r="C138" i="50" s="1"/>
  <c r="C142" i="50" s="1"/>
  <c r="B128" i="50"/>
  <c r="E128" i="50" s="1"/>
  <c r="E110" i="50"/>
  <c r="E109" i="50"/>
  <c r="E108" i="50"/>
  <c r="F152" i="49"/>
  <c r="B136" i="50" l="1"/>
  <c r="B138" i="50" s="1"/>
  <c r="B142" i="50" s="1"/>
  <c r="E136" i="50"/>
  <c r="B111" i="50"/>
  <c r="F146" i="49"/>
  <c r="F43" i="49"/>
  <c r="F116" i="49"/>
  <c r="G116" i="49" s="1"/>
  <c r="B113" i="50" l="1"/>
  <c r="B114" i="50" s="1"/>
  <c r="E138" i="50"/>
  <c r="E142" i="50" s="1"/>
  <c r="D111" i="49"/>
  <c r="E111" i="49"/>
  <c r="G111" i="49" s="1"/>
  <c r="F111" i="49"/>
  <c r="A111" i="49"/>
  <c r="B97" i="49"/>
  <c r="C97" i="49"/>
  <c r="D97" i="49"/>
  <c r="E97" i="49"/>
  <c r="F97" i="49"/>
  <c r="G97" i="49" s="1"/>
  <c r="A97" i="49"/>
  <c r="F140" i="49"/>
  <c r="E76" i="50" l="1"/>
  <c r="E77" i="50"/>
  <c r="B178"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B150" i="49"/>
  <c r="B154" i="49" s="1"/>
  <c r="B82" i="49" s="1"/>
  <c r="B87" i="49"/>
  <c r="B79" i="49"/>
  <c r="B42" i="49"/>
  <c r="B66" i="49" s="1"/>
  <c r="B114" i="49" l="1"/>
  <c r="B118" i="49" s="1"/>
  <c r="B84" i="49" l="1"/>
  <c r="B85" i="49" s="1"/>
  <c r="B156" i="49" s="1"/>
  <c r="G81" i="49" l="1"/>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73"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73"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B75"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75"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D75" authorId="0" shapeId="0" xr:uid="{56B45C51-A1B3-4572-86FF-4ADB583F793A}">
      <text>
        <r>
          <rPr>
            <b/>
            <sz val="9"/>
            <color indexed="81"/>
            <rFont val="Tahoma"/>
            <family val="2"/>
          </rPr>
          <t>Patricia Valdivia:</t>
        </r>
        <r>
          <rPr>
            <sz val="9"/>
            <color indexed="81"/>
            <rFont val="Tahoma"/>
            <family val="2"/>
          </rPr>
          <t xml:space="preserve">
DUODECIMAS DEL MONTO APROXIMADO DE USD 20,000</t>
        </r>
      </text>
    </comment>
    <comment ref="C119" authorId="0" shapeId="0" xr:uid="{33E19E56-2394-4E57-A4FD-90A385282617}">
      <text>
        <r>
          <rPr>
            <b/>
            <sz val="9"/>
            <color indexed="81"/>
            <rFont val="Tahoma"/>
            <family val="2"/>
          </rPr>
          <t>Patricia Valdivia:</t>
        </r>
        <r>
          <rPr>
            <sz val="9"/>
            <color indexed="81"/>
            <rFont val="Tahoma"/>
            <family val="2"/>
          </rPr>
          <t xml:space="preserve">
DESEMBOLSO INSOTEC</t>
        </r>
      </text>
    </comment>
    <comment ref="D119" authorId="0" shapeId="0" xr:uid="{56DA4A92-B755-4C2E-BCB9-5CDFA26C0CA1}">
      <text>
        <r>
          <rPr>
            <b/>
            <sz val="9"/>
            <color indexed="81"/>
            <rFont val="Tahoma"/>
            <family val="2"/>
          </rPr>
          <t>Patricia Valdivia:</t>
        </r>
        <r>
          <rPr>
            <sz val="9"/>
            <color indexed="81"/>
            <rFont val="Tahoma"/>
            <family val="2"/>
          </rPr>
          <t xml:space="preserve">
DESEMBOLSO DIACONIA  ESPOIR II+ IDH</t>
        </r>
      </text>
    </comment>
    <comment ref="C120" authorId="0" shapeId="0" xr:uid="{6B1D593F-04B9-4739-B937-CC913A093B7D}">
      <text>
        <r>
          <rPr>
            <b/>
            <sz val="9"/>
            <color indexed="81"/>
            <rFont val="Tahoma"/>
            <family val="2"/>
          </rPr>
          <t>Patricia Valdivia:</t>
        </r>
        <r>
          <rPr>
            <sz val="9"/>
            <color indexed="81"/>
            <rFont val="Tahoma"/>
            <family val="2"/>
          </rPr>
          <t xml:space="preserve">
Desembolso Insotec</t>
        </r>
      </text>
    </comment>
    <comment ref="D120" authorId="0" shapeId="0" xr:uid="{5086BF6D-2152-4A9E-BB16-48C3F4FBADCC}">
      <text>
        <r>
          <rPr>
            <b/>
            <sz val="9"/>
            <color indexed="81"/>
            <rFont val="Tahoma"/>
            <family val="2"/>
          </rPr>
          <t>Patricia Valdivia:</t>
        </r>
        <r>
          <rPr>
            <sz val="9"/>
            <color indexed="81"/>
            <rFont val="Tahoma"/>
            <family val="2"/>
          </rPr>
          <t xml:space="preserve">
Desembolso DIACONIA Y ESPOR II +IDH</t>
        </r>
      </text>
    </comment>
    <comment ref="B121"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21"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D121" authorId="0" shapeId="0" xr:uid="{1E30CCAD-C7CE-4047-B44D-804C4A13AB17}">
      <text>
        <r>
          <rPr>
            <b/>
            <sz val="9"/>
            <color indexed="81"/>
            <rFont val="Tahoma"/>
            <family val="2"/>
          </rPr>
          <t>Patricia Valdivia:</t>
        </r>
        <r>
          <rPr>
            <sz val="9"/>
            <color indexed="81"/>
            <rFont val="Tahoma"/>
            <family val="2"/>
          </rPr>
          <t xml:space="preserve">
INTERES GANADO EN BCP MIAMI</t>
        </r>
      </text>
    </comment>
    <comment ref="D126" authorId="0" shapeId="0" xr:uid="{04ADA284-EC81-44A4-B356-A6C5154CDF89}">
      <text>
        <r>
          <rPr>
            <b/>
            <sz val="9"/>
            <color indexed="81"/>
            <rFont val="Tahoma"/>
            <family val="2"/>
          </rPr>
          <t>Patricia Valdivia:</t>
        </r>
        <r>
          <rPr>
            <sz val="9"/>
            <color indexed="81"/>
            <rFont val="Tahoma"/>
            <family val="2"/>
          </rPr>
          <t xml:space="preserve">
DESEMBOLSO FMO</t>
        </r>
      </text>
    </comment>
    <comment ref="C127"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 ref="D135" authorId="0" shapeId="0" xr:uid="{53F182FF-0D91-4B3A-BA19-8A214AC2BED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<sst xmlns="http://schemas.openxmlformats.org/spreadsheetml/2006/main" count="371" uniqueCount="171">
  <si>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</si>
  <si>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</si>
  <si>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</si>
  <si>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</si>
  <si>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</si>
  <si>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</si>
  <si>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</si>
  <si>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</si>
  <si>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</si>
  <si>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</si>
  <si>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</si>
  <si>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</si>
  <si>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</si>
  <si>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</si>
  <si>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</si>
  <si>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</si>
  <si>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</si>
  <si>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</si>
  <si>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</si>
  <si>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</si>
  <si>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</si>
  <si>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</si>
  <si>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</si>
  <si>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</si>
  <si>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</si>
  <si>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</si>
  <si>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</si>
  <si>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</si>
  <si>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</si>
  <si>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</si>
  <si>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</si>
  <si>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</si>
  <si>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</si>
  <si>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</si>
  <si>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</si>
  <si>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</si>
  <si>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</si>
  <si>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</si>
  <si>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</si>
  <si>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</si>
  <si>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</si>
  <si>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</si>
  <si>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</si>
  <si>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</si>
  <si>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</si>
  <si>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</si>
  <si>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</si>
  <si>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</si>
  <si>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</si>
  <si>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</si>
  <si>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</si>
  <si>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</si>
  <si>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</si>
  <si>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</si>
  <si>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</si>
  <si>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</si>
  <si>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</si>
  <si>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</si>
  <si>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</si>
  <si>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</si>
  <si>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</si>
  <si>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</si>
  <si>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</si>
  <si>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</si>
  <si>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</si>
  <si>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</si>
  <si>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</si>
  <si>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</si>
  <si>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</si>
  <si>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</si>
  <si>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</si>
  <si>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</si>
  <si>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</si>
  <si>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</si>
  <si>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</si>
  <si>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</si>
  <si>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</si>
  <si>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</si>
  <si>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</si>
  <si>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</si>
  <si>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</si>
  <si>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</si>
  <si>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</si>
  <si>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</si>
  <si>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</si>
  <si>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</si>
  <si>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</si>
  <si>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</si>
  <si>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</si>
  <si>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</si>
  <si>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</si>
  <si>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</si>
  <si>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</si>
  <si>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</si>
  <si>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</si>
  <si>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</si>
  <si>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</si>
  <si>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</si>
  <si>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</si>
  <si>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</si>
  <si>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</si>
  <si>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</si>
  <si>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</si>
  <si>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</si>
  <si>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</si>
  <si>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</si>
  <si>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</si>
  <si>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</si>
  <si>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</si>
  <si>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</si>
  <si>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</si>
  <si>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</si>
  <si>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</si>
  <si>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</si>
  <si>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</si>
  <si>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</si>
  <si>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</si>
  <si>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</si>
  <si>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</si>
  <si>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</si>
  <si>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</si>
  <si>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</si>
  <si>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</si>
  <si>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</si>
  <si>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</si>
  <si>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</si>
  <si>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</si>
  <si>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</si>
  <si>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</si>
  <si>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</si>
  <si>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</si>
  <si>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</si>
  <si>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</si>
  <si>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</si>
  <si>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</si>
  <si>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</si>
  <si>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</si>
  <si>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</si>
  <si>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</si>
  <si>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</si>
  <si>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</si>
  <si>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</si>
  <si>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</si>
  <si>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</si>
  <si>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</si>
  <si>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</si>
  <si>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</si>
  <si>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</si>
  <si>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</si>
  <si>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</si>
  <si>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</si>
  <si>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</si>
  <si>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</si>
  <si>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</si>
  <si>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</si>
  <si>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</si>
  <si>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</si>
  <si>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</si>
  <si>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Code</t>
  </si>
  <si>
    <t>Microfinance Institution</t>
  </si>
  <si>
    <t>Disbursement Date</t>
  </si>
  <si>
    <t>Amount (USD)</t>
  </si>
  <si>
    <t>ASEI</t>
  </si>
  <si>
    <t>Equipat</t>
  </si>
  <si>
    <t>AHSETFIN</t>
  </si>
  <si>
    <t>Pro Mujer BOL</t>
  </si>
  <si>
    <t>EDPYME Alternativa</t>
  </si>
  <si>
    <t>Peru</t>
  </si>
  <si>
    <t>Insotec</t>
  </si>
  <si>
    <t>Diaconía</t>
  </si>
  <si>
    <t>IDH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</si>
</sst>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6" formatCode="_-* #,##0.00\ _$_-;\-* #,##0.00\ _$_-;_-* &quot;-&quot;??\ _$_-;_-@_-"/>
    <numFmt numFmtId="167" formatCode="_(* #,##0_);_(* \(#,##0\);_(* &quot;-&quot;??_);_(@_)"/>
    <numFmt numFmtId="168" formatCode="0.0%"/>
    <numFmt numFmtId="169" formatCode="_-* #,##0\ _$_-;\-* #,##0\ _$_-;_-* &quot;-&quot;??\ _$_-;_-@_-"/>
    <numFmt numFmtId="171" formatCode="_-* #,##0.00\ &quot;$&quot;_-;\-* #,##0.00\ &quot;$&quot;_-;_-* &quot;-&quot;??\ &quot;$&quot;_-;_-@_-"/>
    <numFmt numFmtId="174" formatCode="0.0000%"/>
    <numFmt numFmtId="175" formatCode="0.000%"/>
    <numFmt numFmtId="177" formatCode="dd/mm/yy;@"/>
  </numFmts>
  <fonts count="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s>
  <cellStyleXfs count="15">
    <xf numFmtId="0" fontId="0" fillId="0" borderId="0"/>
    <xf numFmtId="166" fontId="4"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0" fontId="4" fillId="0" borderId="0"/>
    <xf numFmtId="166" fontId="4" fillId="0" borderId="0" applyFont="0" applyFill="0" applyBorder="0" applyAlignment="0" applyProtection="0"/>
    <xf numFmtId="166" fontId="18" fillId="0" borderId="0" applyFont="0" applyFill="0" applyBorder="0" applyAlignment="0" applyProtection="0"/>
    <xf numFmtId="9" fontId="4" fillId="0" borderId="0" applyFont="0" applyFill="0" applyBorder="0" applyAlignment="0" applyProtection="0"/>
    <xf numFmtId="171" fontId="18" fillId="0" borderId="0" applyFont="0" applyFill="0" applyBorder="0" applyAlignment="0" applyProtection="0"/>
    <xf numFmtId="9" fontId="18"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64" fontId="1" fillId="0" borderId="0" applyFont="0" applyFill="0" applyBorder="0" applyAlignment="0" applyProtection="0"/>
  </cellStyleXfs>
  <cellXfs count="183">
    <xf numFmtId="0" fontId="0" fillId="0" borderId="0" xfId="0"/>
    <xf numFmtId="0" fontId="6" fillId="0" borderId="0" xfId="0" applyFont="1" applyFill="1"/>
    <xf numFmtId="0" fontId="7" fillId="0" borderId="4" xfId="0" applyFont="1" applyFill="1" applyBorder="1" applyAlignment="1">
      <alignment horizontal="center"/>
    </xf>
    <xf numFmtId="0" fontId="6" fillId="0" borderId="0" xfId="0" applyFont="1" applyFill="1" applyBorder="1"/>
    <xf numFmtId="167" fontId="6" fillId="0" borderId="8" xfId="0" applyNumberFormat="1" applyFont="1" applyFill="1" applyBorder="1"/>
    <xf numFmtId="0" fontId="8" fillId="0" borderId="7" xfId="0" applyFont="1" applyBorder="1"/>
    <xf numFmtId="0" fontId="8" fillId="0" borderId="0" xfId="0" applyFont="1" applyBorder="1"/>
    <xf numFmtId="3" fontId="6" fillId="0" borderId="5" xfId="0" applyNumberFormat="1" applyFont="1" applyFill="1" applyBorder="1"/>
    <xf numFmtId="3" fontId="6" fillId="0" borderId="7" xfId="0" applyNumberFormat="1" applyFont="1" applyFill="1" applyBorder="1"/>
    <xf numFmtId="0" fontId="6" fillId="0" borderId="10" xfId="0" applyFont="1" applyBorder="1"/>
    <xf numFmtId="0" fontId="8" fillId="0" borderId="10" xfId="0" applyFont="1" applyFill="1" applyBorder="1"/>
    <xf numFmtId="167" fontId="6" fillId="0" borderId="7" xfId="0" applyNumberFormat="1" applyFont="1" applyFill="1" applyBorder="1"/>
    <xf numFmtId="0" fontId="7" fillId="0" borderId="12" xfId="0" applyFont="1" applyBorder="1"/>
    <xf numFmtId="167" fontId="7" fillId="0" borderId="4" xfId="0" applyNumberFormat="1" applyFont="1" applyFill="1" applyBorder="1"/>
    <xf numFmtId="167" fontId="7" fillId="0" borderId="0" xfId="0" applyNumberFormat="1" applyFont="1" applyFill="1" applyBorder="1"/>
    <xf numFmtId="167" fontId="6" fillId="0" borderId="0" xfId="0" applyNumberFormat="1" applyFont="1" applyFill="1"/>
    <xf numFmtId="0" fontId="7" fillId="0" borderId="4" xfId="0" applyFont="1" applyFill="1" applyBorder="1"/>
    <xf numFmtId="10" fontId="7" fillId="0" borderId="4" xfId="3" applyNumberFormat="1" applyFont="1" applyFill="1" applyBorder="1"/>
    <xf numFmtId="10" fontId="6" fillId="0" borderId="7" xfId="3" applyNumberFormat="1" applyFont="1" applyFill="1" applyBorder="1"/>
    <xf numFmtId="167" fontId="5" fillId="0" borderId="0" xfId="0" applyNumberFormat="1" applyFont="1" applyBorder="1"/>
    <xf numFmtId="10" fontId="6" fillId="0" borderId="5" xfId="3" applyNumberFormat="1" applyFont="1" applyFill="1" applyBorder="1"/>
    <xf numFmtId="0" fontId="9" fillId="0" borderId="0" xfId="0" applyFont="1" applyFill="1" applyBorder="1"/>
    <xf numFmtId="0" fontId="5" fillId="0" borderId="0" xfId="0" applyFont="1" applyFill="1" applyBorder="1"/>
    <xf numFmtId="0" fontId="6" fillId="0" borderId="11" xfId="0" applyFont="1" applyFill="1" applyBorder="1"/>
    <xf numFmtId="0" fontId="7" fillId="0" borderId="11" xfId="0" applyFont="1" applyFill="1" applyBorder="1"/>
    <xf numFmtId="0" fontId="6" fillId="0" borderId="5" xfId="0" applyFont="1" applyFill="1" applyBorder="1"/>
    <xf numFmtId="169" fontId="6" fillId="0" borderId="0" xfId="1" applyNumberFormat="1" applyFont="1" applyFill="1"/>
    <xf numFmtId="0" fontId="12" fillId="0" borderId="0" xfId="0" applyFont="1" applyFill="1"/>
    <xf numFmtId="167" fontId="6" fillId="0" borderId="10" xfId="0" applyNumberFormat="1" applyFont="1" applyFill="1" applyBorder="1"/>
    <xf numFmtId="0" fontId="4" fillId="0" borderId="7" xfId="0" applyFont="1" applyFill="1" applyBorder="1"/>
    <xf numFmtId="167" fontId="4" fillId="0" borderId="8" xfId="0" applyNumberFormat="1" applyFont="1" applyFill="1" applyBorder="1" applyAlignment="1"/>
    <xf numFmtId="0" fontId="7" fillId="0" borderId="11" xfId="0" applyFont="1" applyFill="1" applyBorder="1" applyAlignment="1">
      <alignment horizontal="center"/>
    </xf>
    <xf numFmtId="169" fontId="16" fillId="0" borderId="12" xfId="2" applyNumberFormat="1" applyFont="1" applyFill="1" applyBorder="1" applyAlignment="1">
      <alignment horizontal="center"/>
    </xf>
    <xf numFmtId="169" fontId="16" fillId="0" borderId="1" xfId="2" applyNumberFormat="1" applyFont="1" applyFill="1" applyBorder="1" applyAlignment="1">
      <alignment horizontal="center"/>
    </xf>
    <xf numFmtId="169" fontId="16" fillId="0" borderId="4" xfId="2" applyNumberFormat="1" applyFont="1" applyFill="1" applyBorder="1" applyAlignment="1">
      <alignment horizontal="center"/>
    </xf>
    <xf numFmtId="167" fontId="4" fillId="0" borderId="8" xfId="0" applyNumberFormat="1" applyFont="1" applyFill="1" applyBorder="1"/>
    <xf numFmtId="10" fontId="6" fillId="0" borderId="0" xfId="3" applyNumberFormat="1" applyFont="1" applyFill="1" applyBorder="1"/>
    <xf numFmtId="0" fontId="5" fillId="0" borderId="0" xfId="2" applyFont="1" applyFill="1"/>
    <xf numFmtId="0" fontId="8" fillId="0" borderId="0" xfId="0" applyFont="1" applyFill="1" applyBorder="1"/>
    <xf numFmtId="0" fontId="8" fillId="0" borderId="10" xfId="0" applyFont="1" applyBorder="1"/>
    <xf numFmtId="167" fontId="7" fillId="0" borderId="5" xfId="0" applyNumberFormat="1" applyFont="1" applyFill="1" applyBorder="1"/>
    <xf numFmtId="167" fontId="4" fillId="0" borderId="7" xfId="0" applyNumberFormat="1" applyFont="1" applyFill="1" applyBorder="1"/>
    <xf numFmtId="0" fontId="7" fillId="0" borderId="12" xfId="0" applyFont="1" applyFill="1" applyBorder="1"/>
    <xf numFmtId="0" fontId="7" fillId="0" borderId="0" xfId="0" applyFont="1" applyFill="1" applyBorder="1"/>
    <xf numFmtId="167" fontId="8" fillId="0" borderId="0" xfId="0" applyNumberFormat="1" applyFont="1" applyFill="1" applyBorder="1"/>
    <xf numFmtId="168" fontId="5" fillId="0" borderId="0" xfId="3" applyNumberFormat="1" applyFont="1" applyFill="1"/>
    <xf numFmtId="164" fontId="8" fillId="0" borderId="0" xfId="0" applyNumberFormat="1" applyFont="1" applyFill="1" applyBorder="1"/>
    <xf numFmtId="167" fontId="5" fillId="0" borderId="0" xfId="0" applyNumberFormat="1" applyFont="1" applyFill="1" applyBorder="1"/>
    <xf numFmtId="10" fontId="6" fillId="0" borderId="0" xfId="3" applyNumberFormat="1" applyFont="1" applyFill="1"/>
    <xf numFmtId="167" fontId="5" fillId="0" borderId="7" xfId="0" applyNumberFormat="1" applyFont="1" applyFill="1" applyBorder="1"/>
    <xf numFmtId="0" fontId="6" fillId="0" borderId="7" xfId="0" applyFont="1" applyFill="1" applyBorder="1"/>
    <xf numFmtId="167" fontId="6" fillId="0" borderId="0" xfId="0" applyNumberFormat="1" applyFont="1" applyFill="1" applyBorder="1"/>
    <xf numFmtId="10" fontId="5" fillId="0" borderId="7" xfId="3" applyNumberFormat="1" applyFont="1" applyFill="1" applyBorder="1"/>
    <xf numFmtId="10" fontId="6" fillId="0" borderId="6" xfId="3" applyNumberFormat="1" applyFont="1" applyFill="1" applyBorder="1"/>
    <xf numFmtId="10" fontId="6" fillId="0" borderId="8" xfId="3" applyNumberFormat="1" applyFont="1" applyFill="1" applyBorder="1"/>
    <xf numFmtId="169" fontId="5" fillId="0" borderId="7" xfId="2" applyNumberFormat="1" applyFont="1" applyFill="1" applyBorder="1"/>
    <xf numFmtId="169" fontId="13" fillId="0" borderId="4" xfId="2" applyNumberFormat="1" applyFont="1" applyFill="1" applyBorder="1"/>
    <xf numFmtId="169" fontId="5" fillId="0" borderId="0" xfId="1" applyNumberFormat="1" applyFont="1" applyFill="1"/>
    <xf numFmtId="169" fontId="19" fillId="0" borderId="0" xfId="1" applyNumberFormat="1" applyFont="1" applyFill="1"/>
    <xf numFmtId="164" fontId="6" fillId="0" borderId="0" xfId="0" applyNumberFormat="1" applyFont="1" applyFill="1" applyBorder="1"/>
    <xf numFmtId="167" fontId="21" fillId="0" borderId="0" xfId="0" applyNumberFormat="1" applyFont="1" applyFill="1" applyBorder="1"/>
    <xf numFmtId="10" fontId="4" fillId="0" borderId="7" xfId="3" applyNumberFormat="1" applyFont="1" applyFill="1" applyBorder="1" applyAlignment="1"/>
    <xf numFmtId="167" fontId="4" fillId="0" borderId="7" xfId="0" applyNumberFormat="1" applyFont="1" applyFill="1" applyBorder="1" applyAlignment="1"/>
    <xf numFmtId="10" fontId="4" fillId="0" borderId="8" xfId="3" applyNumberFormat="1" applyFont="1" applyFill="1" applyBorder="1"/>
    <xf numFmtId="167" fontId="6" fillId="0" borderId="0" xfId="3" applyNumberFormat="1" applyFont="1" applyFill="1" applyBorder="1"/>
    <xf numFmtId="167" fontId="6" fillId="0" borderId="3" xfId="0" applyNumberFormat="1" applyFont="1" applyFill="1" applyBorder="1"/>
    <xf numFmtId="167" fontId="6" fillId="0" borderId="6" xfId="0" applyNumberFormat="1" applyFont="1" applyFill="1" applyBorder="1"/>
    <xf numFmtId="167" fontId="7" fillId="0" borderId="2" xfId="0" applyNumberFormat="1" applyFont="1" applyFill="1" applyBorder="1"/>
    <xf numFmtId="167" fontId="7" fillId="0" borderId="5" xfId="0" applyNumberFormat="1" applyFont="1" applyFill="1" applyBorder="1" applyAlignment="1">
      <alignment horizontal="center"/>
    </xf>
    <xf numFmtId="167" fontId="7" fillId="0" borderId="11" xfId="0" applyNumberFormat="1" applyFont="1" applyFill="1" applyBorder="1"/>
    <xf numFmtId="167" fontId="6" fillId="0" borderId="5" xfId="0" applyNumberFormat="1" applyFont="1" applyFill="1" applyBorder="1"/>
    <xf numFmtId="167" fontId="6" fillId="0" borderId="11" xfId="0" applyNumberFormat="1" applyFont="1" applyFill="1" applyBorder="1"/>
    <xf numFmtId="0" fontId="8" fillId="0" borderId="7" xfId="0" applyFont="1" applyFill="1" applyBorder="1"/>
    <xf numFmtId="0" fontId="6" fillId="0" borderId="4" xfId="0" applyFont="1" applyFill="1" applyBorder="1"/>
    <xf numFmtId="166" fontId="19" fillId="0" borderId="0" xfId="1" applyFont="1" applyFill="1"/>
    <xf numFmtId="164" fontId="9" fillId="0" borderId="0" xfId="0" applyNumberFormat="1" applyFont="1" applyFill="1" applyBorder="1"/>
    <xf numFmtId="166" fontId="6" fillId="0" borderId="0" xfId="1" applyFont="1" applyFill="1" applyBorder="1"/>
    <xf numFmtId="0" fontId="6" fillId="0" borderId="9" xfId="0" applyFont="1" applyFill="1" applyBorder="1"/>
    <xf numFmtId="0" fontId="6" fillId="0" borderId="10" xfId="0" applyFont="1" applyFill="1" applyBorder="1"/>
    <xf numFmtId="0" fontId="11" fillId="0" borderId="10" xfId="0" applyFont="1" applyFill="1" applyBorder="1"/>
    <xf numFmtId="0" fontId="10" fillId="0" borderId="0" xfId="0" applyFont="1" applyFill="1" applyBorder="1"/>
    <xf numFmtId="0" fontId="7" fillId="0" borderId="5" xfId="0" applyFont="1" applyFill="1" applyBorder="1"/>
    <xf numFmtId="10" fontId="7" fillId="0" borderId="4" xfId="3" applyNumberFormat="1" applyFont="1" applyFill="1" applyBorder="1" applyAlignment="1">
      <alignment horizontal="center" wrapText="1"/>
    </xf>
    <xf numFmtId="10" fontId="7" fillId="0" borderId="2" xfId="3" applyNumberFormat="1" applyFont="1" applyFill="1" applyBorder="1"/>
    <xf numFmtId="10" fontId="7" fillId="0" borderId="0" xfId="3" applyNumberFormat="1" applyFont="1" applyFill="1" applyBorder="1"/>
    <xf numFmtId="10" fontId="17" fillId="0" borderId="0" xfId="3" applyNumberFormat="1" applyFont="1" applyFill="1" applyBorder="1"/>
    <xf numFmtId="10" fontId="9" fillId="0" borderId="0" xfId="3" applyNumberFormat="1" applyFont="1" applyFill="1" applyBorder="1"/>
    <xf numFmtId="167" fontId="9" fillId="0" borderId="0" xfId="3" applyNumberFormat="1" applyFont="1" applyFill="1" applyBorder="1"/>
    <xf numFmtId="169" fontId="5" fillId="0" borderId="0" xfId="2" applyNumberFormat="1" applyFont="1" applyFill="1"/>
    <xf numFmtId="167" fontId="4" fillId="0" borderId="0" xfId="3" applyNumberFormat="1" applyFont="1" applyFill="1" applyBorder="1"/>
    <xf numFmtId="166" fontId="6" fillId="0" borderId="0" xfId="1" applyFont="1" applyFill="1"/>
    <xf numFmtId="166" fontId="5" fillId="0" borderId="0" xfId="1" applyFont="1" applyFill="1"/>
    <xf numFmtId="0" fontId="5" fillId="0" borderId="10" xfId="2" applyFont="1" applyFill="1" applyBorder="1"/>
    <xf numFmtId="164" fontId="6" fillId="0" borderId="0" xfId="0" applyNumberFormat="1" applyFont="1" applyFill="1"/>
    <xf numFmtId="166" fontId="5" fillId="0" borderId="0" xfId="2" applyNumberFormat="1" applyFont="1" applyFill="1"/>
    <xf numFmtId="167" fontId="6" fillId="0" borderId="3" xfId="3" applyNumberFormat="1" applyFont="1" applyFill="1" applyBorder="1"/>
    <xf numFmtId="169" fontId="8" fillId="0" borderId="0" xfId="1" applyNumberFormat="1" applyFont="1" applyFill="1" applyBorder="1"/>
    <xf numFmtId="0" fontId="20" fillId="0" borderId="7" xfId="0" applyFont="1" applyFill="1" applyBorder="1"/>
    <xf numFmtId="167" fontId="6" fillId="0" borderId="8" xfId="0" applyNumberFormat="1" applyFont="1" applyFill="1" applyBorder="1" applyAlignment="1"/>
    <xf numFmtId="164" fontId="5" fillId="0" borderId="0" xfId="2" applyNumberFormat="1" applyFont="1" applyFill="1"/>
    <xf numFmtId="0" fontId="5" fillId="0" borderId="8" xfId="2" applyFont="1" applyFill="1" applyBorder="1"/>
    <xf numFmtId="169" fontId="16" fillId="0" borderId="4" xfId="2" applyNumberFormat="1" applyFont="1" applyFill="1" applyBorder="1"/>
    <xf numFmtId="43" fontId="5" fillId="0" borderId="0" xfId="1" applyNumberFormat="1" applyFont="1" applyFill="1"/>
    <xf numFmtId="9" fontId="9" fillId="0" borderId="0" xfId="3" applyFont="1" applyFill="1" applyBorder="1"/>
    <xf numFmtId="4" fontId="8" fillId="0" borderId="0" xfId="0" applyNumberFormat="1" applyFont="1" applyFill="1" applyBorder="1"/>
    <xf numFmtId="0" fontId="4" fillId="0" borderId="0" xfId="0" applyFont="1" applyFill="1" applyBorder="1"/>
    <xf numFmtId="166" fontId="4" fillId="0" borderId="0" xfId="1" applyFont="1" applyFill="1" applyBorder="1"/>
    <xf numFmtId="0" fontId="10" fillId="0" borderId="7" xfId="0" applyFont="1" applyFill="1" applyBorder="1"/>
    <xf numFmtId="10" fontId="5" fillId="0" borderId="0" xfId="3" applyNumberFormat="1" applyFont="1" applyFill="1" applyBorder="1"/>
    <xf numFmtId="164" fontId="5" fillId="0" borderId="0" xfId="0" applyNumberFormat="1" applyFont="1" applyFill="1" applyBorder="1"/>
    <xf numFmtId="166" fontId="9" fillId="0" borderId="0" xfId="1" applyFont="1" applyFill="1" applyBorder="1"/>
    <xf numFmtId="164" fontId="9" fillId="0" borderId="0" xfId="3" applyNumberFormat="1" applyFont="1" applyFill="1" applyBorder="1"/>
    <xf numFmtId="167" fontId="8" fillId="0" borderId="10" xfId="0" applyNumberFormat="1" applyFont="1" applyFill="1" applyBorder="1"/>
    <xf numFmtId="10" fontId="8" fillId="0" borderId="7" xfId="3" applyNumberFormat="1" applyFont="1" applyFill="1" applyBorder="1"/>
    <xf numFmtId="0" fontId="23" fillId="0" borderId="7" xfId="0" applyFont="1" applyFill="1" applyBorder="1"/>
    <xf numFmtId="10" fontId="24" fillId="0" borderId="0" xfId="3" applyNumberFormat="1" applyFont="1" applyFill="1" applyBorder="1"/>
    <xf numFmtId="0" fontId="23" fillId="0" borderId="0" xfId="0" applyFont="1" applyFill="1" applyBorder="1"/>
    <xf numFmtId="167" fontId="9" fillId="0" borderId="7" xfId="3" applyNumberFormat="1" applyFont="1" applyFill="1" applyBorder="1"/>
    <xf numFmtId="167" fontId="10" fillId="0" borderId="7" xfId="0" applyNumberFormat="1" applyFont="1" applyFill="1" applyBorder="1"/>
    <xf numFmtId="167" fontId="10" fillId="0" borderId="7" xfId="3" applyNumberFormat="1" applyFont="1" applyFill="1" applyBorder="1"/>
    <xf numFmtId="167" fontId="23" fillId="0" borderId="7" xfId="0" applyNumberFormat="1" applyFont="1" applyFill="1" applyBorder="1"/>
    <xf numFmtId="9" fontId="6" fillId="0" borderId="0" xfId="3" applyFont="1" applyFill="1" applyBorder="1"/>
    <xf numFmtId="167" fontId="23" fillId="0" borderId="7" xfId="3" applyNumberFormat="1" applyFont="1" applyFill="1" applyBorder="1"/>
    <xf numFmtId="174" fontId="9" fillId="0" borderId="0" xfId="3" applyNumberFormat="1" applyFont="1" applyFill="1" applyBorder="1"/>
    <xf numFmtId="167" fontId="0" fillId="0" borderId="7" xfId="0" applyNumberFormat="1" applyFill="1" applyBorder="1"/>
    <xf numFmtId="14" fontId="6" fillId="0" borderId="0" xfId="0" applyNumberFormat="1" applyFont="1" applyFill="1" applyBorder="1"/>
    <xf numFmtId="167" fontId="7" fillId="0" borderId="12" xfId="0" applyNumberFormat="1" applyFont="1" applyFill="1" applyBorder="1"/>
    <xf numFmtId="167" fontId="0" fillId="0" borderId="8" xfId="0" applyNumberFormat="1" applyFill="1" applyBorder="1"/>
    <xf numFmtId="167" fontId="7" fillId="0" borderId="0" xfId="0" applyNumberFormat="1" applyFont="1" applyFill="1"/>
    <xf numFmtId="167" fontId="21" fillId="0" borderId="0" xfId="0" applyNumberFormat="1" applyFont="1" applyFill="1"/>
    <xf numFmtId="164" fontId="7" fillId="0" borderId="4" xfId="0" applyNumberFormat="1" applyFont="1" applyFill="1" applyBorder="1"/>
    <xf numFmtId="0" fontId="11" fillId="0" borderId="0" xfId="0" applyFont="1"/>
    <xf numFmtId="0" fontId="20" fillId="0" borderId="0" xfId="0" applyFont="1"/>
    <xf numFmtId="0" fontId="8" fillId="0" borderId="0" xfId="0" applyFont="1"/>
    <xf numFmtId="0" fontId="10" fillId="0" borderId="0" xfId="0" applyFont="1"/>
    <xf numFmtId="167" fontId="4" fillId="0" borderId="7" xfId="0" applyNumberFormat="1" applyFont="1" applyBorder="1"/>
    <xf numFmtId="167" fontId="5" fillId="0" borderId="7" xfId="0" applyNumberFormat="1" applyFont="1" applyBorder="1"/>
    <xf numFmtId="167" fontId="6" fillId="0" borderId="7" xfId="0" applyNumberFormat="1" applyFont="1" applyBorder="1"/>
    <xf numFmtId="167" fontId="7" fillId="0" borderId="4" xfId="0" applyNumberFormat="1" applyFont="1" applyBorder="1"/>
    <xf numFmtId="167" fontId="4" fillId="0" borderId="8" xfId="0" applyNumberFormat="1" applyFont="1" applyBorder="1"/>
    <xf numFmtId="167" fontId="4" fillId="0" borderId="11" xfId="0" applyNumberFormat="1" applyFont="1" applyBorder="1"/>
    <xf numFmtId="169" fontId="7" fillId="0" borderId="0" xfId="1" applyNumberFormat="1" applyFont="1" applyFill="1" applyBorder="1"/>
    <xf numFmtId="164" fontId="8" fillId="0" borderId="7" xfId="3" applyNumberFormat="1" applyFont="1" applyFill="1" applyBorder="1"/>
    <xf numFmtId="10" fontId="4" fillId="0" borderId="7" xfId="3" applyNumberFormat="1" applyFont="1" applyBorder="1"/>
    <xf numFmtId="10" fontId="5" fillId="0" borderId="7" xfId="3" applyNumberFormat="1" applyFont="1" applyBorder="1"/>
    <xf numFmtId="167" fontId="4" fillId="0" borderId="10" xfId="0" applyNumberFormat="1" applyFont="1" applyBorder="1"/>
    <xf numFmtId="167" fontId="5" fillId="0" borderId="10" xfId="0" applyNumberFormat="1" applyFont="1" applyBorder="1"/>
    <xf numFmtId="167" fontId="4" fillId="0" borderId="0" xfId="0" applyNumberFormat="1" applyFont="1" applyBorder="1"/>
    <xf numFmtId="166" fontId="8" fillId="0" borderId="0" xfId="1" applyFont="1" applyFill="1" applyBorder="1"/>
    <xf numFmtId="10" fontId="4" fillId="0" borderId="0" xfId="3" applyNumberFormat="1" applyFont="1" applyFill="1" applyBorder="1"/>
    <xf numFmtId="167" fontId="9" fillId="0" borderId="0" xfId="0" applyNumberFormat="1" applyFont="1" applyFill="1" applyBorder="1"/>
    <xf numFmtId="166" fontId="7" fillId="0" borderId="0" xfId="1" applyFont="1" applyFill="1" applyBorder="1"/>
    <xf numFmtId="164" fontId="0" fillId="0" borderId="7" xfId="0" applyNumberFormat="1" applyFill="1" applyBorder="1"/>
    <xf numFmtId="9" fontId="4" fillId="0" borderId="0" xfId="3" applyFont="1" applyFill="1" applyBorder="1"/>
    <xf numFmtId="175" fontId="9" fillId="0" borderId="0" xfId="3" applyNumberFormat="1" applyFont="1" applyFill="1" applyBorder="1"/>
    <xf numFmtId="0" fontId="11" fillId="0" borderId="0" xfId="0" applyFont="1" applyFill="1"/>
    <xf numFmtId="0" fontId="20" fillId="0" borderId="0" xfId="0" applyFont="1" applyFill="1"/>
    <xf numFmtId="10" fontId="4" fillId="0" borderId="7" xfId="3" applyNumberFormat="1" applyFont="1" applyFill="1" applyBorder="1"/>
    <xf numFmtId="167" fontId="4" fillId="0" borderId="10" xfId="0" applyNumberFormat="1" applyFont="1" applyFill="1" applyBorder="1"/>
    <xf numFmtId="167" fontId="4" fillId="0" borderId="0" xfId="0" applyNumberFormat="1" applyFont="1" applyFill="1" applyBorder="1"/>
    <xf numFmtId="0" fontId="8" fillId="0" borderId="0" xfId="0" applyFont="1" applyFill="1"/>
    <xf numFmtId="0" fontId="10" fillId="0" borderId="0" xfId="0" applyFont="1" applyFill="1"/>
    <xf numFmtId="167" fontId="5" fillId="0" borderId="10" xfId="0" applyNumberFormat="1" applyFont="1" applyFill="1" applyBorder="1"/>
    <xf numFmtId="0" fontId="26" fillId="0" borderId="0" xfId="0" applyFont="1" applyFill="1" applyBorder="1"/>
    <xf numFmtId="0" fontId="4" fillId="0" borderId="0" xfId="0" applyFont="1"/>
    <xf numFmtId="0" fontId="26" fillId="0" borderId="0" xfId="0" applyFont="1" applyAlignment="1">
      <alignment horizontal="center"/>
    </xf>
    <xf numFmtId="0" fontId="26" fillId="0" borderId="0" xfId="0" applyFont="1"/>
    <xf numFmtId="166" fontId="4" fillId="0" borderId="0" xfId="1" applyFont="1"/>
    <xf numFmtId="166" fontId="26" fillId="0" borderId="14" xfId="1" applyFont="1" applyBorder="1"/>
    <xf numFmtId="164" fontId="0" fillId="0" borderId="0" xfId="0" applyNumberFormat="1"/>
    <xf numFmtId="14" fontId="26" fillId="0" borderId="0" xfId="0" applyNumberFormat="1" applyFont="1" applyAlignment="1">
      <alignment horizontal="left"/>
    </xf>
    <xf numFmtId="166" fontId="4" fillId="0" borderId="0" xfId="1" applyFont="1" applyFill="1"/>
    <xf numFmtId="14" fontId="8" fillId="0" borderId="0" xfId="1" applyNumberFormat="1" applyFont="1" applyFill="1" applyBorder="1"/>
    <xf numFmtId="167" fontId="8" fillId="2" borderId="10" xfId="0" applyNumberFormat="1" applyFont="1" applyFill="1" applyBorder="1"/>
    <xf numFmtId="167" fontId="0" fillId="0" borderId="0" xfId="0" applyNumberFormat="1"/>
    <xf numFmtId="169" fontId="16" fillId="0" borderId="4" xfId="2" applyNumberFormat="1" applyFont="1" applyFill="1" applyBorder="1" applyAlignment="1">
      <alignment horizontal="center" wrapText="1"/>
    </xf>
    <xf numFmtId="0" fontId="13" fillId="0" borderId="12" xfId="2" applyFont="1" applyFill="1" applyBorder="1" applyAlignment="1">
      <alignment horizontal="right"/>
    </xf>
    <xf numFmtId="0" fontId="13" fillId="0" borderId="13" xfId="2" applyFont="1" applyFill="1" applyBorder="1" applyAlignment="1">
      <alignment horizontal="right"/>
    </xf>
    <xf numFmtId="0" fontId="16" fillId="0" borderId="12" xfId="2" applyFont="1" applyFill="1" applyBorder="1" applyAlignment="1">
      <alignment horizontal="right"/>
    </xf>
    <xf numFmtId="0" fontId="16" fillId="0" borderId="1" xfId="2" applyFont="1" applyFill="1" applyBorder="1" applyAlignment="1">
      <alignment horizontal="right"/>
    </xf>
    <xf numFmtId="0" fontId="13" fillId="0" borderId="1" xfId="2" applyFont="1" applyFill="1" applyBorder="1" applyAlignment="1">
      <alignment horizontal="right"/>
    </xf>
    <xf numFmtId="177" fontId="0" fillId="0" borderId="0" xfId="0" applyNumberFormat="1"/>
    <xf numFmtId="166" fontId="0" fillId="0" borderId="0" xfId="1" applyFont="1"/>
  </cellXfs>
  <cellStyles count="15">
    <cellStyle name="Comma" xfId="1" builtinId="3"/>
    <cellStyle name="Comma 4" xfId="14" xr:uid="{00000000-0005-0000-0000-000000000000}"/>
    <cellStyle name="Millares 2" xfId="6" xr:uid="{00000000-0005-0000-0000-000003000000}"/>
    <cellStyle name="Millares 3" xfId="7" xr:uid="{00000000-0005-0000-0000-000004000000}"/>
    <cellStyle name="Millares 4" xfId="12" xr:uid="{00000000-0005-0000-0000-000005000000}"/>
    <cellStyle name="Moneda 2" xfId="9" xr:uid="{00000000-0005-0000-0000-000006000000}"/>
    <cellStyle name="Normal" xfId="0" builtinId="0"/>
    <cellStyle name="Normal 2" xfId="2" xr:uid="{00000000-0005-0000-0000-000008000000}"/>
    <cellStyle name="Normal 3" xfId="5" xr:uid="{00000000-0005-0000-0000-000009000000}"/>
    <cellStyle name="Normal 4" xfId="4" xr:uid="{00000000-0005-0000-0000-00000A000000}"/>
    <cellStyle name="Normal 5" xfId="11" xr:uid="{00000000-0005-0000-0000-00000B000000}"/>
    <cellStyle name="Percent" xfId="3" builtinId="5"/>
    <cellStyle name="Porcentaje 2" xfId="8" xr:uid="{00000000-0005-0000-0000-00000D000000}"/>
    <cellStyle name="Porcentaje 3" xfId="10" xr:uid="{00000000-0005-0000-0000-00000E000000}"/>
    <cellStyle name="Porcentaje 4" xfId="13" xr:uid="{00000000-0005-0000-0000-00000F000000}"/>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B4" activePane="bottomRight" state="frozen"/>
      <selection pane="topRight" activeCell="B1" sqref="B1"/>
      <selection pane="bottomLeft" activeCell="A4" sqref="A4"/>
      <selection pane="bottomRight" activeCell="F18" sqref="F18"/>
    </sheetView>
  </sheetViews>
  <sheetFormatPr defaultColWidth="11.453125" defaultRowHeight="14" x14ac:dyDescent="0.3"/>
  <cols>
    <col min="1" max="1" width="39.81640625" style="1" customWidth="1"/>
    <col min="2" max="6" width="18" style="1" customWidth="1"/>
    <col min="7" max="7" width="16.26953125" style="48" customWidth="1"/>
    <col min="8" max="8" width="15.26953125" style="3" bestFit="1" customWidth="1"/>
    <col min="9" max="9" width="17.54296875" style="3" bestFit="1" customWidth="1"/>
    <col min="10" max="10" width="14.26953125" style="3" customWidth="1"/>
    <col min="11" max="11" width="11.453125" style="3"/>
    <col min="12" max="12" width="12.453125" style="3" bestFit="1" customWidth="1"/>
    <col min="13" max="16384" width="11.453125" style="3"/>
  </cols>
  <sheetData>
    <row r="1" spans="1:9" ht="15.5" x14ac:dyDescent="0.35">
      <c r="A1" s="27" t="s">
        <v>87</v>
      </c>
    </row>
    <row r="3" spans="1:9" ht="28" x14ac:dyDescent="0.3">
      <c r="A3" s="73" t="s">
        <v>86</v>
      </c>
      <c r="B3" s="2" t="s">
        <v>69</v>
      </c>
      <c r="C3" s="2" t="s">
        <v>73</v>
      </c>
      <c r="D3" s="2" t="s">
        <v>74</v>
      </c>
      <c r="E3" s="2" t="s">
        <v>0</v>
      </c>
      <c r="F3" s="2" t="s">
        <v>1</v>
      </c>
      <c r="G3" s="82" t="s">
        <v>25</v>
      </c>
    </row>
    <row r="4" spans="1:9" x14ac:dyDescent="0.3">
      <c r="A4" s="3"/>
      <c r="B4" s="3"/>
      <c r="G4" s="36"/>
    </row>
    <row r="5" spans="1:9" x14ac:dyDescent="0.3">
      <c r="A5" s="25" t="s">
        <v>2</v>
      </c>
      <c r="B5" s="7"/>
      <c r="C5" s="7"/>
      <c r="D5" s="7"/>
      <c r="E5" s="7"/>
      <c r="F5" s="7"/>
      <c r="G5" s="20"/>
    </row>
    <row r="6" spans="1:9" x14ac:dyDescent="0.3">
      <c r="A6" s="50"/>
      <c r="B6" s="8"/>
      <c r="C6" s="8"/>
      <c r="D6" s="8"/>
      <c r="E6" s="8"/>
      <c r="F6" s="8"/>
      <c r="G6" s="18"/>
    </row>
    <row r="7" spans="1:9" x14ac:dyDescent="0.3">
      <c r="A7" s="50" t="s">
        <v>9</v>
      </c>
      <c r="B7" s="28">
        <f>+B8+B9</f>
        <v>3881809.77</v>
      </c>
      <c r="C7" s="28">
        <f>+C8+C9</f>
        <v>3882001.17</v>
      </c>
      <c r="D7" s="28">
        <f>+D8+D9</f>
        <v>7554828.6399999997</v>
      </c>
      <c r="E7" s="28">
        <f>+E8+E9</f>
        <v>7444553.2799999993</v>
      </c>
      <c r="F7" s="28">
        <f>+F8+F9</f>
        <v>12078834.65</v>
      </c>
      <c r="G7" s="18">
        <f>F7/$F$37</f>
        <v>0.4934778135384339</v>
      </c>
    </row>
    <row r="8" spans="1:9" s="21" customFormat="1" ht="13" x14ac:dyDescent="0.3">
      <c r="A8" s="72" t="s">
        <v>21</v>
      </c>
      <c r="B8" s="112">
        <v>3881809.77</v>
      </c>
      <c r="C8" s="112">
        <v>3882001.17</v>
      </c>
      <c r="D8" s="112">
        <v>5954828.6399999997</v>
      </c>
      <c r="E8" s="112">
        <v>5839818.5899999999</v>
      </c>
      <c r="F8" s="112">
        <v>10469193.17</v>
      </c>
      <c r="G8" s="113">
        <f>+F8/$F$37</f>
        <v>0.42771630747036554</v>
      </c>
      <c r="H8" s="150"/>
    </row>
    <row r="9" spans="1:9" s="21" customFormat="1" x14ac:dyDescent="0.3">
      <c r="A9" s="72" t="s">
        <v>105</v>
      </c>
      <c r="B9" s="112">
        <v>0</v>
      </c>
      <c r="C9" s="112">
        <v>0</v>
      </c>
      <c r="D9" s="112">
        <v>1600000</v>
      </c>
      <c r="E9" s="112">
        <f>1628058.31-23323.62</f>
        <v>1604734.69</v>
      </c>
      <c r="F9" s="112">
        <f>1632965.1-23323.62</f>
        <v>1609641.48</v>
      </c>
      <c r="G9" s="113">
        <f>+F9/$F$37</f>
        <v>6.5761506068068312E-2</v>
      </c>
      <c r="H9" s="148"/>
      <c r="I9" s="76"/>
    </row>
    <row r="10" spans="1:9" x14ac:dyDescent="0.3">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 x14ac:dyDescent="0.3">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 x14ac:dyDescent="0.3">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 x14ac:dyDescent="0.3">
      <c r="A13" s="72" t="s">
        <v>26</v>
      </c>
      <c r="B13" s="112">
        <v>0</v>
      </c>
      <c r="C13" s="112">
        <v>0</v>
      </c>
      <c r="D13" s="112">
        <v>3000000</v>
      </c>
      <c r="E13" s="112">
        <v>3000000</v>
      </c>
      <c r="F13" s="112">
        <v>3000000</v>
      </c>
      <c r="G13" s="113">
        <f>+F13/F37</f>
        <v>0.12256426083416098</v>
      </c>
      <c r="H13" s="148"/>
    </row>
    <row r="14" spans="1:9" s="38" customFormat="1" ht="13" x14ac:dyDescent="0.3">
      <c r="A14" s="72" t="s">
        <v>18</v>
      </c>
      <c r="B14" s="112">
        <v>0</v>
      </c>
      <c r="C14" s="112">
        <v>0</v>
      </c>
      <c r="D14" s="173">
        <v>4166.67</v>
      </c>
      <c r="E14" s="173">
        <v>29166.67</v>
      </c>
      <c r="F14" s="173">
        <v>55000</v>
      </c>
      <c r="G14" s="113">
        <f>+F14/F37</f>
        <v>2.2470114486262847E-3</v>
      </c>
      <c r="I14" s="44"/>
    </row>
    <row r="15" spans="1:9" s="38" customFormat="1" ht="13" x14ac:dyDescent="0.3">
      <c r="A15" s="72" t="s">
        <v>101</v>
      </c>
      <c r="B15" s="112">
        <v>0</v>
      </c>
      <c r="C15" s="112">
        <v>0</v>
      </c>
      <c r="D15" s="112">
        <v>-29895.83</v>
      </c>
      <c r="E15" s="112">
        <v>-29270.83</v>
      </c>
      <c r="F15" s="112">
        <v>-28625</v>
      </c>
      <c r="G15" s="113">
        <f>+F15/F37</f>
        <v>-1.1694673221259526E-3</v>
      </c>
      <c r="I15" s="46"/>
    </row>
    <row r="16" spans="1:9" s="38" customFormat="1" ht="13" x14ac:dyDescent="0.3">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 x14ac:dyDescent="0.3">
      <c r="A17" s="72" t="s">
        <v>26</v>
      </c>
      <c r="B17" s="112">
        <v>0</v>
      </c>
      <c r="C17" s="112">
        <v>0</v>
      </c>
      <c r="D17" s="112">
        <v>1200000</v>
      </c>
      <c r="E17" s="112">
        <v>1200000</v>
      </c>
      <c r="F17" s="112">
        <v>1200000</v>
      </c>
      <c r="G17" s="113">
        <f t="shared" si="5"/>
        <v>4.9025704333664391E-2</v>
      </c>
      <c r="I17" s="148"/>
    </row>
    <row r="18" spans="1:9" s="38" customFormat="1" ht="13" x14ac:dyDescent="0.3">
      <c r="A18" s="72" t="s">
        <v>18</v>
      </c>
      <c r="B18" s="112">
        <v>0</v>
      </c>
      <c r="C18" s="112">
        <v>0</v>
      </c>
      <c r="D18" s="173">
        <v>333.33</v>
      </c>
      <c r="E18" s="173">
        <v>10333.33</v>
      </c>
      <c r="F18" s="173">
        <v>20666.66</v>
      </c>
      <c r="G18" s="142">
        <f t="shared" si="5"/>
        <v>8.4433130227030712E-4</v>
      </c>
    </row>
    <row r="19" spans="1:9" s="38" customFormat="1" ht="13" x14ac:dyDescent="0.3">
      <c r="A19" s="72" t="s">
        <v>101</v>
      </c>
      <c r="B19" s="112">
        <v>0</v>
      </c>
      <c r="C19" s="112">
        <v>0</v>
      </c>
      <c r="D19" s="112">
        <v>-11991.67</v>
      </c>
      <c r="E19" s="112">
        <v>-11741.67</v>
      </c>
      <c r="F19" s="112">
        <v>-11483.34</v>
      </c>
      <c r="G19" s="142">
        <f t="shared" si="5"/>
        <v>-4.6914902633578477E-4</v>
      </c>
    </row>
    <row r="20" spans="1:9" s="38" customFormat="1" ht="13" x14ac:dyDescent="0.3">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 x14ac:dyDescent="0.3">
      <c r="A21" s="72" t="s">
        <v>26</v>
      </c>
      <c r="B21" s="112">
        <v>0</v>
      </c>
      <c r="C21" s="112">
        <v>0</v>
      </c>
      <c r="D21" s="112">
        <v>0</v>
      </c>
      <c r="E21" s="112">
        <v>0</v>
      </c>
      <c r="F21" s="112">
        <v>750000</v>
      </c>
      <c r="G21" s="113">
        <f t="shared" si="5"/>
        <v>3.0641065208540246E-2</v>
      </c>
    </row>
    <row r="22" spans="1:9" s="38" customFormat="1" ht="13" x14ac:dyDescent="0.3">
      <c r="A22" s="72" t="s">
        <v>18</v>
      </c>
      <c r="B22" s="112">
        <v>0</v>
      </c>
      <c r="C22" s="112">
        <v>0</v>
      </c>
      <c r="D22" s="112">
        <v>0</v>
      </c>
      <c r="E22" s="112">
        <v>0</v>
      </c>
      <c r="F22" s="173">
        <v>4125</v>
      </c>
      <c r="G22" s="142">
        <f t="shared" si="5"/>
        <v>1.6852585864697136E-4</v>
      </c>
    </row>
    <row r="23" spans="1:9" s="38" customFormat="1" ht="13" x14ac:dyDescent="0.3">
      <c r="A23" s="72" t="s">
        <v>101</v>
      </c>
      <c r="B23" s="112">
        <v>0</v>
      </c>
      <c r="C23" s="112">
        <v>0</v>
      </c>
      <c r="D23" s="112">
        <v>0</v>
      </c>
      <c r="E23" s="112">
        <v>0</v>
      </c>
      <c r="F23" s="112">
        <v>-5879.45</v>
      </c>
      <c r="G23" s="142">
        <f t="shared" si="5"/>
        <v>-2.4020348112046926E-4</v>
      </c>
    </row>
    <row r="24" spans="1:9" s="38" customFormat="1" ht="13" x14ac:dyDescent="0.3">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 x14ac:dyDescent="0.3">
      <c r="A25" s="72" t="s">
        <v>26</v>
      </c>
      <c r="B25" s="112">
        <v>0</v>
      </c>
      <c r="C25" s="112">
        <v>0</v>
      </c>
      <c r="D25" s="112">
        <v>0</v>
      </c>
      <c r="E25" s="112">
        <v>0</v>
      </c>
      <c r="F25" s="173">
        <f>5000000-8055.35</f>
        <v>4991944.6500000004</v>
      </c>
      <c r="G25" s="113">
        <f t="shared" si="5"/>
        <v>0.2039446687174315</v>
      </c>
    </row>
    <row r="26" spans="1:9" s="38" customFormat="1" ht="13" x14ac:dyDescent="0.3">
      <c r="A26" s="72" t="s">
        <v>18</v>
      </c>
      <c r="B26" s="112">
        <v>0</v>
      </c>
      <c r="C26" s="112">
        <v>0</v>
      </c>
      <c r="D26" s="112">
        <v>0</v>
      </c>
      <c r="E26" s="112">
        <v>0</v>
      </c>
      <c r="F26" s="173">
        <v>7543.38</v>
      </c>
      <c r="G26" s="142">
        <f t="shared" si="5"/>
        <v>3.0818293129706442E-4</v>
      </c>
    </row>
    <row r="27" spans="1:9" s="38" customFormat="1" ht="13" x14ac:dyDescent="0.3">
      <c r="A27" s="72" t="s">
        <v>101</v>
      </c>
      <c r="B27" s="112">
        <v>0</v>
      </c>
      <c r="C27" s="112">
        <v>0</v>
      </c>
      <c r="D27" s="112">
        <v>0</v>
      </c>
      <c r="E27" s="112">
        <v>0</v>
      </c>
      <c r="F27" s="112">
        <v>-49629.63</v>
      </c>
      <c r="G27" s="142">
        <f t="shared" si="5"/>
        <v>-2.0276063054743003E-3</v>
      </c>
    </row>
    <row r="28" spans="1:9" s="38" customFormat="1" ht="13" x14ac:dyDescent="0.3">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 x14ac:dyDescent="0.3">
      <c r="A29" s="72" t="s">
        <v>26</v>
      </c>
      <c r="B29" s="112">
        <v>0</v>
      </c>
      <c r="C29" s="112">
        <v>0</v>
      </c>
      <c r="D29" s="112">
        <v>0</v>
      </c>
      <c r="E29" s="112">
        <v>0</v>
      </c>
      <c r="F29" s="112">
        <f>2000000-11828.32</f>
        <v>1988171.68</v>
      </c>
      <c r="G29" s="113">
        <f t="shared" si="5"/>
        <v>8.1226264123537353E-2</v>
      </c>
    </row>
    <row r="30" spans="1:9" s="38" customFormat="1" ht="13" x14ac:dyDescent="0.3">
      <c r="A30" s="72" t="s">
        <v>18</v>
      </c>
      <c r="B30" s="112">
        <v>0</v>
      </c>
      <c r="C30" s="112">
        <v>0</v>
      </c>
      <c r="D30" s="112">
        <v>0</v>
      </c>
      <c r="E30" s="112">
        <v>0</v>
      </c>
      <c r="F30" s="173">
        <v>1487.54</v>
      </c>
      <c r="G30" s="142">
        <f t="shared" si="5"/>
        <v>6.077308018708261E-5</v>
      </c>
    </row>
    <row r="31" spans="1:9" s="38" customFormat="1" ht="13" x14ac:dyDescent="0.3">
      <c r="A31" s="72" t="s">
        <v>101</v>
      </c>
      <c r="B31" s="112">
        <v>0</v>
      </c>
      <c r="C31" s="112">
        <v>0</v>
      </c>
      <c r="D31" s="112">
        <v>0</v>
      </c>
      <c r="E31" s="112">
        <v>0</v>
      </c>
      <c r="F31" s="112">
        <v>-19972.22</v>
      </c>
      <c r="G31" s="142">
        <f t="shared" si="5"/>
        <v>-8.1596012717241562E-4</v>
      </c>
    </row>
    <row r="32" spans="1:9" s="38" customFormat="1" ht="13" x14ac:dyDescent="0.3">
      <c r="A32" s="72" t="s">
        <v>114</v>
      </c>
      <c r="B32" s="112">
        <f>SUM(B33:B34)</f>
        <v>0</v>
      </c>
      <c r="C32" s="112">
        <f>SUM(C33:C34)</f>
        <v>0</v>
      </c>
      <c r="D32" s="112">
        <f>SUM(D33:D34)</f>
        <v>0</v>
      </c>
      <c r="E32" s="112">
        <f>SUM(E33:E34)</f>
        <v>0</v>
      </c>
      <c r="F32" s="112">
        <f>SUM(F33:F34)</f>
        <v>494771.92</v>
      </c>
      <c r="G32" s="113">
        <f t="shared" si="5"/>
        <v>2.0213784885432878E-2</v>
      </c>
    </row>
    <row r="33" spans="1:9" s="38" customFormat="1" ht="13" x14ac:dyDescent="0.3">
      <c r="A33" s="72" t="s">
        <v>26</v>
      </c>
      <c r="B33" s="112">
        <v>0</v>
      </c>
      <c r="C33" s="112">
        <v>0</v>
      </c>
      <c r="D33" s="112">
        <v>0</v>
      </c>
      <c r="E33" s="112">
        <v>0</v>
      </c>
      <c r="F33" s="112">
        <f>500000-228.08</f>
        <v>499771.92</v>
      </c>
      <c r="G33" s="113">
        <f t="shared" si="5"/>
        <v>2.041805865348981E-2</v>
      </c>
    </row>
    <row r="34" spans="1:9" s="38" customFormat="1" ht="13" x14ac:dyDescent="0.3">
      <c r="A34" s="72" t="s">
        <v>101</v>
      </c>
      <c r="B34" s="112">
        <v>0</v>
      </c>
      <c r="C34" s="112">
        <v>0</v>
      </c>
      <c r="D34" s="112">
        <v>0</v>
      </c>
      <c r="E34" s="112">
        <v>0</v>
      </c>
      <c r="F34" s="112">
        <v>-5000</v>
      </c>
      <c r="G34" s="113">
        <f t="shared" si="5"/>
        <v>-2.0427376805693499E-4</v>
      </c>
    </row>
    <row r="35" spans="1:9" s="22" customFormat="1" x14ac:dyDescent="0.3">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x14ac:dyDescent="0.3">
      <c r="A36" s="50" t="s">
        <v>109</v>
      </c>
      <c r="B36" s="28">
        <v>0</v>
      </c>
      <c r="C36" s="28">
        <v>0</v>
      </c>
      <c r="D36" s="28">
        <v>0</v>
      </c>
      <c r="E36" s="28">
        <v>99615.65</v>
      </c>
      <c r="F36" s="28">
        <v>0</v>
      </c>
      <c r="G36" s="18">
        <f t="shared" si="5"/>
        <v>0</v>
      </c>
      <c r="H36" s="109"/>
      <c r="I36" s="109"/>
    </row>
    <row r="37" spans="1:9" x14ac:dyDescent="0.3">
      <c r="A37" s="16" t="s">
        <v>3</v>
      </c>
      <c r="B37" s="126">
        <f>+B35+B7+B10+B36</f>
        <v>3914678.62</v>
      </c>
      <c r="C37" s="126">
        <f>+C35+C7+C10+C36</f>
        <v>3882001.17</v>
      </c>
      <c r="D37" s="126">
        <f>+D35+D7+D10+D36</f>
        <v>11828744.469999999</v>
      </c>
      <c r="E37" s="126">
        <f>+E35+E7+E10+E36</f>
        <v>11785672</v>
      </c>
      <c r="F37" s="126">
        <f>+F35+F7+F10+F36</f>
        <v>24476955.84</v>
      </c>
      <c r="G37" s="17">
        <f>+F37/F37</f>
        <v>1</v>
      </c>
    </row>
    <row r="38" spans="1:9" x14ac:dyDescent="0.3">
      <c r="A38" s="3"/>
      <c r="B38" s="65"/>
      <c r="C38" s="65"/>
      <c r="D38" s="65"/>
      <c r="E38" s="65"/>
      <c r="F38" s="65"/>
      <c r="G38" s="95"/>
    </row>
    <row r="39" spans="1:9" x14ac:dyDescent="0.3">
      <c r="A39" s="77" t="s">
        <v>4</v>
      </c>
      <c r="B39" s="11"/>
      <c r="C39" s="11"/>
      <c r="D39" s="11"/>
      <c r="E39" s="11"/>
      <c r="F39" s="11"/>
      <c r="G39" s="18"/>
    </row>
    <row r="40" spans="1:9" x14ac:dyDescent="0.3">
      <c r="A40" s="78"/>
      <c r="B40" s="11"/>
      <c r="C40" s="11"/>
      <c r="D40" s="11"/>
      <c r="E40" s="11"/>
      <c r="F40" s="11"/>
      <c r="G40" s="18"/>
    </row>
    <row r="41" spans="1:9" x14ac:dyDescent="0.3">
      <c r="A41" s="79" t="s">
        <v>19</v>
      </c>
      <c r="B41" s="11"/>
      <c r="C41" s="11"/>
      <c r="D41" s="11"/>
      <c r="E41" s="11"/>
      <c r="F41" s="11"/>
      <c r="G41" s="18"/>
    </row>
    <row r="42" spans="1:9" s="38" customFormat="1" x14ac:dyDescent="0.3">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 x14ac:dyDescent="0.3">
      <c r="A43" s="10" t="s">
        <v>77</v>
      </c>
      <c r="B43" s="62">
        <v>0</v>
      </c>
      <c r="C43" s="124">
        <v>0</v>
      </c>
      <c r="D43" s="124">
        <v>0</v>
      </c>
      <c r="E43" s="124">
        <v>10000</v>
      </c>
      <c r="F43" s="124">
        <f>4900+10000</f>
        <v>14900</v>
      </c>
      <c r="G43" s="61">
        <f>F43/$F$85</f>
        <v>6.087358288096663E-4</v>
      </c>
    </row>
    <row r="44" spans="1:9" s="38" customFormat="1" ht="13" x14ac:dyDescent="0.3">
      <c r="A44" s="72" t="s">
        <v>51</v>
      </c>
      <c r="B44" s="62">
        <v>0</v>
      </c>
      <c r="C44" s="124">
        <v>0</v>
      </c>
      <c r="D44" s="124">
        <v>0</v>
      </c>
      <c r="E44" s="124">
        <v>2000</v>
      </c>
      <c r="F44" s="124">
        <v>0</v>
      </c>
      <c r="G44" s="61">
        <f t="shared" ref="G44:G48" si="10">F44/$F$85</f>
        <v>0</v>
      </c>
    </row>
    <row r="45" spans="1:9" s="38" customFormat="1" ht="13" x14ac:dyDescent="0.3">
      <c r="A45" s="72" t="s">
        <v>66</v>
      </c>
      <c r="B45" s="62">
        <v>0</v>
      </c>
      <c r="C45" s="124">
        <v>0</v>
      </c>
      <c r="D45" s="124">
        <v>0</v>
      </c>
      <c r="E45" s="124">
        <v>3750</v>
      </c>
      <c r="F45" s="124">
        <v>0</v>
      </c>
      <c r="G45" s="61">
        <f t="shared" si="10"/>
        <v>0</v>
      </c>
    </row>
    <row r="46" spans="1:9" s="38" customFormat="1" ht="13" x14ac:dyDescent="0.3">
      <c r="A46" s="72" t="s">
        <v>122</v>
      </c>
      <c r="B46" s="62">
        <v>0</v>
      </c>
      <c r="C46" s="124">
        <v>833.33</v>
      </c>
      <c r="D46" s="124">
        <f>833.33+5166.67</f>
        <v>6000</v>
      </c>
      <c r="E46" s="124">
        <v>11000</v>
      </c>
      <c r="F46" s="124">
        <v>20555.560000000001</v>
      </c>
      <c r="G46" s="61">
        <f t="shared" si="10"/>
        <v>8.397923391440823E-4</v>
      </c>
    </row>
    <row r="47" spans="1:9" s="38" customFormat="1" ht="13" x14ac:dyDescent="0.3">
      <c r="A47" s="10" t="s">
        <v>67</v>
      </c>
      <c r="B47" s="62">
        <v>0</v>
      </c>
      <c r="C47" s="124">
        <v>0</v>
      </c>
      <c r="D47" s="124">
        <v>0</v>
      </c>
      <c r="E47" s="124">
        <v>0</v>
      </c>
      <c r="F47" s="124">
        <v>1275</v>
      </c>
      <c r="G47" s="61">
        <f t="shared" si="10"/>
        <v>5.2089810854518426E-5</v>
      </c>
    </row>
    <row r="48" spans="1:9" s="38" customFormat="1" ht="13" x14ac:dyDescent="0.3">
      <c r="A48" s="10" t="s">
        <v>78</v>
      </c>
      <c r="B48" s="62">
        <v>0</v>
      </c>
      <c r="C48" s="124">
        <v>3278.6885245901599</v>
      </c>
      <c r="D48" s="124">
        <v>0</v>
      </c>
      <c r="E48" s="124">
        <v>0</v>
      </c>
      <c r="F48" s="124">
        <v>75375.14</v>
      </c>
      <c r="G48" s="61">
        <f t="shared" si="10"/>
        <v>3.0794327731238007E-3</v>
      </c>
      <c r="H48" s="46"/>
      <c r="I48" s="104"/>
    </row>
    <row r="49" spans="1:16" s="38" customFormat="1" ht="13" hidden="1" x14ac:dyDescent="0.3">
      <c r="A49" s="10" t="s">
        <v>83</v>
      </c>
      <c r="B49" s="62"/>
      <c r="C49" s="124"/>
      <c r="D49" s="124"/>
      <c r="E49" s="124"/>
      <c r="F49" s="124"/>
      <c r="G49" s="61">
        <f>B49/$B$85</f>
        <v>0</v>
      </c>
    </row>
    <row r="50" spans="1:16" s="38" customFormat="1" ht="13" hidden="1" x14ac:dyDescent="0.3">
      <c r="A50" s="10" t="s">
        <v>84</v>
      </c>
      <c r="B50" s="62">
        <v>0</v>
      </c>
      <c r="C50" s="124">
        <v>0</v>
      </c>
      <c r="D50" s="124">
        <v>0</v>
      </c>
      <c r="E50" s="124">
        <v>0</v>
      </c>
      <c r="F50" s="124">
        <v>0</v>
      </c>
      <c r="G50" s="61">
        <f>B50/$B$85</f>
        <v>0</v>
      </c>
      <c r="H50" s="44"/>
    </row>
    <row r="51" spans="1:16" s="38" customFormat="1" ht="13" hidden="1" x14ac:dyDescent="0.3">
      <c r="A51" s="10" t="s">
        <v>75</v>
      </c>
      <c r="B51" s="62">
        <v>0</v>
      </c>
      <c r="C51" s="124">
        <v>0</v>
      </c>
      <c r="D51" s="124">
        <v>0</v>
      </c>
      <c r="E51" s="124">
        <v>0</v>
      </c>
      <c r="F51" s="124">
        <v>0</v>
      </c>
      <c r="G51" s="61">
        <f>B51/$B$85</f>
        <v>0</v>
      </c>
      <c r="J51" s="96"/>
    </row>
    <row r="52" spans="1:16" s="38" customFormat="1" ht="13" x14ac:dyDescent="0.3">
      <c r="B52" s="62"/>
      <c r="C52" s="124"/>
      <c r="D52" s="124"/>
      <c r="E52" s="124"/>
      <c r="F52" s="124"/>
      <c r="G52" s="61"/>
      <c r="J52" s="96"/>
    </row>
    <row r="53" spans="1:16" s="38" customFormat="1" x14ac:dyDescent="0.3">
      <c r="A53" s="131" t="s">
        <v>115</v>
      </c>
      <c r="B53" s="62"/>
      <c r="C53" s="124"/>
      <c r="D53" s="124"/>
      <c r="E53" s="124"/>
      <c r="F53" s="124"/>
      <c r="G53" s="61"/>
      <c r="J53" s="96"/>
    </row>
    <row r="54" spans="1:16" s="38" customFormat="1" ht="13" x14ac:dyDescent="0.3">
      <c r="B54" s="62"/>
      <c r="C54" s="124"/>
      <c r="D54" s="124"/>
      <c r="E54" s="124"/>
      <c r="F54" s="124"/>
      <c r="G54" s="61"/>
      <c r="J54" s="96"/>
    </row>
    <row r="55" spans="1:16" s="133" customFormat="1" ht="14.5" x14ac:dyDescent="0.35">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 x14ac:dyDescent="0.3">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 x14ac:dyDescent="0.3">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 x14ac:dyDescent="0.3">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 x14ac:dyDescent="0.3">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 x14ac:dyDescent="0.3">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 x14ac:dyDescent="0.3">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 x14ac:dyDescent="0.3">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 x14ac:dyDescent="0.3">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 x14ac:dyDescent="0.3">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5" x14ac:dyDescent="0.35">
      <c r="A65" s="132" t="s">
        <v>109</v>
      </c>
      <c r="B65" s="49">
        <v>0</v>
      </c>
      <c r="C65" s="49">
        <v>0</v>
      </c>
      <c r="D65" s="49">
        <v>0</v>
      </c>
      <c r="E65" s="49">
        <v>0</v>
      </c>
      <c r="F65" s="28">
        <v>-222607.48</v>
      </c>
      <c r="G65" s="52">
        <f>+F65/F85</f>
        <v>-9.0945737474517601E-3</v>
      </c>
    </row>
    <row r="66" spans="1:12" x14ac:dyDescent="0.3">
      <c r="A66" s="42" t="s">
        <v>5</v>
      </c>
      <c r="B66" s="13">
        <f>+B42</f>
        <v>0</v>
      </c>
      <c r="C66" s="13">
        <f>+C42</f>
        <v>4112.0185245901603</v>
      </c>
      <c r="D66" s="13">
        <f>+D42</f>
        <v>6000</v>
      </c>
      <c r="E66" s="13">
        <f>+E42</f>
        <v>26750</v>
      </c>
      <c r="F66" s="13">
        <f>+F42+F55+F65</f>
        <v>12921698.219999999</v>
      </c>
      <c r="G66" s="17">
        <f>+E66/E85</f>
        <v>2.2697051113874074E-3</v>
      </c>
    </row>
    <row r="67" spans="1:12" x14ac:dyDescent="0.3">
      <c r="A67" s="3"/>
      <c r="B67" s="51"/>
      <c r="C67" s="15"/>
      <c r="D67" s="15"/>
      <c r="E67" s="15"/>
      <c r="F67" s="15"/>
      <c r="G67" s="76"/>
    </row>
    <row r="68" spans="1:12" x14ac:dyDescent="0.3">
      <c r="A68" s="25" t="s">
        <v>6</v>
      </c>
      <c r="B68" s="66"/>
      <c r="C68" s="66"/>
      <c r="D68" s="66"/>
      <c r="E68" s="66"/>
      <c r="F68" s="66" t="s">
        <v>133</v>
      </c>
      <c r="G68" s="53"/>
      <c r="I68" s="59"/>
    </row>
    <row r="69" spans="1:12" x14ac:dyDescent="0.3">
      <c r="A69" s="50"/>
      <c r="B69" s="4"/>
      <c r="C69" s="4"/>
      <c r="D69" s="4"/>
      <c r="E69" s="4"/>
      <c r="F69" s="4"/>
      <c r="G69" s="54"/>
      <c r="J69" s="125"/>
    </row>
    <row r="70" spans="1:12" s="21" customFormat="1" x14ac:dyDescent="0.3">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 x14ac:dyDescent="0.3">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x14ac:dyDescent="0.3">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 x14ac:dyDescent="0.3">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 x14ac:dyDescent="0.3">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 x14ac:dyDescent="0.3">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 x14ac:dyDescent="0.3">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 x14ac:dyDescent="0.3">
      <c r="A77" s="72" t="s">
        <v>94</v>
      </c>
      <c r="B77" s="30">
        <v>50000</v>
      </c>
      <c r="C77" s="127">
        <v>50000</v>
      </c>
      <c r="D77" s="127">
        <v>50000</v>
      </c>
      <c r="E77" s="127">
        <v>50000</v>
      </c>
      <c r="F77" s="127">
        <v>50000</v>
      </c>
      <c r="G77" s="63">
        <f t="shared" si="16"/>
        <v>2.0427376805693502E-3</v>
      </c>
      <c r="H77" s="123"/>
      <c r="I77" s="110"/>
      <c r="J77" s="110"/>
      <c r="K77" s="75"/>
    </row>
    <row r="78" spans="1:12" ht="14.5" hidden="1" x14ac:dyDescent="0.35">
      <c r="A78" s="97" t="s">
        <v>53</v>
      </c>
      <c r="B78" s="98">
        <v>0</v>
      </c>
      <c r="C78" s="4">
        <v>0</v>
      </c>
      <c r="D78" s="4">
        <v>0</v>
      </c>
      <c r="E78" s="4">
        <v>0</v>
      </c>
      <c r="F78" s="4">
        <v>0</v>
      </c>
      <c r="G78" s="54">
        <f t="shared" ref="G78:G81" si="19">+B78/$B$85</f>
        <v>0</v>
      </c>
      <c r="H78" s="121"/>
    </row>
    <row r="79" spans="1:12" ht="14.5" hidden="1" x14ac:dyDescent="0.35">
      <c r="A79" s="97" t="s">
        <v>58</v>
      </c>
      <c r="B79" s="98">
        <f t="shared" ref="B79" si="20">+B80+B81</f>
        <v>0</v>
      </c>
      <c r="C79" s="4">
        <f>+C80+C81</f>
        <v>0</v>
      </c>
      <c r="D79" s="4">
        <f>+D80+D81</f>
        <v>0</v>
      </c>
      <c r="E79" s="4">
        <f>+E80+E81</f>
        <v>0</v>
      </c>
      <c r="F79" s="4">
        <f>+F80+F81</f>
        <v>0</v>
      </c>
      <c r="G79" s="54">
        <f t="shared" si="19"/>
        <v>0</v>
      </c>
      <c r="H79" s="121"/>
      <c r="I79" s="59"/>
    </row>
    <row r="80" spans="1:12" s="21" customFormat="1" ht="13" hidden="1" x14ac:dyDescent="0.3">
      <c r="A80" s="72" t="s">
        <v>76</v>
      </c>
      <c r="B80" s="30">
        <v>0</v>
      </c>
      <c r="C80" s="127">
        <v>0</v>
      </c>
      <c r="D80" s="127">
        <v>0</v>
      </c>
      <c r="E80" s="127">
        <v>0</v>
      </c>
      <c r="F80" s="127">
        <v>0</v>
      </c>
      <c r="G80" s="63">
        <f t="shared" si="19"/>
        <v>0</v>
      </c>
      <c r="H80" s="103"/>
    </row>
    <row r="81" spans="1:12" s="21" customFormat="1" ht="13" hidden="1" x14ac:dyDescent="0.3">
      <c r="A81" s="72" t="s">
        <v>59</v>
      </c>
      <c r="B81" s="30">
        <v>0</v>
      </c>
      <c r="C81" s="127">
        <v>0</v>
      </c>
      <c r="D81" s="127">
        <v>0</v>
      </c>
      <c r="E81" s="127">
        <v>0</v>
      </c>
      <c r="F81" s="127">
        <v>0</v>
      </c>
      <c r="G81" s="63">
        <f t="shared" si="19"/>
        <v>0</v>
      </c>
      <c r="H81" s="103"/>
    </row>
    <row r="82" spans="1:12" x14ac:dyDescent="0.3">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x14ac:dyDescent="0.3">
      <c r="A83" s="50"/>
      <c r="B83" s="4"/>
      <c r="C83" s="4"/>
      <c r="D83" s="4"/>
      <c r="E83" s="4"/>
      <c r="F83" s="4"/>
      <c r="G83" s="54"/>
      <c r="H83" s="76"/>
      <c r="I83" s="76"/>
      <c r="J83" s="59"/>
    </row>
    <row r="84" spans="1:12" x14ac:dyDescent="0.3">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x14ac:dyDescent="0.3">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x14ac:dyDescent="0.3">
      <c r="A86" s="43"/>
      <c r="B86" s="67"/>
      <c r="C86" s="67"/>
      <c r="D86" s="67"/>
      <c r="E86" s="67"/>
      <c r="F86" s="67"/>
      <c r="G86" s="83"/>
      <c r="I86" s="59"/>
      <c r="J86" s="59"/>
    </row>
    <row r="87" spans="1:12" x14ac:dyDescent="0.3">
      <c r="A87" s="81" t="s">
        <v>80</v>
      </c>
      <c r="B87" s="68" t="str">
        <f>+B3</f>
        <v>August</v>
      </c>
      <c r="C87" s="68" t="str">
        <f>+C3</f>
        <v>September</v>
      </c>
      <c r="D87" s="68" t="str">
        <f>+D3</f>
        <v>October</v>
      </c>
      <c r="E87" s="68" t="str">
        <f>+E3</f>
        <v>November</v>
      </c>
      <c r="F87" s="68" t="str">
        <f>+F3</f>
        <v>December</v>
      </c>
      <c r="G87" s="68" t="str">
        <f>+F87</f>
        <v>December</v>
      </c>
    </row>
    <row r="88" spans="1:12" x14ac:dyDescent="0.3">
      <c r="A88" s="24"/>
      <c r="B88" s="69"/>
      <c r="C88" s="69"/>
      <c r="D88" s="69"/>
      <c r="E88" s="69"/>
      <c r="F88" s="69"/>
      <c r="G88" s="31" t="s">
        <v>24</v>
      </c>
    </row>
    <row r="89" spans="1:12" s="38" customFormat="1" x14ac:dyDescent="0.3">
      <c r="A89" s="50" t="s">
        <v>11</v>
      </c>
      <c r="B89" s="70"/>
      <c r="C89" s="70"/>
      <c r="D89" s="70"/>
      <c r="E89" s="70"/>
      <c r="F89" s="70"/>
      <c r="G89" s="25"/>
    </row>
    <row r="90" spans="1:12" s="38" customFormat="1" x14ac:dyDescent="0.3">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 x14ac:dyDescent="0.3">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 x14ac:dyDescent="0.3">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 x14ac:dyDescent="0.3">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x14ac:dyDescent="0.3">
      <c r="A94" s="50"/>
      <c r="B94" s="11"/>
      <c r="C94" s="11"/>
      <c r="D94" s="11"/>
      <c r="E94" s="11"/>
      <c r="F94" s="11"/>
      <c r="G94" s="11"/>
    </row>
    <row r="95" spans="1:12" s="38" customFormat="1" x14ac:dyDescent="0.3">
      <c r="A95" s="50" t="s">
        <v>12</v>
      </c>
      <c r="B95" s="11"/>
      <c r="C95" s="11"/>
      <c r="D95" s="11"/>
      <c r="E95" s="11"/>
      <c r="F95" s="11"/>
      <c r="G95" s="11"/>
    </row>
    <row r="96" spans="1:12" s="38" customFormat="1" ht="13" x14ac:dyDescent="0.3">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 x14ac:dyDescent="0.3">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 x14ac:dyDescent="0.3">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 x14ac:dyDescent="0.3">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 x14ac:dyDescent="0.2">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 x14ac:dyDescent="0.2">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 x14ac:dyDescent="0.3">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 x14ac:dyDescent="0.2">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 x14ac:dyDescent="0.2">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 hidden="1" x14ac:dyDescent="0.2">
      <c r="A105" s="114" t="str">
        <f t="shared" si="36"/>
        <v>Davies</v>
      </c>
      <c r="B105" s="120"/>
      <c r="C105" s="120"/>
      <c r="D105" s="120">
        <f t="shared" si="35"/>
        <v>-3710.16</v>
      </c>
      <c r="E105" s="120">
        <f t="shared" si="35"/>
        <v>-9152.15</v>
      </c>
      <c r="F105" s="120">
        <f t="shared" si="35"/>
        <v>-31073.43</v>
      </c>
      <c r="G105" s="122">
        <f>SUM(B105:D105)</f>
        <v>-3710.16</v>
      </c>
    </row>
    <row r="106" spans="1:7" s="116" customFormat="1" ht="9" hidden="1" x14ac:dyDescent="0.2">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 x14ac:dyDescent="0.3">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 x14ac:dyDescent="0.3">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 x14ac:dyDescent="0.3">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 x14ac:dyDescent="0.3">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 x14ac:dyDescent="0.3">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 x14ac:dyDescent="0.3">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x14ac:dyDescent="0.3">
      <c r="A113" s="23"/>
      <c r="B113" s="71"/>
      <c r="C113" s="71"/>
      <c r="D113" s="71"/>
      <c r="E113" s="71"/>
      <c r="F113" s="71"/>
      <c r="G113" s="71"/>
    </row>
    <row r="114" spans="1:7" x14ac:dyDescent="0.3">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x14ac:dyDescent="0.3">
      <c r="A115" s="77"/>
      <c r="B115" s="40"/>
      <c r="C115" s="40"/>
      <c r="D115" s="40"/>
      <c r="E115" s="40"/>
      <c r="F115" s="40"/>
      <c r="G115" s="25"/>
    </row>
    <row r="116" spans="1:7" x14ac:dyDescent="0.3">
      <c r="A116" s="9" t="s">
        <v>54</v>
      </c>
      <c r="B116" s="137">
        <v>0</v>
      </c>
      <c r="C116" s="137">
        <v>0</v>
      </c>
      <c r="D116" s="137">
        <v>0</v>
      </c>
      <c r="E116" s="137">
        <v>0</v>
      </c>
      <c r="F116" s="137">
        <f>+F152</f>
        <v>-20132.800000000003</v>
      </c>
      <c r="G116" s="137">
        <f>SUM(B116:F116)</f>
        <v>-20132.800000000003</v>
      </c>
    </row>
    <row r="117" spans="1:7" x14ac:dyDescent="0.3">
      <c r="A117" s="39"/>
      <c r="B117" s="140"/>
      <c r="C117" s="139"/>
      <c r="D117" s="140"/>
      <c r="E117" s="139"/>
      <c r="F117" s="135"/>
      <c r="G117" s="5"/>
    </row>
    <row r="118" spans="1:7" x14ac:dyDescent="0.3">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x14ac:dyDescent="0.3">
      <c r="A119" s="43"/>
      <c r="B119" s="14"/>
      <c r="C119" s="14"/>
      <c r="D119" s="14"/>
      <c r="E119" s="14"/>
      <c r="F119" s="14"/>
      <c r="G119" s="14"/>
    </row>
    <row r="120" spans="1:7" x14ac:dyDescent="0.3">
      <c r="A120" s="43"/>
      <c r="B120" s="14"/>
      <c r="C120" s="128"/>
      <c r="D120" s="128"/>
      <c r="E120" s="128"/>
      <c r="F120" s="128"/>
      <c r="G120" s="84"/>
    </row>
    <row r="121" spans="1:7" x14ac:dyDescent="0.3">
      <c r="A121" s="43"/>
      <c r="B121" s="60"/>
      <c r="C121" s="129"/>
      <c r="D121" s="129"/>
      <c r="E121" s="129"/>
      <c r="F121" s="129"/>
      <c r="G121" s="85"/>
    </row>
    <row r="122" spans="1:7" x14ac:dyDescent="0.3">
      <c r="A122" s="25" t="s">
        <v>81</v>
      </c>
      <c r="B122" s="70"/>
      <c r="C122" s="70"/>
      <c r="D122" s="70"/>
      <c r="E122" s="70"/>
      <c r="F122" s="70"/>
      <c r="G122" s="36"/>
    </row>
    <row r="123" spans="1:7" x14ac:dyDescent="0.3">
      <c r="A123" s="50"/>
      <c r="B123" s="11"/>
      <c r="C123" s="11"/>
      <c r="D123" s="11"/>
      <c r="E123" s="11"/>
      <c r="F123" s="11"/>
      <c r="G123" s="64"/>
    </row>
    <row r="124" spans="1:7" s="38" customFormat="1" x14ac:dyDescent="0.3">
      <c r="A124" s="50" t="s">
        <v>11</v>
      </c>
      <c r="B124" s="11"/>
      <c r="C124" s="11"/>
      <c r="D124" s="11"/>
      <c r="E124" s="11"/>
      <c r="F124" s="11"/>
      <c r="G124" s="64"/>
    </row>
    <row r="125" spans="1:7" s="38" customFormat="1" ht="13" x14ac:dyDescent="0.3">
      <c r="A125" s="72" t="s">
        <v>35</v>
      </c>
      <c r="B125" s="41">
        <v>0</v>
      </c>
      <c r="C125" s="124">
        <v>0</v>
      </c>
      <c r="D125" s="124">
        <v>4500</v>
      </c>
      <c r="E125" s="124">
        <f>4500+35000</f>
        <v>39500</v>
      </c>
      <c r="F125" s="124">
        <v>88843.63</v>
      </c>
      <c r="G125" s="89"/>
    </row>
    <row r="126" spans="1:7" s="38" customFormat="1" ht="13" x14ac:dyDescent="0.3">
      <c r="A126" s="72" t="s">
        <v>102</v>
      </c>
      <c r="B126" s="41">
        <v>0</v>
      </c>
      <c r="C126" s="124">
        <v>0</v>
      </c>
      <c r="D126" s="124">
        <v>112.5</v>
      </c>
      <c r="E126" s="124">
        <f>112.5+875</f>
        <v>987.5</v>
      </c>
      <c r="F126" s="124">
        <v>2410.36</v>
      </c>
      <c r="G126" s="89"/>
    </row>
    <row r="127" spans="1:7" s="38" customFormat="1" ht="13" x14ac:dyDescent="0.3">
      <c r="A127" s="72" t="s">
        <v>89</v>
      </c>
      <c r="B127" s="41">
        <v>61.59</v>
      </c>
      <c r="C127" s="124">
        <v>252.99</v>
      </c>
      <c r="D127" s="124">
        <f>252.99+192</f>
        <v>444.99</v>
      </c>
      <c r="E127" s="152">
        <f>252.99+192+292.1+28058.32-23323.62</f>
        <v>5471.7900000000009</v>
      </c>
      <c r="F127" s="124">
        <f>32965.1+1315.17-23323.62</f>
        <v>10956.649999999998</v>
      </c>
      <c r="G127" s="89"/>
    </row>
    <row r="128" spans="1:7" x14ac:dyDescent="0.3">
      <c r="A128" s="50" t="s">
        <v>8</v>
      </c>
      <c r="B128" s="11">
        <f>SUM(B125:B127)</f>
        <v>61.59</v>
      </c>
      <c r="C128" s="11">
        <f>SUM(C125:C127)</f>
        <v>252.99</v>
      </c>
      <c r="D128" s="11">
        <f>SUM(D125:D127)</f>
        <v>5057.49</v>
      </c>
      <c r="E128" s="11">
        <f>SUM(E125:E127)</f>
        <v>45959.29</v>
      </c>
      <c r="F128" s="11">
        <f>SUM(F125:F127)</f>
        <v>102210.64</v>
      </c>
      <c r="G128" s="36"/>
    </row>
    <row r="129" spans="1:7" x14ac:dyDescent="0.3">
      <c r="A129" s="50"/>
      <c r="B129" s="11"/>
      <c r="C129" s="11"/>
      <c r="D129" s="11"/>
      <c r="E129" s="11"/>
      <c r="F129" s="11"/>
      <c r="G129" s="76"/>
    </row>
    <row r="130" spans="1:7" s="38" customFormat="1" x14ac:dyDescent="0.3">
      <c r="A130" s="50" t="s">
        <v>12</v>
      </c>
      <c r="B130" s="11"/>
      <c r="C130" s="11"/>
      <c r="D130" s="11"/>
      <c r="E130" s="11"/>
      <c r="F130" s="11"/>
      <c r="G130" s="36"/>
    </row>
    <row r="131" spans="1:7" s="38" customFormat="1" ht="13" x14ac:dyDescent="0.3">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 x14ac:dyDescent="0.3">
      <c r="A132" s="72" t="s">
        <v>62</v>
      </c>
      <c r="B132" s="41">
        <v>0</v>
      </c>
      <c r="C132" s="124">
        <v>0</v>
      </c>
      <c r="D132" s="124">
        <v>0</v>
      </c>
      <c r="E132" s="124">
        <v>0</v>
      </c>
      <c r="F132" s="124">
        <f>-24111.11-11200</f>
        <v>-35311.11</v>
      </c>
      <c r="G132" s="111"/>
    </row>
    <row r="133" spans="1:7" s="38" customFormat="1" ht="13" x14ac:dyDescent="0.3">
      <c r="A133" s="72" t="s">
        <v>120</v>
      </c>
      <c r="B133" s="41">
        <v>0</v>
      </c>
      <c r="C133" s="124">
        <v>-833.33</v>
      </c>
      <c r="D133" s="124">
        <f>-833.33-5166.67</f>
        <v>-6000</v>
      </c>
      <c r="E133" s="124">
        <f>-833.33-5166.67-5000-384.35-5000</f>
        <v>-16384.349999999999</v>
      </c>
      <c r="F133" s="124">
        <v>-27948.080000000002</v>
      </c>
      <c r="G133" s="111"/>
    </row>
    <row r="134" spans="1:7" s="38" customFormat="1" ht="13" x14ac:dyDescent="0.3">
      <c r="A134" s="72" t="s">
        <v>97</v>
      </c>
      <c r="B134" s="41">
        <f>+B135+B136</f>
        <v>-108091.63</v>
      </c>
      <c r="C134" s="124">
        <f>+C135+C136</f>
        <v>-108091.63</v>
      </c>
      <c r="D134" s="124">
        <f>+D135+D136</f>
        <v>-108091.63</v>
      </c>
      <c r="E134" s="124">
        <f>+E135+E136</f>
        <v>-108091.63</v>
      </c>
      <c r="F134" s="124">
        <f>+F135+F136</f>
        <v>-108091.63</v>
      </c>
      <c r="G134" s="87"/>
    </row>
    <row r="135" spans="1:7" s="80" customFormat="1" ht="10" x14ac:dyDescent="0.2">
      <c r="A135" s="107" t="s">
        <v>98</v>
      </c>
      <c r="B135" s="49">
        <v>-91234.67</v>
      </c>
      <c r="C135" s="49">
        <v>-91234.67</v>
      </c>
      <c r="D135" s="49">
        <v>-91234.67</v>
      </c>
      <c r="E135" s="49">
        <v>-91234.67</v>
      </c>
      <c r="F135" s="49">
        <v>-91234.67</v>
      </c>
      <c r="G135" s="108"/>
    </row>
    <row r="136" spans="1:7" s="80" customFormat="1" ht="10" x14ac:dyDescent="0.2">
      <c r="A136" s="107" t="s">
        <v>99</v>
      </c>
      <c r="B136" s="49">
        <v>-16856.96</v>
      </c>
      <c r="C136" s="49">
        <v>-16856.96</v>
      </c>
      <c r="D136" s="49">
        <v>-16856.96</v>
      </c>
      <c r="E136" s="49">
        <v>-16856.96</v>
      </c>
      <c r="F136" s="49">
        <v>-16856.96</v>
      </c>
      <c r="G136" s="108"/>
    </row>
    <row r="137" spans="1:7" s="38" customFormat="1" ht="13" x14ac:dyDescent="0.3">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 x14ac:dyDescent="0.2">
      <c r="A138" s="107" t="s">
        <v>107</v>
      </c>
      <c r="B138" s="118">
        <v>0</v>
      </c>
      <c r="C138" s="118">
        <v>0</v>
      </c>
      <c r="D138" s="118">
        <v>0</v>
      </c>
      <c r="E138" s="118">
        <v>0</v>
      </c>
      <c r="F138" s="118">
        <v>-1459.77</v>
      </c>
      <c r="G138" s="108"/>
    </row>
    <row r="139" spans="1:7" s="80" customFormat="1" ht="10" x14ac:dyDescent="0.2">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 x14ac:dyDescent="0.2">
      <c r="A140" s="114" t="s">
        <v>104</v>
      </c>
      <c r="B140" s="120">
        <v>0</v>
      </c>
      <c r="C140" s="120">
        <v>0</v>
      </c>
      <c r="D140" s="120">
        <v>-3710.16</v>
      </c>
      <c r="E140" s="120">
        <f>-3710.16-9152.15</f>
        <v>-12862.31</v>
      </c>
      <c r="F140" s="120">
        <f>-3710.16-9152.15-13517.58-3638.68-13917.17</f>
        <v>-43935.74</v>
      </c>
      <c r="G140" s="115"/>
    </row>
    <row r="141" spans="1:7" s="116" customFormat="1" ht="9" x14ac:dyDescent="0.2">
      <c r="A141" s="114" t="s">
        <v>108</v>
      </c>
      <c r="B141" s="120">
        <v>0</v>
      </c>
      <c r="C141" s="120">
        <v>0</v>
      </c>
      <c r="D141" s="120">
        <v>-1075</v>
      </c>
      <c r="E141" s="120">
        <f>-1075-1075</f>
        <v>-2150</v>
      </c>
      <c r="F141" s="120">
        <v>-5375</v>
      </c>
      <c r="G141" s="115"/>
    </row>
    <row r="142" spans="1:7" s="116" customFormat="1" ht="9" x14ac:dyDescent="0.2">
      <c r="A142" s="114" t="s">
        <v>117</v>
      </c>
      <c r="B142" s="120">
        <v>0</v>
      </c>
      <c r="C142" s="120">
        <v>0</v>
      </c>
      <c r="D142" s="120">
        <v>0</v>
      </c>
      <c r="E142" s="120">
        <v>0</v>
      </c>
      <c r="F142" s="120">
        <v>-30000</v>
      </c>
      <c r="G142" s="115"/>
    </row>
    <row r="143" spans="1:7" s="38" customFormat="1" ht="13" x14ac:dyDescent="0.3">
      <c r="A143" s="72" t="s">
        <v>23</v>
      </c>
      <c r="B143" s="41">
        <v>-305</v>
      </c>
      <c r="C143" s="124">
        <v>-305</v>
      </c>
      <c r="D143" s="124">
        <f>-305-35-140</f>
        <v>-480</v>
      </c>
      <c r="E143" s="124">
        <f>-305-35-140-75</f>
        <v>-555</v>
      </c>
      <c r="F143" s="124">
        <v>-1155</v>
      </c>
      <c r="G143" s="86"/>
    </row>
    <row r="144" spans="1:7" s="38" customFormat="1" ht="13" x14ac:dyDescent="0.3">
      <c r="A144" s="72" t="s">
        <v>56</v>
      </c>
      <c r="B144" s="41">
        <v>0</v>
      </c>
      <c r="C144" s="124">
        <v>0</v>
      </c>
      <c r="D144" s="124">
        <v>0</v>
      </c>
      <c r="E144" s="124">
        <v>-2000</v>
      </c>
      <c r="F144" s="124">
        <v>-2750</v>
      </c>
      <c r="G144" s="86"/>
    </row>
    <row r="145" spans="1:8" s="38" customFormat="1" ht="13" x14ac:dyDescent="0.3">
      <c r="A145" s="72" t="s">
        <v>68</v>
      </c>
      <c r="B145" s="41">
        <v>0</v>
      </c>
      <c r="C145" s="124">
        <v>0</v>
      </c>
      <c r="D145" s="124">
        <v>0</v>
      </c>
      <c r="E145" s="124">
        <v>-3750</v>
      </c>
      <c r="F145" s="124">
        <v>0</v>
      </c>
      <c r="G145" s="86"/>
    </row>
    <row r="146" spans="1:8" s="38" customFormat="1" ht="13" x14ac:dyDescent="0.3">
      <c r="A146" s="72" t="s">
        <v>110</v>
      </c>
      <c r="B146" s="41">
        <v>0</v>
      </c>
      <c r="C146" s="124">
        <v>0</v>
      </c>
      <c r="D146" s="124">
        <v>0</v>
      </c>
      <c r="E146" s="124">
        <v>-10000</v>
      </c>
      <c r="F146" s="124">
        <f>-9800-10000</f>
        <v>-19800</v>
      </c>
      <c r="G146" s="86"/>
    </row>
    <row r="147" spans="1:8" s="38" customFormat="1" ht="13" x14ac:dyDescent="0.3">
      <c r="A147" s="72" t="s">
        <v>22</v>
      </c>
      <c r="B147" s="41">
        <v>0</v>
      </c>
      <c r="C147" s="124">
        <v>0</v>
      </c>
      <c r="D147" s="124">
        <v>0</v>
      </c>
      <c r="E147" s="124">
        <v>0</v>
      </c>
      <c r="F147" s="124">
        <v>-1359.19</v>
      </c>
      <c r="G147" s="86"/>
    </row>
    <row r="148" spans="1:8" x14ac:dyDescent="0.3">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x14ac:dyDescent="0.3">
      <c r="A149" s="23"/>
      <c r="B149" s="71"/>
      <c r="C149" s="71"/>
      <c r="D149" s="71"/>
      <c r="E149" s="71"/>
      <c r="F149" s="71"/>
      <c r="G149" s="36"/>
    </row>
    <row r="150" spans="1:8" x14ac:dyDescent="0.3">
      <c r="A150" s="16" t="s">
        <v>118</v>
      </c>
      <c r="B150" s="13">
        <f>+B128+B148</f>
        <v>-135321.38</v>
      </c>
      <c r="C150" s="13">
        <f>+C128+C148</f>
        <v>-172110.85098360662</v>
      </c>
      <c r="D150" s="13">
        <f>+D128+D148</f>
        <v>-227255.53098360662</v>
      </c>
      <c r="E150" s="130">
        <f>+E128+E148</f>
        <v>-291077.99098360661</v>
      </c>
      <c r="F150" s="13">
        <f>+F128+F148</f>
        <v>-474609.57999999996</v>
      </c>
      <c r="G150" s="84"/>
    </row>
    <row r="151" spans="1:8" x14ac:dyDescent="0.3">
      <c r="A151" s="77"/>
      <c r="B151" s="40"/>
      <c r="C151" s="40"/>
      <c r="D151" s="40"/>
      <c r="E151" s="40"/>
      <c r="F151" s="40"/>
      <c r="G151" s="84"/>
    </row>
    <row r="152" spans="1:8" x14ac:dyDescent="0.3">
      <c r="A152" s="9" t="s">
        <v>54</v>
      </c>
      <c r="B152" s="137">
        <v>0</v>
      </c>
      <c r="C152" s="137">
        <v>0</v>
      </c>
      <c r="D152" s="137">
        <v>0</v>
      </c>
      <c r="E152" s="137">
        <v>0</v>
      </c>
      <c r="F152" s="137">
        <f>101045.9-121178.7</f>
        <v>-20132.800000000003</v>
      </c>
      <c r="G152" s="151"/>
    </row>
    <row r="153" spans="1:8" x14ac:dyDescent="0.3">
      <c r="A153" s="39"/>
      <c r="B153" s="140"/>
      <c r="C153" s="139"/>
      <c r="D153" s="140"/>
      <c r="E153" s="139"/>
      <c r="F153" s="135"/>
      <c r="G153" s="84"/>
    </row>
    <row r="154" spans="1:8" x14ac:dyDescent="0.3">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x14ac:dyDescent="0.3">
      <c r="A156" s="3"/>
      <c r="B156" s="93">
        <f>+B37-B85</f>
        <v>0</v>
      </c>
      <c r="C156" s="93">
        <f>+C37-C85</f>
        <v>2.4590166285634041E-3</v>
      </c>
      <c r="D156" s="93">
        <f>+D37-D85</f>
        <v>9.8360516130924225E-4</v>
      </c>
      <c r="E156" s="93">
        <f>+E37-E85</f>
        <v>-9.0163927525281906E-3</v>
      </c>
      <c r="F156" s="93">
        <f>+F37-F85</f>
        <v>0</v>
      </c>
      <c r="G156" s="90"/>
    </row>
    <row r="159" spans="1:8" x14ac:dyDescent="0.3">
      <c r="A159" s="3"/>
      <c r="B159" s="15"/>
      <c r="C159" s="15"/>
      <c r="D159" s="15"/>
      <c r="E159" s="15"/>
      <c r="F159" s="141"/>
    </row>
    <row r="160" spans="1:8" x14ac:dyDescent="0.3">
      <c r="A160" s="3"/>
      <c r="B160" s="90"/>
      <c r="C160" s="90"/>
      <c r="D160" s="90"/>
      <c r="E160" s="90"/>
      <c r="F160" s="26"/>
    </row>
    <row r="162" spans="1:6" x14ac:dyDescent="0.3">
      <c r="A162" s="3"/>
      <c r="B162" s="93"/>
      <c r="C162" s="93"/>
      <c r="D162" s="93"/>
      <c r="E162" s="93"/>
      <c r="F162" s="93"/>
    </row>
  </sheetData>
  <phoneticPr fontId="2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dimension ref="A1:M184"/>
  <sheetViews>
    <sheetView showGridLines="0" tabSelected="1" topLeftCell="A78" workbookViewId="0">
      <selection activeCell="F131" sqref="F131"/>
    </sheetView>
  </sheetViews>
  <sheetFormatPr defaultColWidth="11.453125" defaultRowHeight="14" x14ac:dyDescent="0.3"/>
  <cols>
    <col min="1" max="1" width="39.81640625" style="1" customWidth="1"/>
    <col min="2" max="4" width="18" style="1" customWidth="1"/>
    <col min="5" max="5" width="16.26953125" style="48" customWidth="1"/>
    <col min="6" max="6" width="17.453125" style="3" bestFit="1" customWidth="1"/>
    <col min="7" max="7" width="17.54296875" style="3" bestFit="1" customWidth="1"/>
    <col min="8" max="8" width="14.26953125" style="3" customWidth="1"/>
    <col min="9" max="9" width="16" style="3" bestFit="1" customWidth="1"/>
    <col min="10" max="16384" width="11.453125" style="3"/>
  </cols>
  <sheetData>
    <row r="1" spans="1:7" ht="15.5" x14ac:dyDescent="0.35">
      <c r="A1" s="27" t="s">
        <v>123</v>
      </c>
    </row>
    <row r="3" spans="1:7" ht="28" x14ac:dyDescent="0.3">
      <c r="A3" s="73" t="s">
        <v>124</v>
      </c>
      <c r="B3" s="2" t="s">
        <v>52</v>
      </c>
      <c r="C3" s="2" t="s">
        <v>55</v>
      </c>
      <c r="D3" s="2" t="s">
        <v>57</v>
      </c>
      <c r="E3" s="82" t="s">
        <v>25</v>
      </c>
    </row>
    <row r="4" spans="1:7" x14ac:dyDescent="0.3">
      <c r="A4" s="3"/>
      <c r="E4" s="36"/>
    </row>
    <row r="5" spans="1:7" x14ac:dyDescent="0.3">
      <c r="A5" s="25" t="s">
        <v>2</v>
      </c>
      <c r="B5" s="7"/>
      <c r="C5" s="7"/>
      <c r="D5" s="7"/>
      <c r="E5" s="20"/>
    </row>
    <row r="6" spans="1:7" x14ac:dyDescent="0.3">
      <c r="A6" s="50"/>
      <c r="B6" s="8"/>
      <c r="C6" s="8"/>
      <c r="D6" s="8"/>
      <c r="E6" s="18"/>
    </row>
    <row r="7" spans="1:7" x14ac:dyDescent="0.3">
      <c r="A7" s="50" t="s">
        <v>9</v>
      </c>
      <c r="B7" s="28">
        <f>+B8+B10+B9</f>
        <v>5772836.9100000001</v>
      </c>
      <c r="C7" s="28">
        <f>+C8+C10+C9</f>
        <v>8823443.9699999988</v>
      </c>
      <c r="D7" s="28">
        <f>+D8+D10+D9</f>
        <v>8283696.6600000001</v>
      </c>
      <c r="E7" s="18">
        <f>D7/$D$63</f>
        <v>0.23093834135409691</v>
      </c>
    </row>
    <row r="8" spans="1:7" s="21" customFormat="1" ht="13" x14ac:dyDescent="0.3">
      <c r="A8" s="72" t="s">
        <v>21</v>
      </c>
      <c r="B8" s="112">
        <v>5763609.1600000001</v>
      </c>
      <c r="C8" s="112">
        <v>8014216.2199999997</v>
      </c>
      <c r="D8" s="112">
        <v>8235026.6200000001</v>
      </c>
      <c r="E8" s="113">
        <f>+D8/$D$63</f>
        <v>0.2295814859823265</v>
      </c>
      <c r="F8" s="150"/>
    </row>
    <row r="9" spans="1:7" s="21" customFormat="1" ht="13" hidden="1" x14ac:dyDescent="0.3">
      <c r="A9" s="72" t="s">
        <v>121</v>
      </c>
      <c r="B9" s="112">
        <v>0</v>
      </c>
      <c r="C9" s="112">
        <v>0</v>
      </c>
      <c r="D9" s="112"/>
      <c r="E9" s="113">
        <f t="shared" ref="E9:E10" si="0">+D9/$D$63</f>
        <v>0</v>
      </c>
      <c r="F9" s="105"/>
    </row>
    <row r="10" spans="1:7" s="21" customFormat="1" x14ac:dyDescent="0.3">
      <c r="A10" s="72" t="s">
        <v>105</v>
      </c>
      <c r="B10" s="112">
        <v>9227.75</v>
      </c>
      <c r="C10" s="112">
        <v>809227.75</v>
      </c>
      <c r="D10" s="112">
        <v>48670.04</v>
      </c>
      <c r="E10" s="113">
        <f t="shared" si="0"/>
        <v>1.3568553717704037E-3</v>
      </c>
      <c r="F10" s="148"/>
      <c r="G10" s="76"/>
    </row>
    <row r="11" spans="1:7" x14ac:dyDescent="0.3">
      <c r="A11" s="50" t="s">
        <v>103</v>
      </c>
      <c r="B11" s="28">
        <f>+B21+B12</f>
        <v>18164580.170000002</v>
      </c>
      <c r="C11" s="28">
        <f>+C21+C12</f>
        <v>18983682.469999999</v>
      </c>
      <c r="D11" s="28">
        <f>+D21+D12</f>
        <v>27586036.410000004</v>
      </c>
      <c r="E11" s="18">
        <f>+D11/D63</f>
        <v>0.76906165864590303</v>
      </c>
      <c r="F11" s="76"/>
      <c r="G11" s="38"/>
    </row>
    <row r="12" spans="1:7" x14ac:dyDescent="0.3">
      <c r="A12" s="29" t="s">
        <v>127</v>
      </c>
      <c r="B12" s="28">
        <f>+B13</f>
        <v>4983063.8900000006</v>
      </c>
      <c r="C12" s="28">
        <f>+C13</f>
        <v>5017052.7799999993</v>
      </c>
      <c r="D12" s="28">
        <f>+D13+D17</f>
        <v>9047250</v>
      </c>
      <c r="E12" s="18">
        <f>+D12/D63</f>
        <v>0.25222518334173927</v>
      </c>
      <c r="F12" s="76"/>
      <c r="G12" s="38"/>
    </row>
    <row r="13" spans="1:7" s="38" customFormat="1" ht="13" x14ac:dyDescent="0.3">
      <c r="A13" s="72" t="s">
        <v>125</v>
      </c>
      <c r="B13" s="112">
        <f>SUM(B14:B16)</f>
        <v>4983063.8900000006</v>
      </c>
      <c r="C13" s="112">
        <f>SUM(C14:C16)</f>
        <v>5017052.7799999993</v>
      </c>
      <c r="D13" s="112">
        <f>SUM(D14:D16)</f>
        <v>5054683.34</v>
      </c>
      <c r="E13" s="113">
        <f t="shared" ref="E13:E20" si="1">+D13/$D$63</f>
        <v>0.14091778520168394</v>
      </c>
    </row>
    <row r="14" spans="1:7" s="38" customFormat="1" ht="13" x14ac:dyDescent="0.3">
      <c r="A14" s="72" t="s">
        <v>26</v>
      </c>
      <c r="B14" s="112">
        <v>5000000</v>
      </c>
      <c r="C14" s="112">
        <v>5000000</v>
      </c>
      <c r="D14" s="112">
        <v>5000000</v>
      </c>
      <c r="E14" s="113">
        <f t="shared" si="1"/>
        <v>0.13939328709925075</v>
      </c>
    </row>
    <row r="15" spans="1:7" s="38" customFormat="1" ht="13" x14ac:dyDescent="0.3">
      <c r="A15" s="72" t="s">
        <v>18</v>
      </c>
      <c r="B15" s="112">
        <v>22536.11</v>
      </c>
      <c r="C15" s="112">
        <v>55747.22</v>
      </c>
      <c r="D15" s="112">
        <v>92516.67</v>
      </c>
      <c r="E15" s="113">
        <f t="shared" si="1"/>
        <v>2.5792405485553279E-3</v>
      </c>
      <c r="F15" s="44"/>
    </row>
    <row r="16" spans="1:7" s="38" customFormat="1" ht="13" x14ac:dyDescent="0.3">
      <c r="A16" s="72" t="s">
        <v>101</v>
      </c>
      <c r="B16" s="112">
        <v>-39472.22</v>
      </c>
      <c r="C16" s="112">
        <v>-38694.44</v>
      </c>
      <c r="D16" s="112">
        <v>-37833.33</v>
      </c>
      <c r="E16" s="113">
        <f t="shared" si="1"/>
        <v>-1.0547424461221392E-3</v>
      </c>
      <c r="F16" s="44"/>
    </row>
    <row r="17" spans="1:9" s="38" customFormat="1" ht="13" x14ac:dyDescent="0.3">
      <c r="A17" s="72" t="s">
        <v>149</v>
      </c>
      <c r="B17" s="112">
        <f>SUM(B18:B20)</f>
        <v>0</v>
      </c>
      <c r="C17" s="112">
        <f>SUM(C18:C20)</f>
        <v>0</v>
      </c>
      <c r="D17" s="112">
        <f>SUM(D18:D20)</f>
        <v>3992566.66</v>
      </c>
      <c r="E17" s="113">
        <f t="shared" si="1"/>
        <v>0.11130739814005533</v>
      </c>
      <c r="F17" s="44"/>
    </row>
    <row r="18" spans="1:9" s="38" customFormat="1" ht="13" x14ac:dyDescent="0.3">
      <c r="A18" s="72" t="s">
        <v>26</v>
      </c>
      <c r="B18" s="112">
        <v>0</v>
      </c>
      <c r="C18" s="112">
        <v>0</v>
      </c>
      <c r="D18" s="112">
        <v>4000000</v>
      </c>
      <c r="E18" s="113">
        <f t="shared" si="1"/>
        <v>0.1115146296794006</v>
      </c>
    </row>
    <row r="19" spans="1:9" s="38" customFormat="1" ht="13" x14ac:dyDescent="0.3">
      <c r="A19" s="72" t="s">
        <v>18</v>
      </c>
      <c r="B19" s="112">
        <v>0</v>
      </c>
      <c r="C19" s="112">
        <v>0</v>
      </c>
      <c r="D19" s="112">
        <v>31733.33</v>
      </c>
      <c r="E19" s="113">
        <f t="shared" si="1"/>
        <v>8.846826358610534E-4</v>
      </c>
    </row>
    <row r="20" spans="1:9" s="38" customFormat="1" ht="13" x14ac:dyDescent="0.3">
      <c r="A20" s="72" t="s">
        <v>101</v>
      </c>
      <c r="B20" s="112">
        <v>0</v>
      </c>
      <c r="C20" s="112">
        <v>0</v>
      </c>
      <c r="D20" s="112">
        <v>-39166.67</v>
      </c>
      <c r="E20" s="113">
        <f t="shared" si="1"/>
        <v>-1.0919141752063221E-3</v>
      </c>
    </row>
    <row r="21" spans="1:9" s="38" customFormat="1" ht="13" x14ac:dyDescent="0.3">
      <c r="A21" s="72" t="s">
        <v>100</v>
      </c>
      <c r="B21" s="112">
        <f>+B22+B26+B30+B34+B38+B42+B46</f>
        <v>13181516.280000003</v>
      </c>
      <c r="C21" s="112">
        <f>+C22+C26+C30+C34+C38+C42+C46+C50</f>
        <v>13966629.690000001</v>
      </c>
      <c r="D21" s="112">
        <f>+D22+D26+D30+D34+D38+D42+D46+D50+D54+D58</f>
        <v>18538786.410000004</v>
      </c>
      <c r="E21" s="113">
        <f>+D21/D63</f>
        <v>0.51683647530416377</v>
      </c>
      <c r="F21" s="148"/>
      <c r="G21" s="148"/>
      <c r="I21" s="148"/>
    </row>
    <row r="22" spans="1:9" s="38" customFormat="1" ht="13" x14ac:dyDescent="0.3">
      <c r="A22" s="72" t="s">
        <v>128</v>
      </c>
      <c r="B22" s="112">
        <f>SUM(B23:B25)</f>
        <v>2977854.16</v>
      </c>
      <c r="C22" s="112">
        <f>SUM(C23:C25)</f>
        <v>3001770.83</v>
      </c>
      <c r="D22" s="112">
        <f t="shared" ref="D22" si="2">SUM(D23:D25)</f>
        <v>3028249.99</v>
      </c>
      <c r="E22" s="113">
        <f t="shared" ref="E22:E61" si="3">+D22/$D$63</f>
        <v>8.4423544052874652E-2</v>
      </c>
      <c r="F22" s="148"/>
      <c r="G22" s="148"/>
      <c r="I22" s="148"/>
    </row>
    <row r="23" spans="1:9" s="38" customFormat="1" ht="13" x14ac:dyDescent="0.3">
      <c r="A23" s="72" t="s">
        <v>26</v>
      </c>
      <c r="B23" s="112">
        <v>3000000</v>
      </c>
      <c r="C23" s="112">
        <v>3000000</v>
      </c>
      <c r="D23" s="112">
        <v>3000000</v>
      </c>
      <c r="E23" s="113">
        <f t="shared" si="3"/>
        <v>8.3635972259550453E-2</v>
      </c>
      <c r="F23" s="148"/>
      <c r="G23" s="46"/>
      <c r="I23" s="148"/>
    </row>
    <row r="24" spans="1:9" s="38" customFormat="1" ht="13" x14ac:dyDescent="0.3">
      <c r="A24" s="72" t="s">
        <v>18</v>
      </c>
      <c r="B24" s="112">
        <v>5833.33</v>
      </c>
      <c r="C24" s="112">
        <v>29166.66</v>
      </c>
      <c r="D24" s="112">
        <v>54999.99</v>
      </c>
      <c r="E24" s="113">
        <f t="shared" si="3"/>
        <v>1.5333258793051839E-3</v>
      </c>
      <c r="G24" s="44"/>
      <c r="H24" s="148"/>
      <c r="I24" s="148"/>
    </row>
    <row r="25" spans="1:9" s="38" customFormat="1" ht="13" x14ac:dyDescent="0.3">
      <c r="A25" s="72" t="s">
        <v>101</v>
      </c>
      <c r="B25" s="112">
        <v>-27979.17</v>
      </c>
      <c r="C25" s="112">
        <v>-27395.83</v>
      </c>
      <c r="D25" s="112">
        <v>-26750</v>
      </c>
      <c r="E25" s="113">
        <f t="shared" si="3"/>
        <v>-7.4575408598099148E-4</v>
      </c>
      <c r="G25" s="46"/>
      <c r="H25" s="148"/>
    </row>
    <row r="26" spans="1:9" s="38" customFormat="1" ht="13" x14ac:dyDescent="0.3">
      <c r="A26" s="72" t="s">
        <v>129</v>
      </c>
      <c r="B26" s="112">
        <f>SUM(B27:B29)</f>
        <v>1190441.6499999999</v>
      </c>
      <c r="C26" s="112">
        <f>SUM(C27:C29)</f>
        <v>1200008.32</v>
      </c>
      <c r="D26" s="112">
        <f t="shared" ref="D26" si="4">SUM(D27:D29)</f>
        <v>1210599.99</v>
      </c>
      <c r="E26" s="113">
        <f t="shared" si="3"/>
        <v>3.3749902393684014E-2</v>
      </c>
      <c r="H26" s="148"/>
    </row>
    <row r="27" spans="1:9" s="38" customFormat="1" ht="13" x14ac:dyDescent="0.3">
      <c r="A27" s="72" t="s">
        <v>26</v>
      </c>
      <c r="B27" s="112">
        <v>1200000</v>
      </c>
      <c r="C27" s="112">
        <v>1200000</v>
      </c>
      <c r="D27" s="112">
        <v>1200000</v>
      </c>
      <c r="E27" s="113">
        <f t="shared" si="3"/>
        <v>3.345438890382018E-2</v>
      </c>
      <c r="G27" s="148"/>
      <c r="H27" s="148"/>
    </row>
    <row r="28" spans="1:9" s="38" customFormat="1" ht="13" x14ac:dyDescent="0.3">
      <c r="A28" s="72" t="s">
        <v>18</v>
      </c>
      <c r="B28" s="112">
        <v>1666.66</v>
      </c>
      <c r="C28" s="112">
        <v>10999.99</v>
      </c>
      <c r="D28" s="112">
        <v>21333.32</v>
      </c>
      <c r="E28" s="113">
        <f t="shared" si="3"/>
        <v>5.9474431990803758E-4</v>
      </c>
      <c r="H28" s="148"/>
    </row>
    <row r="29" spans="1:9" s="38" customFormat="1" ht="13" x14ac:dyDescent="0.3">
      <c r="A29" s="72" t="s">
        <v>101</v>
      </c>
      <c r="B29" s="112">
        <v>-11225.01</v>
      </c>
      <c r="C29" s="112">
        <v>-10991.67</v>
      </c>
      <c r="D29" s="112">
        <v>-10733.33</v>
      </c>
      <c r="E29" s="113">
        <f t="shared" si="3"/>
        <v>-2.992308300442002E-4</v>
      </c>
      <c r="F29" s="148"/>
      <c r="H29" s="172"/>
    </row>
    <row r="30" spans="1:9" s="38" customFormat="1" ht="13" x14ac:dyDescent="0.3">
      <c r="A30" s="72" t="s">
        <v>111</v>
      </c>
      <c r="B30" s="112">
        <f>SUM(B31:B33)</f>
        <v>754227.88</v>
      </c>
      <c r="C30" s="112">
        <f>SUM(C31:C33)</f>
        <v>759631.34</v>
      </c>
      <c r="D30" s="112">
        <f t="shared" ref="D30" si="5">SUM(D31:D33)</f>
        <v>765326.02999999991</v>
      </c>
      <c r="E30" s="113">
        <f t="shared" si="3"/>
        <v>2.1336262204863957E-2</v>
      </c>
      <c r="F30" s="148"/>
      <c r="H30" s="148"/>
    </row>
    <row r="31" spans="1:9" s="38" customFormat="1" ht="13" x14ac:dyDescent="0.3">
      <c r="A31" s="72" t="s">
        <v>26</v>
      </c>
      <c r="B31" s="112">
        <v>750000</v>
      </c>
      <c r="C31" s="112">
        <v>750000</v>
      </c>
      <c r="D31" s="112">
        <v>750000</v>
      </c>
      <c r="E31" s="113">
        <f t="shared" si="3"/>
        <v>2.0908993064887613E-2</v>
      </c>
      <c r="F31" s="148"/>
      <c r="H31" s="172"/>
    </row>
    <row r="32" spans="1:9" s="38" customFormat="1" ht="13" x14ac:dyDescent="0.3">
      <c r="A32" s="72" t="s">
        <v>18</v>
      </c>
      <c r="B32" s="112">
        <v>9937.5</v>
      </c>
      <c r="C32" s="112">
        <v>15187.5</v>
      </c>
      <c r="D32" s="112">
        <v>20712.330000000002</v>
      </c>
      <c r="E32" s="113">
        <f t="shared" si="3"/>
        <v>5.7743195243688489E-4</v>
      </c>
      <c r="F32" s="148"/>
      <c r="H32" s="148"/>
    </row>
    <row r="33" spans="1:7" s="38" customFormat="1" ht="13" x14ac:dyDescent="0.3">
      <c r="A33" s="72" t="s">
        <v>101</v>
      </c>
      <c r="B33" s="112">
        <v>-5709.62</v>
      </c>
      <c r="C33" s="112">
        <v>-5556.16</v>
      </c>
      <c r="D33" s="112">
        <v>-5386.3</v>
      </c>
      <c r="E33" s="113">
        <f t="shared" si="3"/>
        <v>-1.5016281246053886E-4</v>
      </c>
    </row>
    <row r="34" spans="1:7" s="38" customFormat="1" ht="13" x14ac:dyDescent="0.3">
      <c r="A34" s="72" t="s">
        <v>112</v>
      </c>
      <c r="B34" s="112">
        <f>SUM(B35:B37)</f>
        <v>4801158.1999999993</v>
      </c>
      <c r="C34" s="112">
        <f>SUM(C35:C37)</f>
        <v>4740583.6199999992</v>
      </c>
      <c r="D34" s="112">
        <f t="shared" ref="D34" si="6">SUM(D35:D37)</f>
        <v>4546765.0200000005</v>
      </c>
      <c r="E34" s="113">
        <f t="shared" si="3"/>
        <v>0.12675770436113812</v>
      </c>
    </row>
    <row r="35" spans="1:7" s="38" customFormat="1" ht="13" x14ac:dyDescent="0.3">
      <c r="A35" s="72" t="s">
        <v>26</v>
      </c>
      <c r="B35" s="112">
        <v>4813890.3099999996</v>
      </c>
      <c r="C35" s="112">
        <v>4727650.72</v>
      </c>
      <c r="D35" s="112">
        <v>4585299.08</v>
      </c>
      <c r="E35" s="113">
        <f t="shared" si="3"/>
        <v>0.12783198221887407</v>
      </c>
    </row>
    <row r="36" spans="1:7" s="38" customFormat="1" ht="13" x14ac:dyDescent="0.3">
      <c r="A36" s="72" t="s">
        <v>18</v>
      </c>
      <c r="B36" s="112">
        <v>35462.33</v>
      </c>
      <c r="C36" s="112">
        <v>59831.05</v>
      </c>
      <c r="D36" s="112">
        <v>6928.9</v>
      </c>
      <c r="E36" s="113">
        <f t="shared" si="3"/>
        <v>1.9316842939639969E-4</v>
      </c>
      <c r="G36" s="148"/>
    </row>
    <row r="37" spans="1:7" s="38" customFormat="1" ht="13" x14ac:dyDescent="0.3">
      <c r="A37" s="72" t="s">
        <v>101</v>
      </c>
      <c r="B37" s="112">
        <v>-48194.44</v>
      </c>
      <c r="C37" s="112">
        <v>-46898.15</v>
      </c>
      <c r="D37" s="112">
        <v>-45462.96</v>
      </c>
      <c r="E37" s="113">
        <f t="shared" si="3"/>
        <v>-1.2674462871323504E-3</v>
      </c>
    </row>
    <row r="38" spans="1:7" s="38" customFormat="1" ht="13" x14ac:dyDescent="0.3">
      <c r="A38" s="72" t="s">
        <v>113</v>
      </c>
      <c r="B38" s="112">
        <f>SUM(B39:B41)</f>
        <v>1959959.6300000001</v>
      </c>
      <c r="C38" s="112">
        <f>SUM(C39:C41)</f>
        <v>1924952.14</v>
      </c>
      <c r="D38" s="112">
        <f t="shared" ref="D38" si="7">SUM(D39:D41)</f>
        <v>1973882.46</v>
      </c>
      <c r="E38" s="113">
        <f t="shared" si="3"/>
        <v>5.5029192889391065E-2</v>
      </c>
    </row>
    <row r="39" spans="1:7" s="38" customFormat="1" ht="13" x14ac:dyDescent="0.3">
      <c r="A39" s="72" t="s">
        <v>26</v>
      </c>
      <c r="B39" s="112">
        <v>1955361.94</v>
      </c>
      <c r="C39" s="112">
        <v>1900730.38</v>
      </c>
      <c r="D39" s="112">
        <v>1923776.24</v>
      </c>
      <c r="E39" s="113">
        <f t="shared" si="3"/>
        <v>5.3632298747407423E-2</v>
      </c>
    </row>
    <row r="40" spans="1:7" s="38" customFormat="1" ht="13" x14ac:dyDescent="0.3">
      <c r="A40" s="72" t="s">
        <v>18</v>
      </c>
      <c r="B40" s="112">
        <v>24139.35</v>
      </c>
      <c r="C40" s="112">
        <v>43374.54</v>
      </c>
      <c r="D40" s="112">
        <v>68828.44</v>
      </c>
      <c r="E40" s="113">
        <f t="shared" si="3"/>
        <v>1.918844499502711E-3</v>
      </c>
    </row>
    <row r="41" spans="1:7" s="38" customFormat="1" ht="13" x14ac:dyDescent="0.3">
      <c r="A41" s="72" t="s">
        <v>101</v>
      </c>
      <c r="B41" s="112">
        <v>-19541.66</v>
      </c>
      <c r="C41" s="112">
        <v>-19152.78</v>
      </c>
      <c r="D41" s="112">
        <v>-18722.22</v>
      </c>
      <c r="E41" s="113">
        <f t="shared" si="3"/>
        <v>-5.2195035751906695E-4</v>
      </c>
    </row>
    <row r="42" spans="1:7" s="38" customFormat="1" ht="13" x14ac:dyDescent="0.3">
      <c r="A42" s="72" t="s">
        <v>114</v>
      </c>
      <c r="B42" s="112">
        <f>SUM(B43:B45)</f>
        <v>500703.63</v>
      </c>
      <c r="C42" s="112">
        <f>SUM(C43:C45)</f>
        <v>505077.39999999997</v>
      </c>
      <c r="D42" s="112">
        <f t="shared" ref="D42" si="8">SUM(D43:D45)</f>
        <v>513530.51</v>
      </c>
      <c r="E42" s="113">
        <f t="shared" si="3"/>
        <v>1.4316541162930931E-2</v>
      </c>
    </row>
    <row r="43" spans="1:7" s="38" customFormat="1" ht="13" x14ac:dyDescent="0.3">
      <c r="A43" s="72" t="s">
        <v>26</v>
      </c>
      <c r="B43" s="112">
        <v>500321.74</v>
      </c>
      <c r="C43" s="112">
        <v>500506.67</v>
      </c>
      <c r="D43" s="112">
        <v>501573.2</v>
      </c>
      <c r="E43" s="113">
        <f t="shared" si="3"/>
        <v>1.3983187413777983E-2</v>
      </c>
    </row>
    <row r="44" spans="1:7" s="38" customFormat="1" ht="13" x14ac:dyDescent="0.3">
      <c r="A44" s="72" t="s">
        <v>18</v>
      </c>
      <c r="B44" s="112">
        <v>5238.37</v>
      </c>
      <c r="C44" s="112">
        <v>9316.1</v>
      </c>
      <c r="D44" s="112">
        <v>16559.16</v>
      </c>
      <c r="E44" s="113">
        <f t="shared" si="3"/>
        <v>4.616471488004858E-4</v>
      </c>
    </row>
    <row r="45" spans="1:7" s="38" customFormat="1" ht="13" x14ac:dyDescent="0.3">
      <c r="A45" s="72" t="s">
        <v>101</v>
      </c>
      <c r="B45" s="112">
        <v>-4856.4799999999996</v>
      </c>
      <c r="C45" s="112">
        <v>-4745.37</v>
      </c>
      <c r="D45" s="112">
        <v>-4601.8500000000004</v>
      </c>
      <c r="E45" s="113">
        <f t="shared" si="3"/>
        <v>-1.2829339964753742E-4</v>
      </c>
    </row>
    <row r="46" spans="1:7" s="38" customFormat="1" ht="13" x14ac:dyDescent="0.3">
      <c r="A46" s="72" t="s">
        <v>126</v>
      </c>
      <c r="B46" s="112">
        <f>SUM(B47:B49)</f>
        <v>997171.13</v>
      </c>
      <c r="C46" s="112">
        <f>SUM(C47:C49)</f>
        <v>1001021.65</v>
      </c>
      <c r="D46" s="112">
        <f t="shared" ref="D46" si="9">SUM(D47:D49)</f>
        <v>977467.05</v>
      </c>
      <c r="E46" s="113">
        <f t="shared" si="3"/>
        <v>2.725046902614154E-2</v>
      </c>
    </row>
    <row r="47" spans="1:7" s="38" customFormat="1" ht="13" x14ac:dyDescent="0.3">
      <c r="A47" s="72" t="s">
        <v>26</v>
      </c>
      <c r="B47" s="112">
        <v>994499.45</v>
      </c>
      <c r="C47" s="112">
        <v>991499.86</v>
      </c>
      <c r="D47" s="112">
        <v>963239.21</v>
      </c>
      <c r="E47" s="113">
        <f t="shared" si="3"/>
        <v>2.6853815948957097E-2</v>
      </c>
    </row>
    <row r="48" spans="1:7" s="38" customFormat="1" ht="13" x14ac:dyDescent="0.3">
      <c r="A48" s="72" t="s">
        <v>18</v>
      </c>
      <c r="B48" s="112">
        <v>4618.8999999999996</v>
      </c>
      <c r="C48" s="112">
        <v>11391.23</v>
      </c>
      <c r="D48" s="112">
        <v>16011.17</v>
      </c>
      <c r="E48" s="113">
        <f t="shared" si="3"/>
        <v>4.4636992332098213E-4</v>
      </c>
    </row>
    <row r="49" spans="1:7" s="38" customFormat="1" ht="13" x14ac:dyDescent="0.3">
      <c r="A49" s="72" t="s">
        <v>101</v>
      </c>
      <c r="B49" s="112">
        <v>-1947.22</v>
      </c>
      <c r="C49" s="112">
        <v>-1869.44</v>
      </c>
      <c r="D49" s="112">
        <v>-1783.33</v>
      </c>
      <c r="E49" s="113">
        <f t="shared" si="3"/>
        <v>-4.9716846136541363E-5</v>
      </c>
    </row>
    <row r="50" spans="1:7" s="38" customFormat="1" ht="13" x14ac:dyDescent="0.3">
      <c r="A50" s="72" t="s">
        <v>134</v>
      </c>
      <c r="B50" s="112">
        <f>SUM(B51:B53)</f>
        <v>0</v>
      </c>
      <c r="C50" s="112">
        <f>SUM(C51:C53)</f>
        <v>833584.39</v>
      </c>
      <c r="D50" s="112">
        <f t="shared" ref="D50" si="10">SUM(D51:D53)</f>
        <v>841166.17999999993</v>
      </c>
      <c r="E50" s="113">
        <f t="shared" si="3"/>
        <v>2.3450583765384003E-2</v>
      </c>
    </row>
    <row r="51" spans="1:7" s="38" customFormat="1" ht="13" x14ac:dyDescent="0.3">
      <c r="A51" s="72" t="s">
        <v>26</v>
      </c>
      <c r="B51" s="112">
        <v>0</v>
      </c>
      <c r="C51" s="112">
        <v>840000</v>
      </c>
      <c r="D51" s="112">
        <v>840000</v>
      </c>
      <c r="E51" s="113">
        <f t="shared" si="3"/>
        <v>2.3418072232674125E-2</v>
      </c>
    </row>
    <row r="52" spans="1:7" s="38" customFormat="1" ht="13" x14ac:dyDescent="0.3">
      <c r="A52" s="72" t="s">
        <v>18</v>
      </c>
      <c r="B52" s="112">
        <v>0</v>
      </c>
      <c r="C52" s="112">
        <v>1932</v>
      </c>
      <c r="D52" s="112">
        <v>9333.33</v>
      </c>
      <c r="E52" s="113">
        <f t="shared" si="3"/>
        <v>2.6020070965641001E-4</v>
      </c>
    </row>
    <row r="53" spans="1:7" s="38" customFormat="1" ht="13" x14ac:dyDescent="0.3">
      <c r="A53" s="72" t="s">
        <v>101</v>
      </c>
      <c r="B53" s="112">
        <v>0</v>
      </c>
      <c r="C53" s="112">
        <v>-8347.61</v>
      </c>
      <c r="D53" s="112">
        <v>-8167.15</v>
      </c>
      <c r="E53" s="113">
        <f t="shared" si="3"/>
        <v>-2.2768917694652915E-4</v>
      </c>
    </row>
    <row r="54" spans="1:7" s="38" customFormat="1" ht="13" x14ac:dyDescent="0.3">
      <c r="A54" s="72" t="s">
        <v>150</v>
      </c>
      <c r="B54" s="112">
        <f>SUM(B55:B57)</f>
        <v>0</v>
      </c>
      <c r="C54" s="112">
        <f>SUM(C55:C57)</f>
        <v>0</v>
      </c>
      <c r="D54" s="112">
        <f t="shared" ref="D54" si="11">SUM(D55:D57)</f>
        <v>1885439.9300000002</v>
      </c>
      <c r="E54" s="113">
        <f t="shared" si="3"/>
        <v>5.2563533894176249E-2</v>
      </c>
    </row>
    <row r="55" spans="1:7" s="38" customFormat="1" ht="13" x14ac:dyDescent="0.3">
      <c r="A55" s="72" t="s">
        <v>26</v>
      </c>
      <c r="B55" s="112">
        <v>0</v>
      </c>
      <c r="C55" s="112">
        <v>0</v>
      </c>
      <c r="D55" s="112">
        <v>1900000</v>
      </c>
      <c r="E55" s="113">
        <f t="shared" si="3"/>
        <v>5.2969449097715282E-2</v>
      </c>
    </row>
    <row r="56" spans="1:7" s="38" customFormat="1" ht="13" x14ac:dyDescent="0.3">
      <c r="A56" s="72" t="s">
        <v>18</v>
      </c>
      <c r="B56" s="112">
        <v>0</v>
      </c>
      <c r="C56" s="112">
        <v>0</v>
      </c>
      <c r="D56" s="112">
        <v>2480.56</v>
      </c>
      <c r="E56" s="113">
        <f t="shared" si="3"/>
        <v>6.9154682449383485E-5</v>
      </c>
    </row>
    <row r="57" spans="1:7" s="38" customFormat="1" ht="13" x14ac:dyDescent="0.3">
      <c r="A57" s="72" t="s">
        <v>101</v>
      </c>
      <c r="B57" s="112">
        <v>0</v>
      </c>
      <c r="C57" s="112">
        <v>0</v>
      </c>
      <c r="D57" s="112">
        <v>-17040.63</v>
      </c>
      <c r="E57" s="113">
        <f t="shared" si="3"/>
        <v>-4.7506988598842108E-4</v>
      </c>
    </row>
    <row r="58" spans="1:7" s="38" customFormat="1" ht="13" x14ac:dyDescent="0.3">
      <c r="A58" s="72" t="s">
        <v>151</v>
      </c>
      <c r="B58" s="112">
        <f>SUM(B59:B61)</f>
        <v>0</v>
      </c>
      <c r="C58" s="112">
        <f>SUM(C59:C61)</f>
        <v>0</v>
      </c>
      <c r="D58" s="112">
        <f t="shared" ref="D58" si="12">SUM(D59:D61)</f>
        <v>2796359.25</v>
      </c>
      <c r="E58" s="113">
        <f t="shared" si="3"/>
        <v>7.7958741553579097E-2</v>
      </c>
    </row>
    <row r="59" spans="1:7" s="38" customFormat="1" ht="13" x14ac:dyDescent="0.3">
      <c r="A59" s="72" t="s">
        <v>26</v>
      </c>
      <c r="B59" s="112">
        <v>0</v>
      </c>
      <c r="C59" s="112">
        <v>0</v>
      </c>
      <c r="D59" s="112">
        <v>2799126</v>
      </c>
      <c r="E59" s="113">
        <f>+D59/$D$63</f>
        <v>7.8035874828995475E-2</v>
      </c>
    </row>
    <row r="60" spans="1:7" s="38" customFormat="1" ht="13" x14ac:dyDescent="0.3">
      <c r="A60" s="72" t="s">
        <v>18</v>
      </c>
      <c r="B60" s="112">
        <v>0</v>
      </c>
      <c r="C60" s="112">
        <v>0</v>
      </c>
      <c r="D60" s="112">
        <v>5598.25</v>
      </c>
      <c r="E60" s="113">
        <f t="shared" si="3"/>
        <v>1.560716939006761E-4</v>
      </c>
    </row>
    <row r="61" spans="1:7" s="38" customFormat="1" ht="13" x14ac:dyDescent="0.3">
      <c r="A61" s="72" t="s">
        <v>101</v>
      </c>
      <c r="B61" s="112">
        <v>0</v>
      </c>
      <c r="C61" s="112">
        <v>0</v>
      </c>
      <c r="D61" s="112">
        <v>-8365</v>
      </c>
      <c r="E61" s="113">
        <f t="shared" si="3"/>
        <v>-2.3320496931704651E-4</v>
      </c>
    </row>
    <row r="62" spans="1:7" s="22" customFormat="1" x14ac:dyDescent="0.3">
      <c r="A62" s="50" t="s">
        <v>16</v>
      </c>
      <c r="B62" s="11">
        <v>236790</v>
      </c>
      <c r="C62" s="11">
        <v>111984.51999999999</v>
      </c>
      <c r="D62" s="11">
        <v>0</v>
      </c>
      <c r="E62" s="18">
        <f>+D62/$D$63</f>
        <v>0</v>
      </c>
      <c r="F62" s="38"/>
      <c r="G62" s="109"/>
    </row>
    <row r="63" spans="1:7" x14ac:dyDescent="0.3">
      <c r="A63" s="16" t="s">
        <v>3</v>
      </c>
      <c r="B63" s="126">
        <f>+B62+B7+B11</f>
        <v>24174207.080000002</v>
      </c>
      <c r="C63" s="126">
        <f>+C62+C7+C11</f>
        <v>27919110.959999997</v>
      </c>
      <c r="D63" s="126">
        <f>+D62+D7+D11</f>
        <v>35869733.070000008</v>
      </c>
      <c r="E63" s="17">
        <f>+D63/D63</f>
        <v>1</v>
      </c>
      <c r="F63" s="76"/>
    </row>
    <row r="64" spans="1:7" x14ac:dyDescent="0.3">
      <c r="A64" s="3"/>
      <c r="B64" s="65"/>
      <c r="C64" s="65"/>
      <c r="D64" s="65"/>
      <c r="E64" s="95"/>
      <c r="F64" s="76"/>
    </row>
    <row r="65" spans="1:8" x14ac:dyDescent="0.3">
      <c r="A65" s="77" t="s">
        <v>4</v>
      </c>
      <c r="B65" s="11"/>
      <c r="C65" s="11"/>
      <c r="D65" s="11"/>
      <c r="E65" s="18"/>
    </row>
    <row r="66" spans="1:8" x14ac:dyDescent="0.3">
      <c r="A66" s="78"/>
      <c r="B66" s="11"/>
      <c r="C66" s="11"/>
      <c r="D66" s="11"/>
      <c r="E66" s="18"/>
      <c r="F66" s="59"/>
    </row>
    <row r="67" spans="1:8" x14ac:dyDescent="0.3">
      <c r="A67" s="79" t="s">
        <v>19</v>
      </c>
      <c r="B67" s="11"/>
      <c r="C67" s="11"/>
      <c r="D67" s="11"/>
      <c r="E67" s="18"/>
    </row>
    <row r="68" spans="1:8" s="38" customFormat="1" x14ac:dyDescent="0.3">
      <c r="A68" s="78" t="s">
        <v>17</v>
      </c>
      <c r="B68" s="11">
        <f>+SUM(B69:B77)</f>
        <v>44126.15</v>
      </c>
      <c r="C68" s="11">
        <f>+SUM(C69:C77)</f>
        <v>56783.92</v>
      </c>
      <c r="D68" s="11">
        <f>+SUM(D69:D77)</f>
        <v>62965.65</v>
      </c>
      <c r="E68" s="18">
        <f>+D68/D114</f>
        <v>1.7553977855681879E-3</v>
      </c>
    </row>
    <row r="69" spans="1:8" s="38" customFormat="1" ht="13" x14ac:dyDescent="0.3">
      <c r="A69" s="10" t="s">
        <v>77</v>
      </c>
      <c r="B69" s="124">
        <f>14900+2686.67</f>
        <v>17586.669999999998</v>
      </c>
      <c r="C69" s="124">
        <v>20273.34</v>
      </c>
      <c r="D69" s="124">
        <v>21000.01</v>
      </c>
      <c r="E69" s="61">
        <f>D69/$D$114</f>
        <v>5.8545208460342743E-4</v>
      </c>
      <c r="G69" s="148"/>
    </row>
    <row r="70" spans="1:8" s="38" customFormat="1" ht="13" x14ac:dyDescent="0.3">
      <c r="A70" s="72" t="s">
        <v>51</v>
      </c>
      <c r="B70" s="124">
        <v>0</v>
      </c>
      <c r="C70" s="124">
        <v>750</v>
      </c>
      <c r="D70" s="124">
        <v>2250</v>
      </c>
      <c r="E70" s="61">
        <f t="shared" ref="E70:E74" si="13">D70/$D$114</f>
        <v>6.2726979194662849E-5</v>
      </c>
    </row>
    <row r="71" spans="1:8" s="38" customFormat="1" ht="13" hidden="1" x14ac:dyDescent="0.3">
      <c r="A71" s="72" t="s">
        <v>66</v>
      </c>
      <c r="B71" s="124">
        <v>0</v>
      </c>
      <c r="C71" s="124">
        <v>0</v>
      </c>
      <c r="D71" s="124"/>
      <c r="E71" s="61">
        <f t="shared" si="13"/>
        <v>0</v>
      </c>
    </row>
    <row r="72" spans="1:8" s="38" customFormat="1" ht="13" x14ac:dyDescent="0.3">
      <c r="A72" s="72" t="s">
        <v>122</v>
      </c>
      <c r="B72" s="124">
        <f>20555.56+430.56+430.56+8611.11-6708.33-0.29</f>
        <v>23319.170000000006</v>
      </c>
      <c r="C72" s="124">
        <v>27305.58</v>
      </c>
      <c r="D72" s="124">
        <v>7058.37</v>
      </c>
      <c r="E72" s="61">
        <f t="shared" si="13"/>
        <v>1.9677787917254773E-4</v>
      </c>
    </row>
    <row r="73" spans="1:8" s="38" customFormat="1" ht="13" x14ac:dyDescent="0.3">
      <c r="A73" s="10" t="s">
        <v>67</v>
      </c>
      <c r="B73" s="124">
        <v>1553.64</v>
      </c>
      <c r="C73" s="124">
        <f>5297.66-176</f>
        <v>5121.66</v>
      </c>
      <c r="D73" s="124">
        <v>0</v>
      </c>
      <c r="E73" s="61">
        <f t="shared" si="13"/>
        <v>0</v>
      </c>
    </row>
    <row r="74" spans="1:8" s="38" customFormat="1" ht="13" x14ac:dyDescent="0.3">
      <c r="A74" s="10" t="s">
        <v>78</v>
      </c>
      <c r="B74" s="124">
        <v>0</v>
      </c>
      <c r="C74" s="124">
        <v>0</v>
      </c>
      <c r="D74" s="124">
        <f>35397.26-6990</f>
        <v>28407.260000000002</v>
      </c>
      <c r="E74" s="61">
        <f t="shared" si="13"/>
        <v>7.9195626977661263E-4</v>
      </c>
      <c r="F74" s="46"/>
      <c r="G74" s="104"/>
    </row>
    <row r="75" spans="1:8" s="38" customFormat="1" ht="13" x14ac:dyDescent="0.3">
      <c r="A75" s="10" t="s">
        <v>132</v>
      </c>
      <c r="B75" s="124">
        <v>1666.67</v>
      </c>
      <c r="C75" s="124">
        <v>3333.34</v>
      </c>
      <c r="D75" s="124">
        <v>4250.01</v>
      </c>
      <c r="E75" s="61">
        <f>D75/$D$114</f>
        <v>1.1848457282093737E-4</v>
      </c>
    </row>
    <row r="76" spans="1:8" s="38" customFormat="1" ht="13" hidden="1" x14ac:dyDescent="0.3">
      <c r="A76" s="10" t="s">
        <v>84</v>
      </c>
      <c r="B76" s="124">
        <v>0</v>
      </c>
      <c r="C76" s="124">
        <v>0</v>
      </c>
      <c r="D76" s="124">
        <v>0</v>
      </c>
      <c r="E76" s="61">
        <f>B76/$B$114</f>
        <v>0</v>
      </c>
      <c r="F76" s="44"/>
    </row>
    <row r="77" spans="1:8" s="38" customFormat="1" ht="13" hidden="1" x14ac:dyDescent="0.3">
      <c r="A77" s="10" t="s">
        <v>75</v>
      </c>
      <c r="B77" s="124">
        <v>0</v>
      </c>
      <c r="C77" s="124">
        <v>0</v>
      </c>
      <c r="D77" s="124">
        <v>0</v>
      </c>
      <c r="E77" s="61">
        <f>B77/$B$114</f>
        <v>0</v>
      </c>
      <c r="H77" s="96"/>
    </row>
    <row r="78" spans="1:8" s="38" customFormat="1" ht="13" x14ac:dyDescent="0.3">
      <c r="B78" s="124"/>
      <c r="C78" s="124"/>
      <c r="D78" s="124"/>
      <c r="E78" s="61"/>
      <c r="H78" s="96"/>
    </row>
    <row r="79" spans="1:8" s="38" customFormat="1" x14ac:dyDescent="0.3">
      <c r="A79" s="155" t="s">
        <v>115</v>
      </c>
      <c r="B79" s="124"/>
      <c r="C79" s="124"/>
      <c r="D79" s="124"/>
      <c r="E79" s="61"/>
      <c r="G79" s="148"/>
      <c r="H79" s="96"/>
    </row>
    <row r="80" spans="1:8" s="38" customFormat="1" ht="13" x14ac:dyDescent="0.3">
      <c r="B80" s="124"/>
      <c r="C80" s="124"/>
      <c r="D80" s="124"/>
      <c r="E80" s="61"/>
      <c r="H80" s="96"/>
    </row>
    <row r="81" spans="1:13" s="160" customFormat="1" ht="14.5" x14ac:dyDescent="0.35">
      <c r="A81" s="156" t="s">
        <v>61</v>
      </c>
      <c r="B81" s="41">
        <f>+B82+B88+B85</f>
        <v>13094888.890000001</v>
      </c>
      <c r="C81" s="41">
        <f>+C82+C88+C85</f>
        <v>13090066.84</v>
      </c>
      <c r="D81" s="41">
        <f>+D82+D88+D85+D91</f>
        <v>21219420.84</v>
      </c>
      <c r="E81" s="157">
        <f>+D81/D114</f>
        <v>0.59156896424598904</v>
      </c>
      <c r="F81" s="158"/>
      <c r="G81" s="159"/>
      <c r="H81" s="159"/>
      <c r="I81" s="159"/>
      <c r="J81" s="149"/>
      <c r="K81" s="38"/>
      <c r="L81" s="38"/>
      <c r="M81" s="96"/>
    </row>
    <row r="82" spans="1:13" s="160" customFormat="1" ht="13" x14ac:dyDescent="0.3">
      <c r="A82" s="160" t="s">
        <v>60</v>
      </c>
      <c r="B82" s="41">
        <f>+B83+B84</f>
        <v>5036555.5544444444</v>
      </c>
      <c r="C82" s="41">
        <f>+C83+C84</f>
        <v>5058333.4400000004</v>
      </c>
      <c r="D82" s="41">
        <f>+D83+D84</f>
        <v>5082444.4400000004</v>
      </c>
      <c r="E82" s="157">
        <f t="shared" ref="E82:E93" si="14">+D82/$D$114</f>
        <v>0.14169172739818217</v>
      </c>
      <c r="F82" s="158"/>
      <c r="G82" s="159"/>
      <c r="H82" s="159"/>
      <c r="I82" s="159"/>
      <c r="J82" s="149"/>
      <c r="K82" s="38"/>
      <c r="L82" s="38"/>
    </row>
    <row r="83" spans="1:13" s="160" customFormat="1" ht="13" x14ac:dyDescent="0.3">
      <c r="A83" s="161" t="s">
        <v>26</v>
      </c>
      <c r="B83" s="49">
        <v>5000000</v>
      </c>
      <c r="C83" s="49">
        <v>5000000</v>
      </c>
      <c r="D83" s="49">
        <v>5000000</v>
      </c>
      <c r="E83" s="52">
        <f t="shared" si="14"/>
        <v>0.13939328709925078</v>
      </c>
      <c r="F83" s="162"/>
      <c r="G83" s="47"/>
      <c r="H83" s="47"/>
      <c r="I83" s="47"/>
      <c r="J83" s="108"/>
      <c r="K83" s="38"/>
      <c r="L83" s="38"/>
    </row>
    <row r="84" spans="1:13" s="160" customFormat="1" ht="13" x14ac:dyDescent="0.3">
      <c r="A84" s="161" t="s">
        <v>18</v>
      </c>
      <c r="B84" s="49">
        <f>12444.4444444444+24111.11</f>
        <v>36555.554444444402</v>
      </c>
      <c r="C84" s="49">
        <v>58333.440000000002</v>
      </c>
      <c r="D84" s="49">
        <v>82444.44</v>
      </c>
      <c r="E84" s="52">
        <f t="shared" si="14"/>
        <v>2.298440298931391E-3</v>
      </c>
      <c r="F84" s="162"/>
      <c r="G84" s="47"/>
      <c r="H84" s="47"/>
      <c r="I84" s="47"/>
      <c r="J84" s="108"/>
      <c r="K84" s="38"/>
      <c r="L84" s="38"/>
    </row>
    <row r="85" spans="1:13" s="160" customFormat="1" ht="13" x14ac:dyDescent="0.3">
      <c r="A85" s="160" t="s">
        <v>28</v>
      </c>
      <c r="B85" s="41">
        <f>+B86+B87</f>
        <v>5039666.6655555554</v>
      </c>
      <c r="C85" s="41">
        <f>+C86+C87</f>
        <v>5000000</v>
      </c>
      <c r="D85" s="41">
        <f>+D86+D87</f>
        <v>5023333.5</v>
      </c>
      <c r="E85" s="157">
        <f t="shared" si="14"/>
        <v>0.14004379375215684</v>
      </c>
      <c r="F85" s="158"/>
      <c r="G85" s="159"/>
      <c r="H85" s="159"/>
      <c r="I85" s="159"/>
      <c r="J85" s="149"/>
      <c r="K85" s="38"/>
      <c r="L85" s="38"/>
    </row>
    <row r="86" spans="1:13" s="160" customFormat="1" ht="13" x14ac:dyDescent="0.3">
      <c r="A86" s="161" t="s">
        <v>26</v>
      </c>
      <c r="B86" s="49">
        <v>5000000</v>
      </c>
      <c r="C86" s="49">
        <v>5000000</v>
      </c>
      <c r="D86" s="49">
        <v>5000000</v>
      </c>
      <c r="E86" s="52">
        <f t="shared" si="14"/>
        <v>0.13939328709925078</v>
      </c>
      <c r="F86" s="162"/>
      <c r="G86" s="47"/>
      <c r="H86" s="47"/>
      <c r="I86" s="47"/>
      <c r="J86" s="108"/>
      <c r="K86" s="38"/>
      <c r="L86" s="38"/>
    </row>
    <row r="87" spans="1:13" s="160" customFormat="1" ht="13" x14ac:dyDescent="0.3">
      <c r="A87" s="161" t="s">
        <v>18</v>
      </c>
      <c r="B87" s="49">
        <f>15555.5555555556+24111.11</f>
        <v>39666.665555555599</v>
      </c>
      <c r="C87" s="49">
        <v>0</v>
      </c>
      <c r="D87" s="49">
        <v>23333.5</v>
      </c>
      <c r="E87" s="52">
        <f t="shared" si="14"/>
        <v>6.5050665290607363E-4</v>
      </c>
      <c r="F87" s="162"/>
      <c r="G87" s="47"/>
      <c r="H87" s="47"/>
      <c r="I87" s="47"/>
      <c r="J87" s="108"/>
      <c r="K87" s="38"/>
      <c r="L87" s="38"/>
    </row>
    <row r="88" spans="1:13" s="160" customFormat="1" ht="13" x14ac:dyDescent="0.3">
      <c r="A88" s="160" t="s">
        <v>116</v>
      </c>
      <c r="B88" s="41">
        <f>+B89+B90</f>
        <v>3018666.67</v>
      </c>
      <c r="C88" s="41">
        <f>+C89+C90</f>
        <v>3031733.4</v>
      </c>
      <c r="D88" s="41">
        <f>+D89+D90</f>
        <v>3009800.1</v>
      </c>
      <c r="E88" s="157">
        <f t="shared" si="14"/>
        <v>8.3909185890130744E-2</v>
      </c>
      <c r="F88" s="158"/>
      <c r="G88" s="159"/>
      <c r="H88" s="159"/>
      <c r="I88" s="159"/>
      <c r="J88" s="149"/>
      <c r="K88" s="38"/>
      <c r="L88" s="38"/>
    </row>
    <row r="89" spans="1:13" s="160" customFormat="1" ht="13" x14ac:dyDescent="0.3">
      <c r="A89" s="161" t="s">
        <v>26</v>
      </c>
      <c r="B89" s="49">
        <v>3000000</v>
      </c>
      <c r="C89" s="49">
        <v>3000000</v>
      </c>
      <c r="D89" s="49">
        <v>3000000</v>
      </c>
      <c r="E89" s="52">
        <f t="shared" si="14"/>
        <v>8.3635972259550467E-2</v>
      </c>
      <c r="F89" s="162"/>
      <c r="G89" s="47"/>
      <c r="H89" s="47"/>
      <c r="I89" s="47"/>
      <c r="J89" s="108"/>
      <c r="K89" s="38"/>
      <c r="L89" s="38"/>
    </row>
    <row r="90" spans="1:13" s="160" customFormat="1" ht="13" x14ac:dyDescent="0.3">
      <c r="A90" s="161" t="s">
        <v>18</v>
      </c>
      <c r="B90" s="49">
        <f>4200+14466.67</f>
        <v>18666.669999999998</v>
      </c>
      <c r="C90" s="49">
        <v>31733.4</v>
      </c>
      <c r="D90" s="49">
        <v>9800.1</v>
      </c>
      <c r="E90" s="52">
        <f t="shared" si="14"/>
        <v>2.732136305802735E-4</v>
      </c>
      <c r="F90" s="162"/>
      <c r="G90" s="47"/>
      <c r="H90" s="47"/>
      <c r="I90" s="47"/>
      <c r="J90" s="108"/>
      <c r="K90" s="38"/>
      <c r="L90" s="38"/>
    </row>
    <row r="91" spans="1:13" s="160" customFormat="1" ht="13" x14ac:dyDescent="0.3">
      <c r="A91" s="160" t="s">
        <v>15</v>
      </c>
      <c r="B91" s="41">
        <f>+B92+B93</f>
        <v>0</v>
      </c>
      <c r="C91" s="41">
        <f>+C92+C93</f>
        <v>0</v>
      </c>
      <c r="D91" s="41">
        <f>+D92+D93</f>
        <v>8103842.7999999998</v>
      </c>
      <c r="E91" s="157">
        <f t="shared" si="14"/>
        <v>0.22592425720551926</v>
      </c>
      <c r="F91" s="158"/>
      <c r="G91" s="159"/>
      <c r="H91" s="159"/>
      <c r="I91" s="159"/>
      <c r="J91" s="149"/>
      <c r="K91" s="38"/>
      <c r="L91" s="38"/>
    </row>
    <row r="92" spans="1:13" s="160" customFormat="1" ht="13" x14ac:dyDescent="0.3">
      <c r="A92" s="161" t="s">
        <v>26</v>
      </c>
      <c r="B92" s="49">
        <v>0</v>
      </c>
      <c r="C92" s="49">
        <v>0</v>
      </c>
      <c r="D92" s="49">
        <v>8090000</v>
      </c>
      <c r="E92" s="52">
        <f t="shared" si="14"/>
        <v>0.22553833852658775</v>
      </c>
      <c r="F92" s="162"/>
      <c r="G92" s="47"/>
      <c r="H92" s="47"/>
      <c r="I92" s="47"/>
      <c r="J92" s="108"/>
      <c r="K92" s="38"/>
      <c r="L92" s="38"/>
    </row>
    <row r="93" spans="1:13" s="160" customFormat="1" ht="13" x14ac:dyDescent="0.3">
      <c r="A93" s="161" t="s">
        <v>18</v>
      </c>
      <c r="B93" s="49">
        <v>0</v>
      </c>
      <c r="C93" s="49">
        <v>0</v>
      </c>
      <c r="D93" s="49">
        <v>13842.8</v>
      </c>
      <c r="E93" s="52">
        <f t="shared" si="14"/>
        <v>3.8591867893150169E-4</v>
      </c>
      <c r="F93" s="162"/>
      <c r="G93" s="47"/>
      <c r="H93" s="47"/>
      <c r="I93" s="47"/>
      <c r="J93" s="108"/>
      <c r="K93" s="38"/>
      <c r="L93" s="38"/>
    </row>
    <row r="94" spans="1:13" s="38" customFormat="1" ht="14.5" x14ac:dyDescent="0.35">
      <c r="A94" s="156" t="s">
        <v>109</v>
      </c>
      <c r="B94" s="28">
        <f>-220156.09</f>
        <v>-220156.09</v>
      </c>
      <c r="C94" s="28">
        <v>-265580.57</v>
      </c>
      <c r="D94" s="28">
        <v>-262591.99</v>
      </c>
      <c r="E94" s="52">
        <f>+D94/D114</f>
        <v>-7.3207121304067176E-3</v>
      </c>
    </row>
    <row r="95" spans="1:13" x14ac:dyDescent="0.3">
      <c r="A95" s="42" t="s">
        <v>5</v>
      </c>
      <c r="B95" s="13">
        <f>+B68+B81+B94</f>
        <v>12918858.950000001</v>
      </c>
      <c r="C95" s="13">
        <f>+C68+C81+C94</f>
        <v>12881270.189999999</v>
      </c>
      <c r="D95" s="13">
        <f>+D68+D81+D94</f>
        <v>21019794.5</v>
      </c>
      <c r="E95" s="17">
        <f>+D95/D114</f>
        <v>0.5860036499011505</v>
      </c>
    </row>
    <row r="96" spans="1:13" x14ac:dyDescent="0.3">
      <c r="A96" s="3"/>
      <c r="B96" s="15"/>
      <c r="C96" s="15"/>
      <c r="D96" s="15"/>
      <c r="E96" s="76"/>
    </row>
    <row r="97" spans="1:9" x14ac:dyDescent="0.3">
      <c r="A97" s="25" t="s">
        <v>6</v>
      </c>
      <c r="B97" s="66"/>
      <c r="C97" s="66"/>
      <c r="D97" s="66"/>
      <c r="E97" s="53"/>
      <c r="G97" s="59"/>
    </row>
    <row r="98" spans="1:9" x14ac:dyDescent="0.3">
      <c r="A98" s="50"/>
      <c r="B98" s="4"/>
      <c r="C98" s="4"/>
      <c r="D98" s="4"/>
      <c r="E98" s="54"/>
      <c r="H98" s="125"/>
    </row>
    <row r="99" spans="1:9" s="21" customFormat="1" x14ac:dyDescent="0.3">
      <c r="A99" s="50" t="s">
        <v>32</v>
      </c>
      <c r="B99" s="4">
        <f>SUM(B100:B106)</f>
        <v>12050000</v>
      </c>
      <c r="C99" s="4">
        <f>SUM(C100:C106)</f>
        <v>16050000</v>
      </c>
      <c r="D99" s="4">
        <f>SUM(D100:D106)</f>
        <v>16050000</v>
      </c>
      <c r="E99" s="54">
        <f>+D99/$D$114</f>
        <v>0.44745245158859498</v>
      </c>
      <c r="F99" s="86"/>
      <c r="G99" s="86"/>
      <c r="H99" s="110"/>
    </row>
    <row r="100" spans="1:9" s="21" customFormat="1" ht="13" x14ac:dyDescent="0.3">
      <c r="A100" s="72" t="s">
        <v>90</v>
      </c>
      <c r="B100" s="127">
        <f>1200000+2400000</f>
        <v>3600000</v>
      </c>
      <c r="C100" s="127">
        <v>4800000</v>
      </c>
      <c r="D100" s="127">
        <v>4800000</v>
      </c>
      <c r="E100" s="63">
        <f>+D100/$D$114</f>
        <v>0.13381755561528075</v>
      </c>
      <c r="F100" s="153"/>
      <c r="G100" s="153"/>
    </row>
    <row r="101" spans="1:9" s="21" customFormat="1" x14ac:dyDescent="0.3">
      <c r="A101" s="72" t="s">
        <v>96</v>
      </c>
      <c r="B101" s="127">
        <f t="shared" ref="B101:B103" si="15">800000+1600000</f>
        <v>2400000</v>
      </c>
      <c r="C101" s="127">
        <v>3200000</v>
      </c>
      <c r="D101" s="127">
        <v>3200000</v>
      </c>
      <c r="E101" s="63">
        <f>+D101/$D$114</f>
        <v>8.9211703743520498E-2</v>
      </c>
      <c r="F101" s="106"/>
      <c r="G101" s="106"/>
      <c r="H101" s="106"/>
      <c r="I101" s="121"/>
    </row>
    <row r="102" spans="1:9" s="21" customFormat="1" ht="13" x14ac:dyDescent="0.3">
      <c r="A102" s="72" t="s">
        <v>95</v>
      </c>
      <c r="B102" s="127">
        <f t="shared" si="15"/>
        <v>2400000</v>
      </c>
      <c r="C102" s="127">
        <v>3200000</v>
      </c>
      <c r="D102" s="127">
        <v>3200000</v>
      </c>
      <c r="E102" s="63">
        <f t="shared" ref="E102:E106" si="16">+D102/$D$114</f>
        <v>8.9211703743520498E-2</v>
      </c>
      <c r="F102" s="110"/>
      <c r="G102" s="110"/>
      <c r="H102" s="75"/>
      <c r="I102" s="75"/>
    </row>
    <row r="103" spans="1:9" s="21" customFormat="1" ht="13" x14ac:dyDescent="0.3">
      <c r="A103" s="72" t="s">
        <v>91</v>
      </c>
      <c r="B103" s="127">
        <f t="shared" si="15"/>
        <v>2400000</v>
      </c>
      <c r="C103" s="127">
        <v>3200000</v>
      </c>
      <c r="D103" s="127">
        <v>3200000</v>
      </c>
      <c r="E103" s="63">
        <f t="shared" si="16"/>
        <v>8.9211703743520498E-2</v>
      </c>
      <c r="F103" s="105"/>
    </row>
    <row r="104" spans="1:9" s="21" customFormat="1" ht="13" x14ac:dyDescent="0.3">
      <c r="A104" s="72" t="s">
        <v>92</v>
      </c>
      <c r="B104" s="127">
        <f t="shared" ref="B104:B105" si="17">200000+400000</f>
        <v>600000</v>
      </c>
      <c r="C104" s="127">
        <v>800000</v>
      </c>
      <c r="D104" s="127">
        <v>800000</v>
      </c>
      <c r="E104" s="63">
        <f t="shared" si="16"/>
        <v>2.2302925935880125E-2</v>
      </c>
      <c r="F104" s="86"/>
      <c r="G104" s="110"/>
    </row>
    <row r="105" spans="1:9" s="21" customFormat="1" ht="13" x14ac:dyDescent="0.3">
      <c r="A105" s="72" t="s">
        <v>93</v>
      </c>
      <c r="B105" s="127">
        <f t="shared" si="17"/>
        <v>600000</v>
      </c>
      <c r="C105" s="127">
        <v>800000</v>
      </c>
      <c r="D105" s="127">
        <v>800000</v>
      </c>
      <c r="E105" s="63">
        <f t="shared" si="16"/>
        <v>2.2302925935880125E-2</v>
      </c>
      <c r="F105" s="123"/>
      <c r="G105" s="123"/>
      <c r="H105" s="86"/>
    </row>
    <row r="106" spans="1:9" s="21" customFormat="1" ht="13" x14ac:dyDescent="0.3">
      <c r="A106" s="72" t="s">
        <v>94</v>
      </c>
      <c r="B106" s="127">
        <v>50000</v>
      </c>
      <c r="C106" s="127">
        <v>50000</v>
      </c>
      <c r="D106" s="127">
        <v>50000</v>
      </c>
      <c r="E106" s="63">
        <f t="shared" si="16"/>
        <v>1.3939328709925078E-3</v>
      </c>
      <c r="F106" s="123"/>
      <c r="G106" s="110"/>
      <c r="H106" s="110"/>
      <c r="I106" s="75"/>
    </row>
    <row r="107" spans="1:9" ht="14.5" x14ac:dyDescent="0.35">
      <c r="A107" s="97" t="s">
        <v>53</v>
      </c>
      <c r="B107" s="4">
        <v>-494742.37999999995</v>
      </c>
      <c r="C107" s="4">
        <v>-494742.37999999995</v>
      </c>
      <c r="D107" s="4">
        <v>-494742.37999999995</v>
      </c>
      <c r="E107" s="54">
        <f>+D107/D114</f>
        <v>-1.3792753323101323E-2</v>
      </c>
      <c r="F107" s="76"/>
      <c r="G107" s="59"/>
    </row>
    <row r="108" spans="1:9" ht="14.5" hidden="1" x14ac:dyDescent="0.35">
      <c r="A108" s="97" t="s">
        <v>58</v>
      </c>
      <c r="B108" s="4">
        <f>+B109+B110</f>
        <v>0</v>
      </c>
      <c r="C108" s="4">
        <f>+C109+C110</f>
        <v>0</v>
      </c>
      <c r="D108" s="4">
        <f>+D109+D110</f>
        <v>0</v>
      </c>
      <c r="E108" s="54" t="e">
        <f>+#REF!/#REF!</f>
        <v>#REF!</v>
      </c>
      <c r="F108" s="121"/>
      <c r="G108" s="59"/>
    </row>
    <row r="109" spans="1:9" s="21" customFormat="1" ht="13" hidden="1" x14ac:dyDescent="0.3">
      <c r="A109" s="72" t="s">
        <v>76</v>
      </c>
      <c r="B109" s="127">
        <v>0</v>
      </c>
      <c r="C109" s="127">
        <v>0</v>
      </c>
      <c r="D109" s="127">
        <v>0</v>
      </c>
      <c r="E109" s="63" t="e">
        <f>+#REF!/#REF!</f>
        <v>#REF!</v>
      </c>
      <c r="F109" s="103"/>
    </row>
    <row r="110" spans="1:9" s="21" customFormat="1" ht="13" hidden="1" x14ac:dyDescent="0.3">
      <c r="A110" s="72" t="s">
        <v>59</v>
      </c>
      <c r="B110" s="127">
        <v>0</v>
      </c>
      <c r="C110" s="127">
        <v>0</v>
      </c>
      <c r="D110" s="127">
        <v>0</v>
      </c>
      <c r="E110" s="63" t="e">
        <f>+#REF!/#REF!</f>
        <v>#REF!</v>
      </c>
      <c r="F110" s="103"/>
    </row>
    <row r="111" spans="1:9" x14ac:dyDescent="0.3">
      <c r="A111" s="50" t="s">
        <v>88</v>
      </c>
      <c r="B111" s="4">
        <f>+B176</f>
        <v>-299909.48666666663</v>
      </c>
      <c r="C111" s="4">
        <f>+C176</f>
        <v>-517416.85000000003</v>
      </c>
      <c r="D111" s="4">
        <f>+D176</f>
        <v>-705319.05</v>
      </c>
      <c r="E111" s="54">
        <f>+D111/$D$114</f>
        <v>-1.9663348166644164E-2</v>
      </c>
      <c r="F111" s="121"/>
      <c r="G111" s="121"/>
    </row>
    <row r="112" spans="1:9" x14ac:dyDescent="0.3">
      <c r="A112" s="50"/>
      <c r="B112" s="4"/>
      <c r="C112" s="4"/>
      <c r="D112" s="4"/>
      <c r="E112" s="54"/>
      <c r="F112" s="76"/>
      <c r="G112" s="76"/>
      <c r="H112" s="59"/>
    </row>
    <row r="113" spans="1:8" x14ac:dyDescent="0.3">
      <c r="A113" s="81" t="s">
        <v>7</v>
      </c>
      <c r="B113" s="13">
        <f>+B99+B107+B108+B111</f>
        <v>11255348.133333333</v>
      </c>
      <c r="C113" s="13">
        <f>+C99+C107+C108+C111</f>
        <v>15037840.77</v>
      </c>
      <c r="D113" s="13">
        <f>+D99+D107+D108+D111</f>
        <v>14849938.569999998</v>
      </c>
      <c r="E113" s="17">
        <f>+D113/D114</f>
        <v>0.41399635009884944</v>
      </c>
      <c r="G113" s="59"/>
      <c r="H113" s="59"/>
    </row>
    <row r="114" spans="1:8" x14ac:dyDescent="0.3">
      <c r="A114" s="16" t="s">
        <v>10</v>
      </c>
      <c r="B114" s="13">
        <f>+B95+B113</f>
        <v>24174207.083333336</v>
      </c>
      <c r="C114" s="13">
        <f>+C95+C113</f>
        <v>27919110.960000001</v>
      </c>
      <c r="D114" s="13">
        <f>+D95+D113</f>
        <v>35869733.07</v>
      </c>
      <c r="E114" s="17">
        <f>+D114/D114</f>
        <v>1</v>
      </c>
      <c r="G114" s="59"/>
      <c r="H114" s="59"/>
    </row>
    <row r="115" spans="1:8" x14ac:dyDescent="0.3">
      <c r="A115" s="43"/>
      <c r="B115" s="67"/>
      <c r="C115" s="67"/>
      <c r="D115" s="67"/>
      <c r="E115" s="83"/>
      <c r="G115" s="59"/>
      <c r="H115" s="59"/>
    </row>
    <row r="116" spans="1:8" x14ac:dyDescent="0.3">
      <c r="A116" s="81" t="s">
        <v>80</v>
      </c>
      <c r="B116" s="68" t="str">
        <f>+B3</f>
        <v>January</v>
      </c>
      <c r="C116" s="68" t="str">
        <f>+C3</f>
        <v>February</v>
      </c>
      <c r="D116" s="68" t="str">
        <f>+D3</f>
        <v>March</v>
      </c>
      <c r="E116" s="68" t="str">
        <f>+D116</f>
        <v>March</v>
      </c>
    </row>
    <row r="117" spans="1:8" x14ac:dyDescent="0.3">
      <c r="A117" s="24"/>
      <c r="B117" s="69"/>
      <c r="C117" s="69"/>
      <c r="D117" s="69"/>
      <c r="E117" s="31" t="s">
        <v>24</v>
      </c>
    </row>
    <row r="118" spans="1:8" s="38" customFormat="1" x14ac:dyDescent="0.3">
      <c r="A118" s="50" t="s">
        <v>11</v>
      </c>
      <c r="B118" s="70"/>
      <c r="C118" s="70"/>
      <c r="D118" s="70"/>
      <c r="E118" s="25"/>
    </row>
    <row r="119" spans="1:8" s="38" customFormat="1" ht="13" x14ac:dyDescent="0.3">
      <c r="A119" s="72" t="str">
        <f t="shared" ref="A119:B121" si="18">+A149</f>
        <v xml:space="preserve">Loans Interests </v>
      </c>
      <c r="B119" s="124">
        <f t="shared" si="18"/>
        <v>125236.9</v>
      </c>
      <c r="C119" s="124">
        <f t="shared" ref="C119:D121" si="19">+C149-B149</f>
        <v>128835.47</v>
      </c>
      <c r="D119" s="124">
        <f t="shared" si="19"/>
        <v>191481.99</v>
      </c>
      <c r="E119" s="41">
        <f>SUM(B119:D119)</f>
        <v>445554.36</v>
      </c>
    </row>
    <row r="120" spans="1:8" s="38" customFormat="1" ht="13" x14ac:dyDescent="0.3">
      <c r="A120" s="72" t="str">
        <f t="shared" si="18"/>
        <v>Disbursement Fee</v>
      </c>
      <c r="B120" s="124">
        <f t="shared" si="18"/>
        <v>3663.82</v>
      </c>
      <c r="C120" s="124">
        <f t="shared" si="19"/>
        <v>3674.3699999999994</v>
      </c>
      <c r="D120" s="124">
        <f t="shared" si="19"/>
        <v>4210.9800000000005</v>
      </c>
      <c r="E120" s="41">
        <f t="shared" ref="E120:E121" si="20">SUM(B120:D120)</f>
        <v>11549.17</v>
      </c>
    </row>
    <row r="121" spans="1:8" s="38" customFormat="1" ht="13" x14ac:dyDescent="0.3">
      <c r="A121" s="72" t="str">
        <f t="shared" si="18"/>
        <v>Other Income</v>
      </c>
      <c r="B121" s="124">
        <f t="shared" si="18"/>
        <v>2329.35</v>
      </c>
      <c r="C121" s="124">
        <f t="shared" si="19"/>
        <v>308.05999999999995</v>
      </c>
      <c r="D121" s="124">
        <f t="shared" si="19"/>
        <v>349.32000000000016</v>
      </c>
      <c r="E121" s="41">
        <f t="shared" si="20"/>
        <v>2986.73</v>
      </c>
    </row>
    <row r="122" spans="1:8" s="38" customFormat="1" ht="13" x14ac:dyDescent="0.3">
      <c r="A122" s="72" t="s">
        <v>8</v>
      </c>
      <c r="B122" s="124">
        <f>SUM(B119:B121)</f>
        <v>131230.07</v>
      </c>
      <c r="C122" s="124">
        <f>SUM(C119:C121)</f>
        <v>132817.9</v>
      </c>
      <c r="D122" s="124">
        <f>SUM(D119:D121)</f>
        <v>196042.29</v>
      </c>
      <c r="E122" s="41">
        <f>SUM(E119:E121)</f>
        <v>460090.25999999995</v>
      </c>
    </row>
    <row r="123" spans="1:8" x14ac:dyDescent="0.3">
      <c r="A123" s="50"/>
      <c r="B123" s="11"/>
      <c r="C123" s="11"/>
      <c r="D123" s="11"/>
      <c r="E123" s="11"/>
    </row>
    <row r="124" spans="1:8" s="38" customFormat="1" x14ac:dyDescent="0.3">
      <c r="A124" s="50" t="s">
        <v>12</v>
      </c>
      <c r="B124" s="11"/>
      <c r="C124" s="11"/>
      <c r="D124" s="11"/>
      <c r="E124" s="11"/>
    </row>
    <row r="125" spans="1:8" s="38" customFormat="1" ht="13" x14ac:dyDescent="0.3">
      <c r="A125" s="72" t="str">
        <f t="shared" ref="A125:A126" si="21">+A155</f>
        <v>Management Fees</v>
      </c>
      <c r="B125" s="124">
        <f>+B155</f>
        <v>-133319.59</v>
      </c>
      <c r="C125" s="124">
        <f t="shared" ref="C125:D129" si="22">+C155-B155</f>
        <v>-124805.48000000001</v>
      </c>
      <c r="D125" s="124">
        <f t="shared" si="22"/>
        <v>-140391.77999999997</v>
      </c>
      <c r="E125" s="41">
        <f>SUM(B125:D125)</f>
        <v>-398516.85</v>
      </c>
    </row>
    <row r="126" spans="1:8" s="38" customFormat="1" ht="13" x14ac:dyDescent="0.3">
      <c r="A126" s="72" t="str">
        <f t="shared" si="21"/>
        <v>Senior Loans Interests</v>
      </c>
      <c r="B126" s="124">
        <f>+B156</f>
        <v>-62688.6</v>
      </c>
      <c r="C126" s="124">
        <f t="shared" si="22"/>
        <v>-57400.46</v>
      </c>
      <c r="D126" s="124">
        <f t="shared" si="22"/>
        <v>-75754</v>
      </c>
      <c r="E126" s="41">
        <f t="shared" ref="E126:E128" si="23">SUM(B126:D126)</f>
        <v>-195843.06</v>
      </c>
    </row>
    <row r="127" spans="1:8" s="38" customFormat="1" ht="13" x14ac:dyDescent="0.3">
      <c r="A127" s="72" t="str">
        <f t="shared" ref="A127:A129" si="24">+A157</f>
        <v>Senior Loans Fees</v>
      </c>
      <c r="B127" s="124">
        <f>+B157</f>
        <v>-11923.62</v>
      </c>
      <c r="C127" s="124">
        <f t="shared" si="22"/>
        <v>-14089.42</v>
      </c>
      <c r="D127" s="124">
        <f t="shared" si="22"/>
        <v>-15733.04</v>
      </c>
      <c r="E127" s="41">
        <f t="shared" si="23"/>
        <v>-41746.080000000002</v>
      </c>
    </row>
    <row r="128" spans="1:8" s="38" customFormat="1" ht="13" x14ac:dyDescent="0.3">
      <c r="A128" s="72" t="str">
        <f t="shared" si="24"/>
        <v>Legal Expenses</v>
      </c>
      <c r="B128" s="124">
        <f>+B158</f>
        <v>-278.64</v>
      </c>
      <c r="C128" s="124">
        <f t="shared" si="22"/>
        <v>-3744.02</v>
      </c>
      <c r="D128" s="124">
        <f t="shared" si="22"/>
        <v>-11094.64</v>
      </c>
      <c r="E128" s="41">
        <f t="shared" si="23"/>
        <v>-15117.3</v>
      </c>
    </row>
    <row r="129" spans="1:7" s="80" customFormat="1" ht="10" x14ac:dyDescent="0.2">
      <c r="A129" s="107" t="str">
        <f t="shared" si="24"/>
        <v>Operational - Legal Expenses</v>
      </c>
      <c r="B129" s="118">
        <f>+B159</f>
        <v>-278.64</v>
      </c>
      <c r="C129" s="118">
        <f t="shared" si="22"/>
        <v>0</v>
      </c>
      <c r="D129" s="118">
        <f t="shared" si="22"/>
        <v>0</v>
      </c>
      <c r="E129" s="49">
        <f>SUM(B129:D129)</f>
        <v>-278.64</v>
      </c>
    </row>
    <row r="130" spans="1:7" s="80" customFormat="1" ht="10" x14ac:dyDescent="0.2">
      <c r="A130" s="107" t="str">
        <f>+A162</f>
        <v>Senior Loans - Legal Expenses</v>
      </c>
      <c r="B130" s="118">
        <f>+B162</f>
        <v>0</v>
      </c>
      <c r="C130" s="118">
        <f>+C162</f>
        <v>-3744.02</v>
      </c>
      <c r="D130" s="118">
        <f>+D162</f>
        <v>-14838.66</v>
      </c>
      <c r="E130" s="49">
        <f>SUM(B130:D130)</f>
        <v>-18582.68</v>
      </c>
    </row>
    <row r="131" spans="1:7" s="38" customFormat="1" ht="13" x14ac:dyDescent="0.3">
      <c r="A131" s="72" t="str">
        <f>+A165</f>
        <v>Bank and Account Charges</v>
      </c>
      <c r="B131" s="124">
        <f>+B165</f>
        <v>-135</v>
      </c>
      <c r="C131" s="124">
        <f>+C165-B165</f>
        <v>-175</v>
      </c>
      <c r="D131" s="124">
        <f>+D165-C165</f>
        <v>-390</v>
      </c>
      <c r="E131" s="41">
        <f>SUM(B131:D131)</f>
        <v>-700</v>
      </c>
    </row>
    <row r="132" spans="1:7" s="38" customFormat="1" ht="13" x14ac:dyDescent="0.3">
      <c r="A132" s="72" t="str">
        <f t="shared" ref="A132:A135" si="25">+A166</f>
        <v>Credit Committe Meetings Costs</v>
      </c>
      <c r="B132" s="124">
        <f>+B166</f>
        <v>0</v>
      </c>
      <c r="C132" s="124">
        <f>+C166</f>
        <v>-750</v>
      </c>
      <c r="D132" s="124">
        <f>+D166-C166</f>
        <v>-1500</v>
      </c>
      <c r="E132" s="41">
        <f t="shared" ref="E132:E135" si="26">SUM(B132:D132)</f>
        <v>-2250</v>
      </c>
    </row>
    <row r="133" spans="1:7" s="38" customFormat="1" ht="13" hidden="1" x14ac:dyDescent="0.3">
      <c r="A133" s="72" t="str">
        <f t="shared" si="25"/>
        <v>Advisory Committee Meetings Costs</v>
      </c>
      <c r="B133" s="124">
        <f>+B167</f>
        <v>0</v>
      </c>
      <c r="C133" s="124">
        <f>+C167</f>
        <v>0</v>
      </c>
      <c r="D133" s="124">
        <f>+D167</f>
        <v>0</v>
      </c>
      <c r="E133" s="41">
        <f t="shared" si="26"/>
        <v>0</v>
      </c>
    </row>
    <row r="134" spans="1:7" s="38" customFormat="1" ht="13" x14ac:dyDescent="0.3">
      <c r="A134" s="72" t="str">
        <f t="shared" si="25"/>
        <v>External Audit and Report Expenses</v>
      </c>
      <c r="B134" s="124">
        <f>+B168</f>
        <v>-2686.6666666666702</v>
      </c>
      <c r="C134" s="124">
        <f>+C168-B168</f>
        <v>-2686.67333333333</v>
      </c>
      <c r="D134" s="124">
        <f>+D168-C168</f>
        <v>-2686.67</v>
      </c>
      <c r="E134" s="41">
        <f t="shared" si="26"/>
        <v>-8060.01</v>
      </c>
    </row>
    <row r="135" spans="1:7" s="38" customFormat="1" ht="13" x14ac:dyDescent="0.3">
      <c r="A135" s="72" t="str">
        <f t="shared" si="25"/>
        <v>Insurance - D&amp;O</v>
      </c>
      <c r="B135" s="124">
        <f>+B169</f>
        <v>-1666.67</v>
      </c>
      <c r="C135" s="124">
        <f>+C169-B169</f>
        <v>-1666.67</v>
      </c>
      <c r="D135" s="124">
        <f>+D169-C169</f>
        <v>-916.67000000000007</v>
      </c>
      <c r="E135" s="41">
        <f t="shared" si="26"/>
        <v>-4250.01</v>
      </c>
    </row>
    <row r="136" spans="1:7" s="38" customFormat="1" ht="13" x14ac:dyDescent="0.3">
      <c r="A136" s="72" t="str">
        <f>+A170</f>
        <v>TOTAL EXPENSES</v>
      </c>
      <c r="B136" s="41">
        <f>+B125+B131+B127+B128+B132+B133+B134+B126+B135</f>
        <v>-212698.78666666668</v>
      </c>
      <c r="C136" s="41">
        <f>+C125+C131+C127+C128+C132+C133+C134+C126+C135</f>
        <v>-205317.72333333336</v>
      </c>
      <c r="D136" s="41">
        <f>+D125+D131+D127+D128+D132+D133+D134+D126+D135</f>
        <v>-248466.8</v>
      </c>
      <c r="E136" s="41">
        <f>+E125+E131+E127+E128+E132+E133+E134+E126+E135</f>
        <v>-666483.31000000006</v>
      </c>
    </row>
    <row r="137" spans="1:7" x14ac:dyDescent="0.3">
      <c r="A137" s="23"/>
      <c r="B137" s="71"/>
      <c r="C137" s="71"/>
      <c r="D137" s="71"/>
      <c r="E137" s="71"/>
    </row>
    <row r="138" spans="1:7" x14ac:dyDescent="0.3">
      <c r="A138" s="16" t="s">
        <v>118</v>
      </c>
      <c r="B138" s="13">
        <f>+B122+B136</f>
        <v>-81468.716666666674</v>
      </c>
      <c r="C138" s="13">
        <f>+C122+C136</f>
        <v>-72499.823333333363</v>
      </c>
      <c r="D138" s="13">
        <f>+D122+D136</f>
        <v>-52424.50999999998</v>
      </c>
      <c r="E138" s="13">
        <f>+E122+E136</f>
        <v>-206393.0500000001</v>
      </c>
    </row>
    <row r="139" spans="1:7" x14ac:dyDescent="0.3">
      <c r="A139" s="77"/>
      <c r="B139" s="40"/>
      <c r="C139" s="40"/>
      <c r="D139" s="40"/>
      <c r="E139" s="25"/>
      <c r="G139" s="51"/>
    </row>
    <row r="140" spans="1:7" x14ac:dyDescent="0.3">
      <c r="A140" s="78" t="s">
        <v>54</v>
      </c>
      <c r="B140" s="11">
        <f>+B174</f>
        <v>-218440.76999999996</v>
      </c>
      <c r="C140" s="11">
        <f>+C174-B174</f>
        <v>-145007.54000000004</v>
      </c>
      <c r="D140" s="11">
        <f>+D174-C174</f>
        <v>-135477.69</v>
      </c>
      <c r="E140" s="11">
        <f>SUM(B140:D140)</f>
        <v>-498926</v>
      </c>
      <c r="G140" s="51"/>
    </row>
    <row r="141" spans="1:7" x14ac:dyDescent="0.3">
      <c r="A141" s="10"/>
      <c r="B141" s="41"/>
      <c r="C141" s="41"/>
      <c r="D141" s="41"/>
      <c r="E141" s="72"/>
    </row>
    <row r="142" spans="1:7" x14ac:dyDescent="0.3">
      <c r="A142" s="42" t="s">
        <v>119</v>
      </c>
      <c r="B142" s="13">
        <f>+B138+B140</f>
        <v>-299909.48666666663</v>
      </c>
      <c r="C142" s="13">
        <f>+C138+C140</f>
        <v>-217507.3633333334</v>
      </c>
      <c r="D142" s="13">
        <f>+D138+D140</f>
        <v>-187902.19999999998</v>
      </c>
      <c r="E142" s="13">
        <f>+E138+E140</f>
        <v>-705319.05</v>
      </c>
      <c r="F142" s="51"/>
    </row>
    <row r="143" spans="1:7" x14ac:dyDescent="0.3">
      <c r="A143" s="43"/>
      <c r="B143" s="14"/>
      <c r="C143" s="14"/>
      <c r="D143" s="14"/>
      <c r="E143" s="14"/>
    </row>
    <row r="144" spans="1:7" x14ac:dyDescent="0.3">
      <c r="A144" s="43"/>
      <c r="B144" s="128"/>
      <c r="C144" s="128"/>
      <c r="D144" s="128"/>
      <c r="E144" s="84"/>
    </row>
    <row r="145" spans="1:5" x14ac:dyDescent="0.3">
      <c r="A145" s="43"/>
      <c r="B145" s="129"/>
      <c r="C145" s="129"/>
      <c r="D145" s="129"/>
      <c r="E145" s="85"/>
    </row>
    <row r="146" spans="1:5" x14ac:dyDescent="0.3">
      <c r="A146" s="25" t="s">
        <v>81</v>
      </c>
      <c r="B146" s="70"/>
      <c r="C146" s="70"/>
      <c r="D146" s="70"/>
      <c r="E146" s="36"/>
    </row>
    <row r="147" spans="1:5" x14ac:dyDescent="0.3">
      <c r="A147" s="50"/>
      <c r="B147" s="11"/>
      <c r="C147" s="11"/>
      <c r="D147" s="11"/>
      <c r="E147" s="64"/>
    </row>
    <row r="148" spans="1:5" s="38" customFormat="1" x14ac:dyDescent="0.3">
      <c r="A148" s="50" t="s">
        <v>11</v>
      </c>
      <c r="B148" s="11"/>
      <c r="C148" s="11"/>
      <c r="D148" s="11"/>
      <c r="E148" s="64"/>
    </row>
    <row r="149" spans="1:5" s="38" customFormat="1" ht="13" x14ac:dyDescent="0.3">
      <c r="A149" s="72" t="s">
        <v>35</v>
      </c>
      <c r="B149" s="124">
        <v>125236.9</v>
      </c>
      <c r="C149" s="124">
        <v>254072.37</v>
      </c>
      <c r="D149" s="124">
        <v>445554.36</v>
      </c>
      <c r="E149" s="89"/>
    </row>
    <row r="150" spans="1:5" s="38" customFormat="1" ht="13" x14ac:dyDescent="0.3">
      <c r="A150" s="72" t="s">
        <v>102</v>
      </c>
      <c r="B150" s="124">
        <v>3663.82</v>
      </c>
      <c r="C150" s="124">
        <v>7338.19</v>
      </c>
      <c r="D150" s="124">
        <v>11549.17</v>
      </c>
      <c r="E150" s="89"/>
    </row>
    <row r="151" spans="1:5" s="38" customFormat="1" ht="13" x14ac:dyDescent="0.3">
      <c r="A151" s="72" t="s">
        <v>89</v>
      </c>
      <c r="B151" s="124">
        <v>2329.35</v>
      </c>
      <c r="C151" s="124">
        <v>2637.41</v>
      </c>
      <c r="D151" s="124">
        <v>2986.73</v>
      </c>
      <c r="E151" s="89"/>
    </row>
    <row r="152" spans="1:5" x14ac:dyDescent="0.3">
      <c r="A152" s="50" t="s">
        <v>8</v>
      </c>
      <c r="B152" s="11">
        <f>SUM(B149:B151)</f>
        <v>131230.07</v>
      </c>
      <c r="C152" s="11">
        <f>SUM(C149:C151)</f>
        <v>264047.96999999997</v>
      </c>
      <c r="D152" s="11">
        <f>SUM(D149:D151)</f>
        <v>460090.25999999995</v>
      </c>
      <c r="E152" s="36"/>
    </row>
    <row r="153" spans="1:5" x14ac:dyDescent="0.3">
      <c r="A153" s="50"/>
      <c r="B153" s="11"/>
      <c r="C153" s="11"/>
      <c r="D153" s="11"/>
      <c r="E153" s="76"/>
    </row>
    <row r="154" spans="1:5" s="38" customFormat="1" x14ac:dyDescent="0.3">
      <c r="A154" s="50" t="s">
        <v>12</v>
      </c>
      <c r="B154" s="11"/>
      <c r="C154" s="11"/>
      <c r="D154" s="11"/>
      <c r="E154" s="36"/>
    </row>
    <row r="155" spans="1:5" s="38" customFormat="1" ht="13" x14ac:dyDescent="0.3">
      <c r="A155" s="72" t="s">
        <v>13</v>
      </c>
      <c r="B155" s="124">
        <v>-133319.59</v>
      </c>
      <c r="C155" s="124">
        <v>-258125.07</v>
      </c>
      <c r="D155" s="124">
        <v>-398516.85</v>
      </c>
      <c r="E155" s="111"/>
    </row>
    <row r="156" spans="1:5" s="38" customFormat="1" ht="13" x14ac:dyDescent="0.3">
      <c r="A156" s="72" t="s">
        <v>62</v>
      </c>
      <c r="B156" s="124">
        <f>-62688.6</f>
        <v>-62688.6</v>
      </c>
      <c r="C156" s="124">
        <v>-120089.06</v>
      </c>
      <c r="D156" s="124">
        <v>-195843.06</v>
      </c>
      <c r="E156" s="111"/>
    </row>
    <row r="157" spans="1:5" s="38" customFormat="1" ht="13" x14ac:dyDescent="0.3">
      <c r="A157" s="72" t="s">
        <v>120</v>
      </c>
      <c r="B157" s="124">
        <v>-11923.62</v>
      </c>
      <c r="C157" s="124">
        <v>-26013.040000000001</v>
      </c>
      <c r="D157" s="124">
        <v>-41746.080000000002</v>
      </c>
      <c r="E157" s="111"/>
    </row>
    <row r="158" spans="1:5" s="38" customFormat="1" ht="13" x14ac:dyDescent="0.3">
      <c r="A158" s="72" t="s">
        <v>20</v>
      </c>
      <c r="B158" s="124">
        <f>+B159+B162</f>
        <v>-278.64</v>
      </c>
      <c r="C158" s="124">
        <f>+C159+C162</f>
        <v>-4022.66</v>
      </c>
      <c r="D158" s="124">
        <f>+D159+D162</f>
        <v>-15117.3</v>
      </c>
      <c r="E158" s="87"/>
    </row>
    <row r="159" spans="1:5" s="80" customFormat="1" ht="10" x14ac:dyDescent="0.2">
      <c r="A159" s="107" t="s">
        <v>107</v>
      </c>
      <c r="B159" s="118">
        <f>+B160+B161</f>
        <v>-278.64</v>
      </c>
      <c r="C159" s="118">
        <f>+C160+C161</f>
        <v>-278.64</v>
      </c>
      <c r="D159" s="118">
        <f>+D160+D161</f>
        <v>-278.64</v>
      </c>
      <c r="E159" s="108"/>
    </row>
    <row r="160" spans="1:5" s="116" customFormat="1" ht="9" x14ac:dyDescent="0.2">
      <c r="A160" s="114" t="s">
        <v>131</v>
      </c>
      <c r="B160" s="120">
        <v>-176</v>
      </c>
      <c r="C160" s="120">
        <v>-176</v>
      </c>
      <c r="D160" s="120">
        <v>-176</v>
      </c>
      <c r="E160" s="115"/>
    </row>
    <row r="161" spans="1:5" s="116" customFormat="1" ht="9" x14ac:dyDescent="0.2">
      <c r="A161" s="114" t="s">
        <v>130</v>
      </c>
      <c r="B161" s="120">
        <v>-102.64</v>
      </c>
      <c r="C161" s="120">
        <v>-102.64</v>
      </c>
      <c r="D161" s="120">
        <v>-102.64</v>
      </c>
      <c r="E161" s="115"/>
    </row>
    <row r="162" spans="1:5" s="80" customFormat="1" ht="10" x14ac:dyDescent="0.2">
      <c r="A162" s="107" t="s">
        <v>106</v>
      </c>
      <c r="B162" s="118">
        <f t="shared" ref="B162:C162" si="27">+B163+B164</f>
        <v>0</v>
      </c>
      <c r="C162" s="118">
        <f t="shared" si="27"/>
        <v>-3744.02</v>
      </c>
      <c r="D162" s="118">
        <f>+D163+D164</f>
        <v>-14838.66</v>
      </c>
      <c r="E162" s="108"/>
    </row>
    <row r="163" spans="1:5" s="116" customFormat="1" ht="9" x14ac:dyDescent="0.2">
      <c r="A163" s="114" t="s">
        <v>104</v>
      </c>
      <c r="B163" s="120">
        <v>0</v>
      </c>
      <c r="C163" s="120">
        <v>-3744.02</v>
      </c>
      <c r="D163" s="120">
        <f>-3744.02-7094.64</f>
        <v>-10838.66</v>
      </c>
      <c r="E163" s="115"/>
    </row>
    <row r="164" spans="1:5" s="116" customFormat="1" ht="9" x14ac:dyDescent="0.2">
      <c r="A164" s="114" t="s">
        <v>117</v>
      </c>
      <c r="B164" s="120"/>
      <c r="C164" s="120">
        <v>0</v>
      </c>
      <c r="D164" s="120">
        <v>-4000</v>
      </c>
      <c r="E164" s="115"/>
    </row>
    <row r="165" spans="1:5" s="38" customFormat="1" ht="13" x14ac:dyDescent="0.3">
      <c r="A165" s="72" t="s">
        <v>23</v>
      </c>
      <c r="B165" s="124">
        <v>-135</v>
      </c>
      <c r="C165" s="124">
        <v>-310</v>
      </c>
      <c r="D165" s="124">
        <v>-700</v>
      </c>
      <c r="E165" s="86"/>
    </row>
    <row r="166" spans="1:5" s="38" customFormat="1" ht="13" x14ac:dyDescent="0.3">
      <c r="A166" s="72" t="s">
        <v>56</v>
      </c>
      <c r="B166" s="124">
        <v>0</v>
      </c>
      <c r="C166" s="124">
        <v>-750</v>
      </c>
      <c r="D166" s="124">
        <v>-2250</v>
      </c>
      <c r="E166" s="86"/>
    </row>
    <row r="167" spans="1:5" s="38" customFormat="1" ht="13" hidden="1" x14ac:dyDescent="0.3">
      <c r="A167" s="72" t="s">
        <v>68</v>
      </c>
      <c r="B167" s="124"/>
      <c r="C167" s="124"/>
      <c r="D167" s="124"/>
      <c r="E167" s="86"/>
    </row>
    <row r="168" spans="1:5" s="38" customFormat="1" ht="13" x14ac:dyDescent="0.3">
      <c r="A168" s="72" t="s">
        <v>110</v>
      </c>
      <c r="B168" s="124">
        <v>-2686.6666666666702</v>
      </c>
      <c r="C168" s="124">
        <v>-5373.34</v>
      </c>
      <c r="D168" s="124">
        <v>-8060.01</v>
      </c>
      <c r="E168" s="86"/>
    </row>
    <row r="169" spans="1:5" s="38" customFormat="1" ht="13" x14ac:dyDescent="0.3">
      <c r="A169" s="72" t="s">
        <v>71</v>
      </c>
      <c r="B169" s="124">
        <v>-1666.67</v>
      </c>
      <c r="C169" s="124">
        <v>-3333.34</v>
      </c>
      <c r="D169" s="124">
        <v>-4250.01</v>
      </c>
      <c r="E169" s="86"/>
    </row>
    <row r="170" spans="1:5" x14ac:dyDescent="0.3">
      <c r="A170" s="50" t="s">
        <v>14</v>
      </c>
      <c r="B170" s="11">
        <f>+B155+B165+B157+B158+B166+B167+B168+B156+B169</f>
        <v>-212698.78666666668</v>
      </c>
      <c r="C170" s="11">
        <f>+C155+C165+C157+C158+C166+C167+C168+C156+C169</f>
        <v>-418016.51</v>
      </c>
      <c r="D170" s="11">
        <f>+D155+D165+D157+D158+D166+D167+D168+D156+D169</f>
        <v>-666483.31000000006</v>
      </c>
      <c r="E170" s="36"/>
    </row>
    <row r="171" spans="1:5" x14ac:dyDescent="0.3">
      <c r="A171" s="23"/>
      <c r="B171" s="71"/>
      <c r="C171" s="71"/>
      <c r="D171" s="71"/>
      <c r="E171" s="36"/>
    </row>
    <row r="172" spans="1:5" x14ac:dyDescent="0.3">
      <c r="A172" s="16" t="s">
        <v>118</v>
      </c>
      <c r="B172" s="13">
        <f>+B152+B170</f>
        <v>-81468.716666666674</v>
      </c>
      <c r="C172" s="13">
        <f>+C152+C170</f>
        <v>-153968.54000000004</v>
      </c>
      <c r="D172" s="13">
        <f>+D152+D170</f>
        <v>-206393.0500000001</v>
      </c>
      <c r="E172" s="84"/>
    </row>
    <row r="173" spans="1:5" x14ac:dyDescent="0.3">
      <c r="A173" s="77"/>
      <c r="B173" s="40"/>
      <c r="C173" s="40"/>
      <c r="D173" s="40"/>
      <c r="E173" s="84"/>
    </row>
    <row r="174" spans="1:5" x14ac:dyDescent="0.3">
      <c r="A174" s="78" t="s">
        <v>54</v>
      </c>
      <c r="B174" s="11">
        <v>-218440.76999999996</v>
      </c>
      <c r="C174" s="11">
        <v>-363448.31</v>
      </c>
      <c r="D174" s="11">
        <v>-498926</v>
      </c>
      <c r="E174" s="151"/>
    </row>
    <row r="175" spans="1:5" x14ac:dyDescent="0.3">
      <c r="A175" s="10"/>
      <c r="B175" s="41"/>
      <c r="C175" s="41"/>
      <c r="D175" s="41"/>
      <c r="E175" s="84"/>
    </row>
    <row r="176" spans="1:5" x14ac:dyDescent="0.3">
      <c r="A176" s="42" t="s">
        <v>119</v>
      </c>
      <c r="B176" s="13">
        <f>+B172+B174</f>
        <v>-299909.48666666663</v>
      </c>
      <c r="C176" s="13">
        <f>+C172+C174</f>
        <v>-517416.85000000003</v>
      </c>
      <c r="D176" s="13">
        <f>+D172+D174</f>
        <v>-705319.05</v>
      </c>
    </row>
    <row r="178" spans="1:5" x14ac:dyDescent="0.3">
      <c r="A178" s="3"/>
      <c r="B178" s="93">
        <f>+B63-B114</f>
        <v>-3.3333338797092438E-3</v>
      </c>
      <c r="C178" s="93">
        <f>+C63-C114</f>
        <v>0</v>
      </c>
      <c r="D178" s="93">
        <f>+D63-D114</f>
        <v>0</v>
      </c>
      <c r="E178" s="90"/>
    </row>
    <row r="181" spans="1:5" x14ac:dyDescent="0.3">
      <c r="A181" s="3"/>
      <c r="B181" s="141"/>
      <c r="C181" s="141"/>
      <c r="D181" s="141"/>
    </row>
    <row r="182" spans="1:5" x14ac:dyDescent="0.3">
      <c r="A182" s="3"/>
      <c r="B182" s="26"/>
      <c r="C182" s="26"/>
      <c r="D182" s="26"/>
    </row>
    <row r="184" spans="1:5" x14ac:dyDescent="0.3">
      <c r="A184" s="3"/>
      <c r="B184" s="93"/>
      <c r="C184" s="93"/>
      <c r="D184" s="93"/>
    </row>
  </sheetData>
  <phoneticPr fontId="2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EF35-C412-4893-8487-148E141986B1}">
  <dimension ref="A1:F13"/>
  <sheetViews>
    <sheetView workbookViewId="0">
      <selection activeCell="G7" sqref="G7"/>
    </sheetView>
  </sheetViews>
  <sheetFormatPr defaultRowHeight="12.5" x14ac:dyDescent="0.25"/>
  <cols>
    <col min="2" max="2" width="21.36328125" bestFit="1" customWidth="1"/>
    <col min="3" max="3" width="9.90625" bestFit="1" customWidth="1"/>
    <col min="4" max="4" width="17.36328125" bestFit="1" customWidth="1"/>
    <col min="5" max="5" width="14.36328125" bestFit="1" customWidth="1"/>
  </cols>
  <sheetData>
    <row r="1" spans="1:6" ht="13" x14ac:dyDescent="0.3">
      <c r="A1" s="166" t="s">
        <v>158</v>
      </c>
      <c r="B1" s="166" t="s">
        <v>159</v>
      </c>
      <c r="C1" s="166" t="s">
        <v>36</v>
      </c>
      <c r="D1" s="166" t="s">
        <v>160</v>
      </c>
      <c r="E1" s="166" t="s">
        <v>161</v>
      </c>
      <c r="F1" s="166"/>
    </row>
    <row r="2" spans="1:6" x14ac:dyDescent="0.25">
      <c r="A2">
        <v>0</v>
      </c>
      <c r="B2" t="s">
        <v>49</v>
      </c>
      <c r="C2" t="s">
        <v>30</v>
      </c>
      <c r="D2" s="181">
        <v>44130</v>
      </c>
      <c r="E2" s="182">
        <v>3000000</v>
      </c>
    </row>
    <row r="3" spans="1:6" x14ac:dyDescent="0.25">
      <c r="A3">
        <v>1</v>
      </c>
      <c r="B3" t="s">
        <v>72</v>
      </c>
      <c r="C3" t="s">
        <v>30</v>
      </c>
      <c r="D3" s="181">
        <v>44134</v>
      </c>
      <c r="E3" s="182">
        <v>1200000</v>
      </c>
    </row>
    <row r="4" spans="1:6" x14ac:dyDescent="0.25">
      <c r="A4">
        <v>2</v>
      </c>
      <c r="B4" t="s">
        <v>162</v>
      </c>
      <c r="C4" t="s">
        <v>34</v>
      </c>
      <c r="D4" s="181">
        <v>44174</v>
      </c>
      <c r="E4" s="182">
        <v>750000</v>
      </c>
    </row>
    <row r="5" spans="1:6" x14ac:dyDescent="0.25">
      <c r="A5">
        <v>3</v>
      </c>
      <c r="B5" t="s">
        <v>41</v>
      </c>
      <c r="C5" t="s">
        <v>29</v>
      </c>
      <c r="D5" s="181">
        <v>44188</v>
      </c>
      <c r="E5" s="182">
        <v>5000000</v>
      </c>
    </row>
    <row r="6" spans="1:6" x14ac:dyDescent="0.25">
      <c r="A6">
        <v>4</v>
      </c>
      <c r="B6" t="s">
        <v>163</v>
      </c>
      <c r="C6" t="s">
        <v>63</v>
      </c>
      <c r="D6" s="181">
        <v>44194</v>
      </c>
      <c r="E6" s="182">
        <v>2000000</v>
      </c>
    </row>
    <row r="7" spans="1:6" x14ac:dyDescent="0.25">
      <c r="A7">
        <v>5</v>
      </c>
      <c r="B7" t="s">
        <v>164</v>
      </c>
      <c r="C7" t="s">
        <v>27</v>
      </c>
      <c r="D7" s="181">
        <v>44196</v>
      </c>
      <c r="E7" s="182">
        <v>500000</v>
      </c>
    </row>
    <row r="8" spans="1:6" x14ac:dyDescent="0.25">
      <c r="A8">
        <v>6</v>
      </c>
      <c r="B8" t="s">
        <v>165</v>
      </c>
      <c r="C8" t="s">
        <v>33</v>
      </c>
      <c r="D8" s="181">
        <v>44208</v>
      </c>
      <c r="E8" s="182">
        <v>5000000</v>
      </c>
    </row>
    <row r="9" spans="1:6" x14ac:dyDescent="0.25">
      <c r="A9">
        <v>7</v>
      </c>
      <c r="B9" t="s">
        <v>166</v>
      </c>
      <c r="C9" t="s">
        <v>167</v>
      </c>
      <c r="D9" s="181">
        <v>44215</v>
      </c>
      <c r="E9" s="182">
        <v>1000000</v>
      </c>
    </row>
    <row r="10" spans="1:6" x14ac:dyDescent="0.25">
      <c r="A10">
        <v>8</v>
      </c>
      <c r="B10" t="s">
        <v>168</v>
      </c>
      <c r="C10" t="s">
        <v>30</v>
      </c>
      <c r="D10" s="181">
        <v>44246</v>
      </c>
      <c r="E10" s="182">
        <v>840000</v>
      </c>
    </row>
    <row r="11" spans="1:6" x14ac:dyDescent="0.25">
      <c r="A11">
        <v>9</v>
      </c>
      <c r="B11" t="s">
        <v>169</v>
      </c>
      <c r="C11" t="s">
        <v>33</v>
      </c>
      <c r="D11" s="181">
        <v>44258</v>
      </c>
      <c r="E11" s="182">
        <v>4000000</v>
      </c>
    </row>
    <row r="12" spans="1:6" x14ac:dyDescent="0.25">
      <c r="A12">
        <v>10</v>
      </c>
      <c r="B12" t="s">
        <v>170</v>
      </c>
      <c r="C12" t="s">
        <v>27</v>
      </c>
      <c r="D12" s="181">
        <v>44280</v>
      </c>
      <c r="E12" s="182">
        <v>2800000</v>
      </c>
    </row>
    <row r="13" spans="1:6" x14ac:dyDescent="0.25">
      <c r="A13">
        <v>11</v>
      </c>
      <c r="B13" t="s">
        <v>72</v>
      </c>
      <c r="C13" t="s">
        <v>30</v>
      </c>
      <c r="D13" s="181">
        <v>44281</v>
      </c>
      <c r="E13" s="182">
        <v>1900000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59"/>
  <sheetViews>
    <sheetView showGridLines="0" topLeftCell="A7" workbookViewId="0">
      <selection activeCell="D59" sqref="D59"/>
    </sheetView>
  </sheetViews>
  <sheetFormatPr defaultColWidth="10.90625" defaultRowHeight="12.5" x14ac:dyDescent="0.25"/>
  <cols>
    <col min="2" max="2" width="31.81640625" customWidth="1"/>
    <col min="3" max="3" width="2.453125" customWidth="1"/>
    <col min="4" max="4" width="12.81640625" customWidth="1"/>
    <col min="5" max="7" width="13.1796875" customWidth="1"/>
  </cols>
  <sheetData>
    <row r="3" spans="2:9" ht="13" x14ac:dyDescent="0.3">
      <c r="B3" s="170">
        <v>44255</v>
      </c>
    </row>
    <row r="4" spans="2:9" ht="13" x14ac:dyDescent="0.3">
      <c r="B4" s="163" t="s">
        <v>145</v>
      </c>
      <c r="C4" s="163"/>
      <c r="D4" s="165" t="s">
        <v>140</v>
      </c>
      <c r="E4" s="165" t="s">
        <v>140</v>
      </c>
      <c r="G4" s="165" t="s">
        <v>141</v>
      </c>
    </row>
    <row r="5" spans="2:9" ht="13" x14ac:dyDescent="0.3">
      <c r="D5" s="166" t="s">
        <v>143</v>
      </c>
      <c r="E5" s="166" t="s">
        <v>142</v>
      </c>
      <c r="F5" s="165" t="s">
        <v>144</v>
      </c>
      <c r="G5" s="166"/>
    </row>
    <row r="7" spans="2:9" x14ac:dyDescent="0.25">
      <c r="B7" s="164" t="s">
        <v>135</v>
      </c>
      <c r="C7" s="164"/>
      <c r="D7" s="167">
        <v>388.88888888888891</v>
      </c>
      <c r="E7" s="167">
        <v>7527.79</v>
      </c>
      <c r="F7" s="167">
        <v>-6708.33</v>
      </c>
      <c r="G7" s="167">
        <f>+E7+F7</f>
        <v>819.46</v>
      </c>
    </row>
    <row r="8" spans="2:9" x14ac:dyDescent="0.25">
      <c r="B8" s="164" t="s">
        <v>136</v>
      </c>
      <c r="C8" s="164"/>
      <c r="D8" s="167">
        <v>388.88888888888891</v>
      </c>
      <c r="E8" s="167">
        <v>7527</v>
      </c>
      <c r="F8" s="167">
        <v>-7527</v>
      </c>
      <c r="G8" s="167">
        <f t="shared" ref="G8:G11" si="0">+E8+F8</f>
        <v>0</v>
      </c>
    </row>
    <row r="9" spans="2:9" x14ac:dyDescent="0.25">
      <c r="B9" s="164" t="s">
        <v>137</v>
      </c>
      <c r="C9" s="164"/>
      <c r="D9" s="167">
        <v>41.67</v>
      </c>
      <c r="E9" s="167">
        <v>791.66666666666663</v>
      </c>
      <c r="F9" s="167"/>
      <c r="G9" s="167">
        <f t="shared" si="0"/>
        <v>791.66666666666663</v>
      </c>
      <c r="I9" s="169"/>
    </row>
    <row r="10" spans="2:9" x14ac:dyDescent="0.25">
      <c r="B10" s="164" t="s">
        <v>138</v>
      </c>
      <c r="C10" s="164"/>
      <c r="D10" s="171">
        <f>7777.77777777778+277.78</f>
        <v>8055.5577777777798</v>
      </c>
      <c r="E10" s="167">
        <v>23055.555555555555</v>
      </c>
      <c r="F10" s="167"/>
      <c r="G10" s="167">
        <f t="shared" si="0"/>
        <v>23055.555555555555</v>
      </c>
    </row>
    <row r="11" spans="2:9" x14ac:dyDescent="0.25">
      <c r="B11" s="164" t="s">
        <v>139</v>
      </c>
      <c r="C11" s="164"/>
      <c r="D11" s="171">
        <v>2638.8888888888891</v>
      </c>
      <c r="E11" s="167">
        <v>2638.8888888888891</v>
      </c>
      <c r="F11" s="167"/>
      <c r="G11" s="167">
        <f t="shared" si="0"/>
        <v>2638.8888888888891</v>
      </c>
    </row>
    <row r="12" spans="2:9" ht="13.5" thickBot="1" x14ac:dyDescent="0.35">
      <c r="D12" s="168">
        <f t="shared" ref="D12:F12" si="1">SUM(D7:D11)</f>
        <v>11513.894444444446</v>
      </c>
      <c r="E12" s="168">
        <f t="shared" si="1"/>
        <v>41540.90111111111</v>
      </c>
      <c r="F12" s="168">
        <f t="shared" si="1"/>
        <v>-14235.33</v>
      </c>
      <c r="G12" s="168">
        <f>SUM(G7:G11)</f>
        <v>27305.571111111112</v>
      </c>
      <c r="H12">
        <f>+'2021'!C72</f>
        <v>27305.58</v>
      </c>
      <c r="I12" s="169">
        <f>+H12-G12</f>
        <v>8.8888888894871343E-3</v>
      </c>
    </row>
    <row r="13" spans="2:9" ht="13" thickTop="1" x14ac:dyDescent="0.25">
      <c r="D13" s="167"/>
      <c r="E13" s="167"/>
      <c r="F13" s="167"/>
      <c r="G13" s="167"/>
    </row>
    <row r="16" spans="2:9" ht="13" x14ac:dyDescent="0.3">
      <c r="B16" s="170">
        <f>+B3</f>
        <v>44255</v>
      </c>
    </row>
    <row r="17" spans="2:9" ht="13" x14ac:dyDescent="0.3">
      <c r="B17" s="163" t="s">
        <v>146</v>
      </c>
      <c r="C17" s="163"/>
      <c r="D17" s="165" t="s">
        <v>140</v>
      </c>
      <c r="E17" s="165" t="s">
        <v>140</v>
      </c>
      <c r="G17" s="165" t="s">
        <v>147</v>
      </c>
    </row>
    <row r="18" spans="2:9" ht="13" x14ac:dyDescent="0.3">
      <c r="D18" s="166" t="s">
        <v>143</v>
      </c>
      <c r="E18" s="166" t="s">
        <v>142</v>
      </c>
      <c r="F18" s="165" t="s">
        <v>144</v>
      </c>
      <c r="G18" s="166"/>
    </row>
    <row r="20" spans="2:9" x14ac:dyDescent="0.25">
      <c r="B20" s="164" t="s">
        <v>135</v>
      </c>
      <c r="C20" s="164"/>
      <c r="D20" s="167">
        <v>591.54929577464782</v>
      </c>
      <c r="E20" s="167">
        <v>1669.0140845070421</v>
      </c>
      <c r="F20" s="167">
        <v>-60000</v>
      </c>
      <c r="G20" s="167">
        <f>+E20+F20</f>
        <v>-58330.985915492958</v>
      </c>
    </row>
    <row r="21" spans="2:9" x14ac:dyDescent="0.25">
      <c r="B21" s="164" t="s">
        <v>136</v>
      </c>
      <c r="C21" s="164"/>
      <c r="D21" s="167">
        <v>528.99329185958106</v>
      </c>
      <c r="E21" s="167">
        <v>1432.9280667620978</v>
      </c>
      <c r="F21" s="167">
        <v>-60000</v>
      </c>
      <c r="G21" s="167">
        <f t="shared" ref="G21:G24" si="2">+E21+F21</f>
        <v>-58567.071933237901</v>
      </c>
    </row>
    <row r="22" spans="2:9" x14ac:dyDescent="0.25">
      <c r="B22" s="164" t="s">
        <v>137</v>
      </c>
      <c r="C22" s="164"/>
      <c r="D22" s="167">
        <v>147.99154334038053</v>
      </c>
      <c r="E22" s="167">
        <v>459.83086680761102</v>
      </c>
      <c r="F22" s="167">
        <v>-15000</v>
      </c>
      <c r="G22" s="167">
        <f t="shared" si="2"/>
        <v>-14540.169133192388</v>
      </c>
      <c r="I22" s="169"/>
    </row>
    <row r="23" spans="2:9" x14ac:dyDescent="0.25">
      <c r="B23" s="164" t="s">
        <v>139</v>
      </c>
      <c r="C23" s="164"/>
      <c r="D23" s="171">
        <v>328.64864864864865</v>
      </c>
      <c r="E23" s="167">
        <v>328.64864864864865</v>
      </c>
      <c r="F23" s="167">
        <v>-38000</v>
      </c>
      <c r="G23" s="167">
        <f t="shared" si="2"/>
        <v>-37671.351351351354</v>
      </c>
    </row>
    <row r="24" spans="2:9" x14ac:dyDescent="0.25">
      <c r="B24" s="164" t="s">
        <v>148</v>
      </c>
      <c r="C24" s="164"/>
      <c r="D24" s="171">
        <v>978.33682739343112</v>
      </c>
      <c r="E24" s="167">
        <v>3529.0006988120194</v>
      </c>
      <c r="F24" s="167">
        <v>-100000</v>
      </c>
      <c r="G24" s="167">
        <f t="shared" si="2"/>
        <v>-96470.999301187985</v>
      </c>
    </row>
    <row r="25" spans="2:9" ht="13.5" thickBot="1" x14ac:dyDescent="0.35">
      <c r="C25" s="168">
        <f>SUM(C20:C24)</f>
        <v>0</v>
      </c>
      <c r="D25" s="168">
        <f>SUM(D20:D24)</f>
        <v>2575.519607016689</v>
      </c>
      <c r="E25" s="168">
        <f>SUM(E20:E24)</f>
        <v>7419.422365537419</v>
      </c>
      <c r="F25" s="168">
        <f>SUM(F20:F24)</f>
        <v>-273000</v>
      </c>
      <c r="G25" s="168">
        <f>SUM(G20:G24)</f>
        <v>-265580.57763446262</v>
      </c>
      <c r="H25">
        <f>+'2021'!C94</f>
        <v>-265580.57</v>
      </c>
      <c r="I25" s="169">
        <f>+H25-G25</f>
        <v>7.6344626140780747E-3</v>
      </c>
    </row>
    <row r="26" spans="2:9" ht="13" thickTop="1" x14ac:dyDescent="0.25"/>
    <row r="27" spans="2:9" x14ac:dyDescent="0.25">
      <c r="D27" s="169">
        <f>+D25+D12</f>
        <v>14089.414051461135</v>
      </c>
    </row>
    <row r="28" spans="2:9" x14ac:dyDescent="0.25">
      <c r="D28">
        <f>-'2021'!C127</f>
        <v>14089.42</v>
      </c>
    </row>
    <row r="29" spans="2:9" x14ac:dyDescent="0.25">
      <c r="D29" s="169">
        <f>+D28-D27</f>
        <v>5.9485388646862702E-3</v>
      </c>
    </row>
    <row r="33" spans="2:9" ht="13" x14ac:dyDescent="0.3">
      <c r="B33" s="170">
        <v>44286</v>
      </c>
    </row>
    <row r="34" spans="2:9" ht="13" x14ac:dyDescent="0.3">
      <c r="B34" s="163" t="s">
        <v>145</v>
      </c>
      <c r="C34" s="163"/>
      <c r="D34" s="165" t="s">
        <v>140</v>
      </c>
      <c r="E34" s="165" t="s">
        <v>140</v>
      </c>
      <c r="G34" s="165" t="s">
        <v>141</v>
      </c>
    </row>
    <row r="35" spans="2:9" ht="13" x14ac:dyDescent="0.3">
      <c r="D35" s="166" t="s">
        <v>143</v>
      </c>
      <c r="E35" s="166" t="s">
        <v>142</v>
      </c>
      <c r="F35" s="165" t="s">
        <v>144</v>
      </c>
      <c r="G35" s="166"/>
    </row>
    <row r="37" spans="2:9" x14ac:dyDescent="0.25">
      <c r="B37" s="164" t="s">
        <v>135</v>
      </c>
      <c r="C37" s="164"/>
      <c r="D37" s="167">
        <v>430.55555555555554</v>
      </c>
      <c r="E37" s="167">
        <v>1250</v>
      </c>
      <c r="F37" s="167">
        <v>0</v>
      </c>
      <c r="G37" s="167">
        <f>+E37+F37</f>
        <v>1250</v>
      </c>
    </row>
    <row r="38" spans="2:9" x14ac:dyDescent="0.25">
      <c r="B38" s="164" t="s">
        <v>136</v>
      </c>
      <c r="C38" s="164"/>
      <c r="D38" s="167">
        <v>430.55555555555554</v>
      </c>
      <c r="E38" s="167">
        <v>430.55555555555554</v>
      </c>
      <c r="F38" s="167">
        <v>0</v>
      </c>
      <c r="G38" s="167">
        <f t="shared" ref="G38:G41" si="3">+E38+F38</f>
        <v>430.55555555555554</v>
      </c>
    </row>
    <row r="39" spans="2:9" x14ac:dyDescent="0.25">
      <c r="B39" s="164" t="s">
        <v>137</v>
      </c>
      <c r="C39" s="164"/>
      <c r="D39" s="167">
        <v>0</v>
      </c>
      <c r="E39" s="167">
        <v>0</v>
      </c>
      <c r="F39" s="167"/>
      <c r="G39" s="167">
        <f t="shared" si="3"/>
        <v>0</v>
      </c>
      <c r="I39" s="169"/>
    </row>
    <row r="40" spans="2:9" x14ac:dyDescent="0.25">
      <c r="B40" s="164" t="s">
        <v>138</v>
      </c>
      <c r="C40" s="164"/>
      <c r="D40" s="171">
        <v>8611.1111111111113</v>
      </c>
      <c r="E40" s="167">
        <v>31666.666666666664</v>
      </c>
      <c r="F40" s="167">
        <v>-28611.111111111099</v>
      </c>
      <c r="G40" s="167">
        <f t="shared" si="3"/>
        <v>3055.5555555555657</v>
      </c>
    </row>
    <row r="41" spans="2:9" x14ac:dyDescent="0.25">
      <c r="B41" s="164" t="s">
        <v>139</v>
      </c>
      <c r="C41" s="164"/>
      <c r="D41" s="171">
        <v>3272.2222222222222</v>
      </c>
      <c r="E41" s="167">
        <v>5911.1111111111113</v>
      </c>
      <c r="F41" s="167">
        <v>-3588.8888888888901</v>
      </c>
      <c r="G41" s="167">
        <f t="shared" si="3"/>
        <v>2322.2222222222213</v>
      </c>
    </row>
    <row r="42" spans="2:9" ht="13.5" thickBot="1" x14ac:dyDescent="0.35">
      <c r="D42" s="168">
        <f t="shared" ref="D42:F42" si="4">SUM(D37:D41)</f>
        <v>12744.444444444445</v>
      </c>
      <c r="E42" s="168">
        <f t="shared" si="4"/>
        <v>39258.333333333328</v>
      </c>
      <c r="F42" s="168">
        <f t="shared" si="4"/>
        <v>-32199.999999999989</v>
      </c>
      <c r="G42" s="168">
        <f>SUM(G37:G41)</f>
        <v>7058.333333333343</v>
      </c>
      <c r="H42">
        <f>+'2021'!D72</f>
        <v>7058.37</v>
      </c>
      <c r="I42" s="174">
        <f>+H42-G42</f>
        <v>3.666666665685625E-2</v>
      </c>
    </row>
    <row r="43" spans="2:9" ht="13" thickTop="1" x14ac:dyDescent="0.25">
      <c r="D43" s="167"/>
      <c r="E43" s="167"/>
      <c r="F43" s="167"/>
      <c r="G43" s="167"/>
    </row>
    <row r="46" spans="2:9" ht="13" x14ac:dyDescent="0.3">
      <c r="B46" s="170">
        <f>+B33</f>
        <v>44286</v>
      </c>
    </row>
    <row r="47" spans="2:9" ht="13" x14ac:dyDescent="0.3">
      <c r="B47" s="163" t="s">
        <v>146</v>
      </c>
      <c r="C47" s="163"/>
      <c r="D47" s="165" t="s">
        <v>140</v>
      </c>
      <c r="E47" s="165" t="s">
        <v>140</v>
      </c>
      <c r="G47" s="165" t="s">
        <v>147</v>
      </c>
    </row>
    <row r="48" spans="2:9" ht="13" x14ac:dyDescent="0.3">
      <c r="D48" s="166" t="s">
        <v>143</v>
      </c>
      <c r="E48" s="166" t="s">
        <v>142</v>
      </c>
      <c r="F48" s="165" t="s">
        <v>144</v>
      </c>
      <c r="G48" s="166"/>
    </row>
    <row r="50" spans="2:9" x14ac:dyDescent="0.25">
      <c r="B50" s="164" t="s">
        <v>135</v>
      </c>
      <c r="C50" s="164"/>
      <c r="D50" s="167">
        <v>654.92957746478874</v>
      </c>
      <c r="E50" s="167">
        <v>2323.9436619718308</v>
      </c>
      <c r="F50" s="167">
        <v>-60000</v>
      </c>
      <c r="G50" s="167">
        <f>+E50+F50</f>
        <v>-57676.056338028167</v>
      </c>
    </row>
    <row r="51" spans="2:9" x14ac:dyDescent="0.25">
      <c r="B51" s="164" t="s">
        <v>136</v>
      </c>
      <c r="C51" s="164"/>
      <c r="D51" s="167">
        <v>662.13684534295226</v>
      </c>
      <c r="E51" s="167">
        <v>2095.0649121050501</v>
      </c>
      <c r="F51" s="167">
        <v>-60000</v>
      </c>
      <c r="G51" s="167">
        <f t="shared" ref="G51:G54" si="5">+E51+F51</f>
        <v>-57904.935087894948</v>
      </c>
    </row>
    <row r="52" spans="2:9" x14ac:dyDescent="0.25">
      <c r="B52" s="164" t="s">
        <v>137</v>
      </c>
      <c r="C52" s="164"/>
      <c r="D52" s="167">
        <v>163.84778012684995</v>
      </c>
      <c r="E52" s="167">
        <v>623.67864693446097</v>
      </c>
      <c r="F52" s="167">
        <v>-15000</v>
      </c>
      <c r="G52" s="167">
        <f t="shared" si="5"/>
        <v>-14376.321353065539</v>
      </c>
      <c r="I52" s="169"/>
    </row>
    <row r="53" spans="2:9" x14ac:dyDescent="0.25">
      <c r="B53" s="164" t="s">
        <v>139</v>
      </c>
      <c r="C53" s="164"/>
      <c r="D53" s="171">
        <v>424.50450450450455</v>
      </c>
      <c r="E53" s="167">
        <v>753.1531531531532</v>
      </c>
      <c r="F53" s="167">
        <v>-38000</v>
      </c>
      <c r="G53" s="167">
        <f t="shared" si="5"/>
        <v>-37246.846846846849</v>
      </c>
    </row>
    <row r="54" spans="2:9" x14ac:dyDescent="0.25">
      <c r="B54" s="164" t="s">
        <v>148</v>
      </c>
      <c r="C54" s="164"/>
      <c r="D54" s="171">
        <v>1083.1586303284412</v>
      </c>
      <c r="E54" s="167">
        <v>4612.1593291404606</v>
      </c>
      <c r="F54" s="167">
        <v>-100000</v>
      </c>
      <c r="G54" s="167">
        <f t="shared" si="5"/>
        <v>-95387.840670859543</v>
      </c>
    </row>
    <row r="55" spans="2:9" ht="13.5" thickBot="1" x14ac:dyDescent="0.35">
      <c r="C55" s="168">
        <f>SUM(C50:C54)</f>
        <v>0</v>
      </c>
      <c r="D55" s="168">
        <f>SUM(D50:D54)</f>
        <v>2988.5773377675368</v>
      </c>
      <c r="E55" s="168">
        <f>SUM(E50:E54)</f>
        <v>10407.999703304955</v>
      </c>
      <c r="F55" s="168">
        <f>SUM(F50:F54)</f>
        <v>-273000</v>
      </c>
      <c r="G55" s="168">
        <f>SUM(G50:G54)</f>
        <v>-262592.00029669504</v>
      </c>
      <c r="H55">
        <f>+'2021'!D94</f>
        <v>-262591.99</v>
      </c>
      <c r="I55" s="169">
        <f>+H55-G55</f>
        <v>1.0296695050783455E-2</v>
      </c>
    </row>
    <row r="56" spans="2:9" ht="13" thickTop="1" x14ac:dyDescent="0.25"/>
    <row r="57" spans="2:9" x14ac:dyDescent="0.25">
      <c r="D57" s="169">
        <f>+D55+D42</f>
        <v>15733.021782211981</v>
      </c>
    </row>
    <row r="58" spans="2:9" x14ac:dyDescent="0.25">
      <c r="D58">
        <f>-'2021'!D127</f>
        <v>15733.04</v>
      </c>
    </row>
    <row r="59" spans="2:9" x14ac:dyDescent="0.25">
      <c r="D59" s="169">
        <f>+D58-D57</f>
        <v>1.8217788019683212E-2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F458-1089-4FBA-9086-15E638937910}">
  <dimension ref="A1:I35"/>
  <sheetViews>
    <sheetView showGridLines="0" zoomScale="145" zoomScaleNormal="145" workbookViewId="0">
      <selection activeCell="D19" sqref="D19"/>
    </sheetView>
  </sheetViews>
  <sheetFormatPr defaultColWidth="11.453125" defaultRowHeight="10" outlineLevelRow="1" x14ac:dyDescent="0.2"/>
  <cols>
    <col min="1" max="1" width="11.54296875" style="37" customWidth="1"/>
    <col min="2" max="2" width="20.54296875" style="37" customWidth="1"/>
    <col min="3" max="4" width="15.26953125" style="57" customWidth="1"/>
    <col min="5" max="5" width="13.26953125" style="57" customWidth="1"/>
    <col min="6" max="6" width="15.26953125" style="37" customWidth="1"/>
    <col min="7" max="7" width="15.453125" style="37" customWidth="1"/>
    <col min="8" max="8" width="15.453125" style="45" customWidth="1"/>
    <col min="9" max="16384" width="11.453125" style="37"/>
  </cols>
  <sheetData>
    <row r="1" spans="1:9" ht="34.5" x14ac:dyDescent="0.25">
      <c r="A1" s="32" t="s">
        <v>36</v>
      </c>
      <c r="B1" s="33" t="s">
        <v>37</v>
      </c>
      <c r="C1" s="34" t="s">
        <v>38</v>
      </c>
      <c r="D1" s="34" t="s">
        <v>39</v>
      </c>
      <c r="E1" s="175" t="s">
        <v>101</v>
      </c>
      <c r="F1" s="34" t="s">
        <v>31</v>
      </c>
    </row>
    <row r="2" spans="1:9" outlineLevel="1" x14ac:dyDescent="0.2">
      <c r="A2" s="92" t="s">
        <v>33</v>
      </c>
      <c r="B2" s="37" t="s">
        <v>152</v>
      </c>
      <c r="C2" s="55">
        <f>+'2021'!D14</f>
        <v>5000000</v>
      </c>
      <c r="D2" s="55">
        <f>+'2021'!D15</f>
        <v>92516.67</v>
      </c>
      <c r="E2" s="55">
        <f>+'2021'!D16</f>
        <v>-37833.33</v>
      </c>
      <c r="F2" s="55">
        <f>+C2+D2+E2</f>
        <v>5054683.34</v>
      </c>
      <c r="I2" s="88"/>
    </row>
    <row r="3" spans="1:9" outlineLevel="1" x14ac:dyDescent="0.2">
      <c r="A3" s="92"/>
      <c r="B3" s="37" t="s">
        <v>153</v>
      </c>
      <c r="C3" s="55">
        <f>+'2021'!D18</f>
        <v>4000000</v>
      </c>
      <c r="D3" s="55">
        <f>+'2021'!D19</f>
        <v>31733.33</v>
      </c>
      <c r="E3" s="55">
        <f>+'2021'!D20</f>
        <v>-39166.67</v>
      </c>
      <c r="F3" s="55">
        <f>+C3+D3+E3</f>
        <v>3992566.66</v>
      </c>
      <c r="I3" s="88"/>
    </row>
    <row r="4" spans="1:9" ht="10.5" x14ac:dyDescent="0.25">
      <c r="A4" s="176" t="s">
        <v>40</v>
      </c>
      <c r="B4" s="180"/>
      <c r="C4" s="56">
        <f>+SUM(C2:C3)</f>
        <v>9000000</v>
      </c>
      <c r="D4" s="56">
        <f>+SUM(D2:D3)</f>
        <v>124250</v>
      </c>
      <c r="E4" s="56">
        <f>+SUM(E2:E3)</f>
        <v>-77000</v>
      </c>
      <c r="F4" s="56">
        <f>+SUM(F2:F3)</f>
        <v>9047250</v>
      </c>
      <c r="H4" s="45">
        <f>F4/$F$21</f>
        <v>0.32796483936780241</v>
      </c>
      <c r="I4" s="88"/>
    </row>
    <row r="5" spans="1:9" outlineLevel="1" x14ac:dyDescent="0.2">
      <c r="B5" s="37" t="s">
        <v>49</v>
      </c>
      <c r="C5" s="55">
        <f>+'2021'!D23</f>
        <v>3000000</v>
      </c>
      <c r="D5" s="55">
        <f>+'2021'!D24</f>
        <v>54999.99</v>
      </c>
      <c r="E5" s="55">
        <f>+'2021'!D25</f>
        <v>-26750</v>
      </c>
      <c r="F5" s="55">
        <f>+C5+D5+E5</f>
        <v>3028249.99</v>
      </c>
      <c r="I5" s="88"/>
    </row>
    <row r="6" spans="1:9" outlineLevel="1" x14ac:dyDescent="0.2">
      <c r="A6" s="92" t="s">
        <v>30</v>
      </c>
      <c r="B6" s="37" t="s">
        <v>72</v>
      </c>
      <c r="C6" s="55">
        <f>+'2021'!D27</f>
        <v>1200000</v>
      </c>
      <c r="D6" s="55">
        <f>+'2021'!D28</f>
        <v>21333.32</v>
      </c>
      <c r="E6" s="55">
        <f>+'2021'!D29</f>
        <v>-10733.33</v>
      </c>
      <c r="F6" s="55">
        <f t="shared" ref="F6:F8" si="0">+C6+D6+E6</f>
        <v>1210599.99</v>
      </c>
      <c r="I6" s="88"/>
    </row>
    <row r="7" spans="1:9" outlineLevel="1" x14ac:dyDescent="0.2">
      <c r="A7" s="92"/>
      <c r="B7" s="37" t="s">
        <v>79</v>
      </c>
      <c r="C7" s="55">
        <f>+'2021'!D55</f>
        <v>1900000</v>
      </c>
      <c r="D7" s="55">
        <f>+'2021'!D56</f>
        <v>2480.56</v>
      </c>
      <c r="E7" s="55">
        <f>+'2021'!D57</f>
        <v>-17040.63</v>
      </c>
      <c r="F7" s="55">
        <f t="shared" si="0"/>
        <v>1885439.9300000002</v>
      </c>
      <c r="I7" s="88"/>
    </row>
    <row r="8" spans="1:9" outlineLevel="1" x14ac:dyDescent="0.2">
      <c r="B8" s="100" t="s">
        <v>154</v>
      </c>
      <c r="C8" s="55">
        <f>+'2021'!D51</f>
        <v>840000</v>
      </c>
      <c r="D8" s="55">
        <f>+'2021'!D52</f>
        <v>9333.33</v>
      </c>
      <c r="E8" s="55">
        <f>+'2021'!D53</f>
        <v>-8167.15</v>
      </c>
      <c r="F8" s="55">
        <f t="shared" si="0"/>
        <v>841166.17999999993</v>
      </c>
      <c r="I8" s="88"/>
    </row>
    <row r="9" spans="1:9" ht="10.5" x14ac:dyDescent="0.25">
      <c r="A9" s="176" t="s">
        <v>43</v>
      </c>
      <c r="B9" s="177"/>
      <c r="C9" s="56">
        <f>+SUM(C5:C8)</f>
        <v>6940000</v>
      </c>
      <c r="D9" s="56">
        <f>+SUM(D5:D8)</f>
        <v>88147.199999999997</v>
      </c>
      <c r="E9" s="56">
        <f>+SUM(E5:E8)</f>
        <v>-62691.110000000008</v>
      </c>
      <c r="F9" s="56">
        <f>+SUM(F5:F8)</f>
        <v>6965456.0899999999</v>
      </c>
      <c r="G9" s="88"/>
      <c r="H9" s="45">
        <f>F9/$F$21</f>
        <v>0.25249934374316296</v>
      </c>
      <c r="I9" s="88"/>
    </row>
    <row r="10" spans="1:9" outlineLevel="1" x14ac:dyDescent="0.2">
      <c r="A10" s="92" t="s">
        <v>27</v>
      </c>
      <c r="B10" s="37" t="s">
        <v>155</v>
      </c>
      <c r="C10" s="55">
        <f>+'2021'!D59</f>
        <v>2799126</v>
      </c>
      <c r="D10" s="55">
        <f>+'2021'!D60</f>
        <v>5598.25</v>
      </c>
      <c r="E10" s="55">
        <f>+'2021'!D61</f>
        <v>-8365</v>
      </c>
      <c r="F10" s="55">
        <f>+C10+D10+E10</f>
        <v>2796359.25</v>
      </c>
      <c r="G10" s="88"/>
      <c r="I10" s="88"/>
    </row>
    <row r="11" spans="1:9" outlineLevel="1" x14ac:dyDescent="0.2">
      <c r="A11" s="92"/>
      <c r="B11" s="37" t="s">
        <v>156</v>
      </c>
      <c r="C11" s="55">
        <f>+'2021'!D43</f>
        <v>501573.2</v>
      </c>
      <c r="D11" s="55">
        <f>+'2021'!D44</f>
        <v>16559.16</v>
      </c>
      <c r="E11" s="55">
        <f>+'2021'!D45</f>
        <v>-4601.8500000000004</v>
      </c>
      <c r="F11" s="55">
        <f>+C11+D11+E11</f>
        <v>513530.51</v>
      </c>
      <c r="G11" s="88"/>
      <c r="I11" s="88"/>
    </row>
    <row r="12" spans="1:9" ht="10.5" x14ac:dyDescent="0.25">
      <c r="A12" s="176" t="s">
        <v>45</v>
      </c>
      <c r="B12" s="177"/>
      <c r="C12" s="56">
        <f>+SUM(C10:C11)</f>
        <v>3300699.2</v>
      </c>
      <c r="D12" s="56">
        <f>+SUM(D10:D11)</f>
        <v>22157.41</v>
      </c>
      <c r="E12" s="56">
        <f>+SUM(E10:E11)</f>
        <v>-12966.85</v>
      </c>
      <c r="F12" s="56">
        <f>+SUM(F10:F11)</f>
        <v>3309889.76</v>
      </c>
      <c r="G12" s="88"/>
      <c r="H12" s="45">
        <f>F12/$F$21</f>
        <v>0.11998424531913388</v>
      </c>
      <c r="I12" s="88"/>
    </row>
    <row r="13" spans="1:9" x14ac:dyDescent="0.2">
      <c r="A13" s="92" t="s">
        <v>34</v>
      </c>
      <c r="B13" s="37" t="s">
        <v>157</v>
      </c>
      <c r="C13" s="55">
        <f>+'2021'!D31</f>
        <v>750000</v>
      </c>
      <c r="D13" s="55">
        <f>+'2021'!D32</f>
        <v>20712.330000000002</v>
      </c>
      <c r="E13" s="55">
        <f>+'2021'!D33</f>
        <v>-5386.3</v>
      </c>
      <c r="F13" s="55">
        <f>+C13+D13+E13</f>
        <v>765326.02999999991</v>
      </c>
      <c r="G13" s="88"/>
      <c r="I13" s="88"/>
    </row>
    <row r="14" spans="1:9" ht="10.5" x14ac:dyDescent="0.25">
      <c r="A14" s="176" t="s">
        <v>44</v>
      </c>
      <c r="B14" s="177"/>
      <c r="C14" s="56">
        <f>+SUM(C13:C13)</f>
        <v>750000</v>
      </c>
      <c r="D14" s="56">
        <f>+SUM(D13:D13)</f>
        <v>20712.330000000002</v>
      </c>
      <c r="E14" s="56">
        <f>+SUM(E13:E13)</f>
        <v>-5386.3</v>
      </c>
      <c r="F14" s="56">
        <f>+SUM(F13:F13)</f>
        <v>765326.02999999991</v>
      </c>
      <c r="G14" s="88"/>
      <c r="H14" s="45">
        <f>F14/$F$21</f>
        <v>2.7743240044538164E-2</v>
      </c>
      <c r="I14" s="88"/>
    </row>
    <row r="15" spans="1:9" x14ac:dyDescent="0.2">
      <c r="A15" s="92" t="s">
        <v>63</v>
      </c>
      <c r="B15" s="37" t="s">
        <v>85</v>
      </c>
      <c r="C15" s="55">
        <f>+'2021'!D39</f>
        <v>1923776.24</v>
      </c>
      <c r="D15" s="55">
        <f>+'2021'!D40</f>
        <v>68828.44</v>
      </c>
      <c r="E15" s="55">
        <f>+'2021'!D41</f>
        <v>-18722.22</v>
      </c>
      <c r="F15" s="55">
        <f>+C15+D15+E15</f>
        <v>1973882.46</v>
      </c>
      <c r="G15" s="88"/>
      <c r="I15" s="88"/>
    </row>
    <row r="16" spans="1:9" ht="10.5" x14ac:dyDescent="0.25">
      <c r="A16" s="176" t="s">
        <v>64</v>
      </c>
      <c r="B16" s="177"/>
      <c r="C16" s="56">
        <f>SUM(C15:C15)</f>
        <v>1923776.24</v>
      </c>
      <c r="D16" s="56">
        <f>SUM(D15:D15)</f>
        <v>68828.44</v>
      </c>
      <c r="E16" s="56">
        <f>SUM(E15:E15)</f>
        <v>-18722.22</v>
      </c>
      <c r="F16" s="56">
        <f>SUM(F15:F15)</f>
        <v>1973882.46</v>
      </c>
      <c r="H16" s="45">
        <f>F16/$F$21</f>
        <v>7.1553681386589588E-2</v>
      </c>
      <c r="I16" s="88"/>
    </row>
    <row r="17" spans="1:9" x14ac:dyDescent="0.2">
      <c r="A17" s="92" t="s">
        <v>29</v>
      </c>
      <c r="B17" s="37" t="s">
        <v>41</v>
      </c>
      <c r="C17" s="55">
        <f>+'2021'!D35</f>
        <v>4585299.08</v>
      </c>
      <c r="D17" s="55">
        <f>+'2021'!D36</f>
        <v>6928.9</v>
      </c>
      <c r="E17" s="55">
        <f>+'2021'!D37</f>
        <v>-45462.96</v>
      </c>
      <c r="F17" s="55">
        <f>+C17+D17+E17</f>
        <v>4546765.0200000005</v>
      </c>
      <c r="G17" s="91"/>
      <c r="H17" s="91"/>
      <c r="I17" s="88"/>
    </row>
    <row r="18" spans="1:9" ht="10.5" x14ac:dyDescent="0.25">
      <c r="A18" s="176" t="s">
        <v>42</v>
      </c>
      <c r="B18" s="177"/>
      <c r="C18" s="56">
        <f>SUM(C17:C17)</f>
        <v>4585299.08</v>
      </c>
      <c r="D18" s="56">
        <f>SUM(D17:D17)</f>
        <v>6928.9</v>
      </c>
      <c r="E18" s="56">
        <f>SUM(E17:E17)</f>
        <v>-45462.96</v>
      </c>
      <c r="F18" s="56">
        <f>SUM(F17:F17)</f>
        <v>4546765.0200000005</v>
      </c>
      <c r="H18" s="45">
        <f>F18/$F$21</f>
        <v>0.16482125059299157</v>
      </c>
      <c r="I18" s="88"/>
    </row>
    <row r="19" spans="1:9" x14ac:dyDescent="0.2">
      <c r="A19" s="92" t="s">
        <v>48</v>
      </c>
      <c r="B19" s="37" t="s">
        <v>82</v>
      </c>
      <c r="C19" s="55">
        <f>+'2021'!D47</f>
        <v>963239.21</v>
      </c>
      <c r="D19" s="55">
        <f>+'2021'!D48</f>
        <v>16011.17</v>
      </c>
      <c r="E19" s="55">
        <f>+'2021'!D49</f>
        <v>-1783.33</v>
      </c>
      <c r="F19" s="55">
        <f>+C19+D19+E19</f>
        <v>977467.05</v>
      </c>
      <c r="G19" s="88"/>
      <c r="I19" s="88"/>
    </row>
    <row r="20" spans="1:9" ht="10.5" x14ac:dyDescent="0.25">
      <c r="A20" s="176" t="s">
        <v>46</v>
      </c>
      <c r="B20" s="177"/>
      <c r="C20" s="56">
        <f>SUM(C19:C19)</f>
        <v>963239.21</v>
      </c>
      <c r="D20" s="56">
        <f>SUM(D19:D19)</f>
        <v>16011.17</v>
      </c>
      <c r="E20" s="56">
        <f>SUM(E19:E19)</f>
        <v>-1783.33</v>
      </c>
      <c r="F20" s="56">
        <f>SUM(F19:F19)</f>
        <v>977467.05</v>
      </c>
      <c r="H20" s="45">
        <f>F20/$F$21</f>
        <v>3.5433399545781279E-2</v>
      </c>
      <c r="I20" s="88"/>
    </row>
    <row r="21" spans="1:9" ht="11.5" x14ac:dyDescent="0.25">
      <c r="A21" s="178" t="s">
        <v>47</v>
      </c>
      <c r="B21" s="179"/>
      <c r="C21" s="101">
        <f>+C4+C9+C12+C14+C16+C18+C20</f>
        <v>27463013.729999997</v>
      </c>
      <c r="D21" s="101">
        <f>+D4+D9+D12+D14+D16+D18+D20</f>
        <v>347035.45</v>
      </c>
      <c r="E21" s="101">
        <f>+E4+E9+E12+E14+E16+E18+E20</f>
        <v>-224012.77</v>
      </c>
      <c r="F21" s="101">
        <f>+F4+F9+F12+F14+F16+F18+F20</f>
        <v>27586036.410000004</v>
      </c>
      <c r="H21" s="45">
        <f>SUM(H4:H20)</f>
        <v>0.99999999999999989</v>
      </c>
      <c r="I21" s="88"/>
    </row>
    <row r="22" spans="1:9" x14ac:dyDescent="0.2">
      <c r="F22" s="91"/>
      <c r="G22" s="99"/>
    </row>
    <row r="23" spans="1:9" x14ac:dyDescent="0.2">
      <c r="F23" s="91"/>
      <c r="G23" s="91"/>
    </row>
    <row r="24" spans="1:9" x14ac:dyDescent="0.2">
      <c r="F24" s="57">
        <f>+'2021'!D11</f>
        <v>27586036.410000004</v>
      </c>
      <c r="G24" s="91"/>
    </row>
    <row r="25" spans="1:9" x14ac:dyDescent="0.2">
      <c r="D25" s="58" t="s">
        <v>50</v>
      </c>
      <c r="E25" s="58"/>
      <c r="F25" s="58">
        <f>+F24-F21</f>
        <v>0</v>
      </c>
      <c r="G25" s="91"/>
    </row>
    <row r="26" spans="1:9" x14ac:dyDescent="0.2">
      <c r="D26" s="58"/>
      <c r="E26" s="58"/>
      <c r="F26" s="74"/>
      <c r="G26" s="91"/>
    </row>
    <row r="27" spans="1:9" x14ac:dyDescent="0.2">
      <c r="G27" s="91"/>
    </row>
    <row r="28" spans="1:9" x14ac:dyDescent="0.2">
      <c r="G28" s="91"/>
    </row>
    <row r="29" spans="1:9" x14ac:dyDescent="0.2">
      <c r="F29" s="91"/>
      <c r="G29" s="91"/>
    </row>
    <row r="30" spans="1:9" x14ac:dyDescent="0.2">
      <c r="F30" s="88"/>
      <c r="G30" s="91"/>
    </row>
    <row r="31" spans="1:9" x14ac:dyDescent="0.2">
      <c r="F31" s="91"/>
      <c r="G31" s="91"/>
    </row>
    <row r="32" spans="1:9" x14ac:dyDescent="0.2">
      <c r="C32" s="102"/>
      <c r="D32" s="102"/>
      <c r="E32" s="102"/>
      <c r="F32" s="94"/>
    </row>
    <row r="33" spans="3:5" x14ac:dyDescent="0.2">
      <c r="C33" s="102"/>
      <c r="D33" s="102"/>
      <c r="E33" s="102"/>
    </row>
    <row r="35" spans="3:5" x14ac:dyDescent="0.2">
      <c r="C35" s="91"/>
      <c r="D35" s="91"/>
      <c r="E35" s="91"/>
    </row>
  </sheetData>
  <mergeCells count="8">
    <mergeCell ref="A18:B18"/>
    <mergeCell ref="A20:B20"/>
    <mergeCell ref="A21:B21"/>
    <mergeCell ref="A4:B4"/>
    <mergeCell ref="A9:B9"/>
    <mergeCell ref="A12:B12"/>
    <mergeCell ref="A14:B14"/>
    <mergeCell ref="A16:B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3FE616-A6FB-456E-9377-03D73B50BECD}">
  <ds:schemaRefs>
    <ds:schemaRef ds:uri="http://schemas.microsoft.com/sharepoint/v3/contenttype/forms"/>
  </ds:schemaRefs>
</ds:datastoreItem>
</file>

<file path=customXml/itemProps2.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5</vt:i4>
      </vt:variant>
    </vt:vector>
  </HeadingPairs>
  <TitlesOfParts>
    <vt:vector size="5" baseType="lpstr">
      <vt:lpstr>2020</vt:lpstr>
      <vt:lpstr>2021</vt:lpstr>
      <vt:lpstr>Desembolsos</vt:lpstr>
      <vt:lpstr>CUADROS DE RESPALDO</vt:lpstr>
      <vt:lpstr>CONTRY ANALYSIS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Fenando Sanchez</cp:lastModifiedBy>
  <cp:lastPrinted>2020-09-08T22:38:45Z</cp:lastPrinted>
  <dcterms:created xsi:type="dcterms:W3CDTF">2007-02-21T16:38:19Z</dcterms:created>
  <dcterms:modified xsi:type="dcterms:W3CDTF">2021-04-16T14:39:12Z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