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bimbfm-my.sharepoint.com/personal/lbellott_bim-bfm_com/Documents/BIM/01 Locfund Next/09 ALM/08 EEFF/"/>
    </mc:Choice>
  </mc:AlternateContent>
  <xr:revisionPtr revIDLastSave="505" documentId="8_{8AA5FAB3-580A-4BF8-BE28-CDAA0F73C39B}" xr6:coauthVersionLast="46" xr6:coauthVersionMax="46" xr10:uidLastSave="{E631B05F-5C59-43F0-8110-E37FC7FA0BC5}"/>
  <bookViews>
    <workbookView xWindow="28680" yWindow="-120" windowWidth="20730" windowHeight="11160" tabRatio="773" activeTab="5" xr2:uid="{00000000-000D-0000-FFFF-FFFF00000000}"/>
  </bookViews>
  <sheets>
    <sheet name="2020" sheetId="49" r:id="rId1"/>
    <sheet name="2021" sheetId="50" r:id="rId2"/>
    <sheet name="Desembolsos" sheetId="54" r:id="rId3"/>
    <sheet name="Datos sociales" sheetId="55" r:id="rId4"/>
    <sheet name="CUADROS DE RESPALDO" sheetId="51" r:id="rId5"/>
    <sheet name="CONTRY ANALYSIS" sheetId="53" r:id="rId6"/>
  </sheets>
  <externalReferences>
    <externalReference r:id="rId7"/>
  </externalReferences>
  <definedNames>
    <definedName name="_xlnm._FilterDatabase" localSheetId="0" hidden="1">'2020'!$A$7:$G$37</definedName>
    <definedName name="_xlnm._FilterDatabase" localSheetId="3" hidden="1">'Datos sociales'!$B$2:$S$53</definedName>
    <definedName name="_xlnm.Print_Area" localSheetId="3">'Datos sociales'!#REF!</definedName>
    <definedName name="Print_AreaII" localSheetId="3">'Datos sociales'!#REF!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U64" i="55" l="1"/>
  <c r="AT64" i="55"/>
  <c r="AS64" i="55"/>
  <c r="AR64" i="55"/>
  <c r="AJ55" i="55"/>
  <c r="AJ58" i="55" s="1"/>
  <c r="L25" i="55"/>
  <c r="I25" i="55"/>
  <c r="L24" i="55"/>
  <c r="I24" i="55"/>
  <c r="L23" i="55"/>
  <c r="I23" i="55"/>
  <c r="L22" i="55"/>
  <c r="I22" i="55"/>
  <c r="L21" i="55"/>
  <c r="I21" i="55"/>
  <c r="Z18" i="55"/>
  <c r="Y18" i="55"/>
  <c r="X18" i="55"/>
  <c r="B4" i="55"/>
  <c r="B5" i="55" s="1"/>
  <c r="B6" i="55" s="1"/>
  <c r="B7" i="55" s="1"/>
  <c r="B8" i="55" s="1"/>
  <c r="B9" i="55" s="1"/>
  <c r="B10" i="55" s="1"/>
  <c r="B11" i="55" s="1"/>
  <c r="B12" i="55" s="1"/>
  <c r="B13" i="55" s="1"/>
  <c r="E19" i="53"/>
  <c r="E20" i="53" s="1"/>
  <c r="E17" i="53"/>
  <c r="E18" i="53" s="1"/>
  <c r="E15" i="53"/>
  <c r="E16" i="53" s="1"/>
  <c r="E13" i="53"/>
  <c r="E14" i="53" s="1"/>
  <c r="E11" i="53"/>
  <c r="E10" i="53"/>
  <c r="E8" i="53"/>
  <c r="E7" i="53"/>
  <c r="E6" i="53"/>
  <c r="E5" i="53"/>
  <c r="E3" i="53"/>
  <c r="E2" i="53"/>
  <c r="C19" i="53"/>
  <c r="C17" i="53"/>
  <c r="C18" i="53" s="1"/>
  <c r="C15" i="53"/>
  <c r="C13" i="53"/>
  <c r="C11" i="53"/>
  <c r="C10" i="53"/>
  <c r="C8" i="53"/>
  <c r="C7" i="53"/>
  <c r="C6" i="53"/>
  <c r="C5" i="53"/>
  <c r="C3" i="53"/>
  <c r="C2" i="53"/>
  <c r="E4" i="53" l="1"/>
  <c r="E9" i="53"/>
  <c r="E12" i="53"/>
  <c r="E21" i="53" s="1"/>
  <c r="D19" i="53" l="1"/>
  <c r="F19" i="53" s="1"/>
  <c r="D17" i="53"/>
  <c r="F17" i="53" s="1"/>
  <c r="D15" i="53"/>
  <c r="F15" i="53" s="1"/>
  <c r="D13" i="53"/>
  <c r="F13" i="53" s="1"/>
  <c r="D11" i="53"/>
  <c r="F11" i="53" s="1"/>
  <c r="D10" i="53"/>
  <c r="F10" i="53" s="1"/>
  <c r="D8" i="53"/>
  <c r="F8" i="53" s="1"/>
  <c r="D7" i="53"/>
  <c r="F7" i="53" s="1"/>
  <c r="D6" i="53"/>
  <c r="F6" i="53" s="1"/>
  <c r="D5" i="53"/>
  <c r="F5" i="53" s="1"/>
  <c r="D3" i="53"/>
  <c r="F3" i="53" s="1"/>
  <c r="D2" i="53"/>
  <c r="F2" i="53" s="1"/>
  <c r="D58" i="51"/>
  <c r="D57" i="51"/>
  <c r="H55" i="51"/>
  <c r="D12" i="53" l="1"/>
  <c r="D20" i="53"/>
  <c r="C16" i="53"/>
  <c r="C4" i="53"/>
  <c r="D14" i="53"/>
  <c r="C14" i="53"/>
  <c r="D16" i="53"/>
  <c r="D4" i="53"/>
  <c r="D9" i="53"/>
  <c r="C12" i="53"/>
  <c r="D18" i="53"/>
  <c r="C20" i="53"/>
  <c r="C9" i="53"/>
  <c r="C21" i="53" l="1"/>
  <c r="D21" i="53"/>
  <c r="F4" i="53"/>
  <c r="F14" i="53"/>
  <c r="F18" i="53"/>
  <c r="F9" i="53"/>
  <c r="F16" i="53"/>
  <c r="F12" i="53"/>
  <c r="F20" i="53"/>
  <c r="F21" i="53" l="1"/>
  <c r="H16" i="53" s="1"/>
  <c r="H20" i="53" l="1"/>
  <c r="H4" i="53"/>
  <c r="H14" i="53"/>
  <c r="H12" i="53"/>
  <c r="H9" i="53"/>
  <c r="H18" i="53"/>
  <c r="H21" i="53" l="1"/>
  <c r="H42" i="51" l="1"/>
  <c r="F55" i="51" l="1"/>
  <c r="E55" i="51"/>
  <c r="D55" i="51"/>
  <c r="C55" i="51"/>
  <c r="G54" i="51"/>
  <c r="G53" i="51"/>
  <c r="G52" i="51"/>
  <c r="G51" i="51"/>
  <c r="G50" i="51"/>
  <c r="B46" i="51"/>
  <c r="F42" i="51"/>
  <c r="E42" i="51"/>
  <c r="D42" i="51"/>
  <c r="G41" i="51"/>
  <c r="G40" i="51"/>
  <c r="G39" i="51"/>
  <c r="G38" i="51"/>
  <c r="G37" i="51"/>
  <c r="D74" i="50"/>
  <c r="G55" i="51" l="1"/>
  <c r="I55" i="51" s="1"/>
  <c r="G42" i="51"/>
  <c r="I42" i="51" s="1"/>
  <c r="D59" i="51"/>
  <c r="D81" i="50" l="1"/>
  <c r="D132" i="50"/>
  <c r="B162" i="50"/>
  <c r="C162" i="50"/>
  <c r="D162" i="50"/>
  <c r="D163" i="50"/>
  <c r="D58" i="50"/>
  <c r="C58" i="50"/>
  <c r="B58" i="50"/>
  <c r="D54" i="50"/>
  <c r="C54" i="50"/>
  <c r="B54" i="50"/>
  <c r="D17" i="50"/>
  <c r="C17" i="50"/>
  <c r="B17" i="50"/>
  <c r="D91" i="50" l="1"/>
  <c r="C91" i="50"/>
  <c r="B91" i="50"/>
  <c r="B94" i="50"/>
  <c r="D50" i="50"/>
  <c r="D46" i="50"/>
  <c r="D42" i="50"/>
  <c r="D38" i="50"/>
  <c r="D34" i="50"/>
  <c r="D30" i="50"/>
  <c r="D26" i="50"/>
  <c r="D22" i="50"/>
  <c r="D130" i="50"/>
  <c r="D159" i="50"/>
  <c r="D152" i="50"/>
  <c r="D140" i="50"/>
  <c r="D135" i="50"/>
  <c r="D134" i="50"/>
  <c r="D133" i="50"/>
  <c r="D131" i="50"/>
  <c r="D127" i="50"/>
  <c r="D126" i="50"/>
  <c r="D125" i="50"/>
  <c r="D121" i="50"/>
  <c r="D120" i="50"/>
  <c r="D119" i="50"/>
  <c r="D116" i="50"/>
  <c r="E116" i="50" s="1"/>
  <c r="D108" i="50"/>
  <c r="D99" i="50"/>
  <c r="D88" i="50"/>
  <c r="D85" i="50"/>
  <c r="D82" i="50"/>
  <c r="D68" i="50"/>
  <c r="D13" i="50"/>
  <c r="D12" i="50" s="1"/>
  <c r="D7" i="50"/>
  <c r="D21" i="50" l="1"/>
  <c r="D11" i="50" s="1"/>
  <c r="D95" i="50"/>
  <c r="D158" i="50"/>
  <c r="D170" i="50" s="1"/>
  <c r="D172" i="50" s="1"/>
  <c r="D176" i="50" s="1"/>
  <c r="D122" i="50"/>
  <c r="D63" i="50" l="1"/>
  <c r="F24" i="53"/>
  <c r="F25" i="53" s="1"/>
  <c r="D111" i="50"/>
  <c r="D113" i="50" s="1"/>
  <c r="D114" i="50" s="1"/>
  <c r="E111" i="50" l="1"/>
  <c r="E105" i="50"/>
  <c r="E89" i="50"/>
  <c r="E81" i="50"/>
  <c r="E70" i="50"/>
  <c r="E99" i="50"/>
  <c r="E73" i="50"/>
  <c r="E69" i="50"/>
  <c r="E107" i="50"/>
  <c r="E106" i="50"/>
  <c r="E88" i="50"/>
  <c r="E75" i="50"/>
  <c r="E72" i="50"/>
  <c r="E103" i="50"/>
  <c r="E104" i="50"/>
  <c r="E101" i="50"/>
  <c r="E87" i="50"/>
  <c r="E84" i="50"/>
  <c r="E74" i="50"/>
  <c r="E82" i="50"/>
  <c r="E100" i="50"/>
  <c r="E94" i="50"/>
  <c r="E86" i="50"/>
  <c r="E71" i="50"/>
  <c r="E93" i="50"/>
  <c r="E83" i="50"/>
  <c r="E113" i="50"/>
  <c r="E85" i="50"/>
  <c r="E102" i="50"/>
  <c r="E92" i="50"/>
  <c r="E90" i="50"/>
  <c r="E114" i="50"/>
  <c r="E91" i="50"/>
  <c r="E68" i="50"/>
  <c r="E95" i="50"/>
  <c r="E12" i="50"/>
  <c r="E54" i="50"/>
  <c r="E46" i="50"/>
  <c r="E38" i="50"/>
  <c r="E30" i="50"/>
  <c r="E22" i="50"/>
  <c r="E9" i="50"/>
  <c r="E50" i="50"/>
  <c r="E17" i="50"/>
  <c r="E33" i="50"/>
  <c r="E24" i="50"/>
  <c r="E13" i="50"/>
  <c r="E14" i="50"/>
  <c r="E21" i="50"/>
  <c r="E53" i="50"/>
  <c r="E45" i="50"/>
  <c r="E37" i="50"/>
  <c r="E29" i="50"/>
  <c r="E20" i="50"/>
  <c r="E10" i="50"/>
  <c r="E8" i="50"/>
  <c r="E34" i="50"/>
  <c r="E57" i="50"/>
  <c r="E11" i="50"/>
  <c r="E39" i="50"/>
  <c r="E61" i="50"/>
  <c r="E52" i="50"/>
  <c r="E44" i="50"/>
  <c r="E36" i="50"/>
  <c r="E28" i="50"/>
  <c r="E19" i="50"/>
  <c r="E42" i="50"/>
  <c r="E49" i="50"/>
  <c r="E16" i="50"/>
  <c r="E40" i="50"/>
  <c r="E47" i="50"/>
  <c r="E63" i="50"/>
  <c r="E60" i="50"/>
  <c r="E51" i="50"/>
  <c r="E43" i="50"/>
  <c r="E35" i="50"/>
  <c r="E27" i="50"/>
  <c r="E18" i="50"/>
  <c r="E58" i="50"/>
  <c r="E26" i="50"/>
  <c r="E41" i="50"/>
  <c r="E32" i="50"/>
  <c r="E55" i="50"/>
  <c r="E62" i="50"/>
  <c r="E15" i="50"/>
  <c r="E23" i="50"/>
  <c r="E59" i="50"/>
  <c r="E25" i="50"/>
  <c r="E56" i="50"/>
  <c r="E31" i="50"/>
  <c r="E48" i="50"/>
  <c r="E7" i="50"/>
  <c r="D178" i="50"/>
  <c r="H72" i="49"/>
  <c r="H73" i="49"/>
  <c r="H74" i="49"/>
  <c r="H75" i="49"/>
  <c r="H76" i="49"/>
  <c r="H71" i="49"/>
  <c r="G7" i="51" l="1"/>
  <c r="D10" i="51"/>
  <c r="C25" i="51" l="1"/>
  <c r="D25" i="51"/>
  <c r="E25" i="51"/>
  <c r="F25" i="51"/>
  <c r="G24" i="51"/>
  <c r="G21" i="51" l="1"/>
  <c r="G22" i="51"/>
  <c r="G23" i="51"/>
  <c r="F12" i="51"/>
  <c r="H25" i="51" l="1"/>
  <c r="B16" i="51"/>
  <c r="G20" i="51"/>
  <c r="G25" i="51" s="1"/>
  <c r="H12" i="51"/>
  <c r="G9" i="51"/>
  <c r="G10" i="51"/>
  <c r="G11" i="51"/>
  <c r="G8" i="51"/>
  <c r="D12" i="51"/>
  <c r="D27" i="51" s="1"/>
  <c r="E12" i="51"/>
  <c r="I25" i="51" l="1"/>
  <c r="G12" i="51"/>
  <c r="I12" i="51" s="1"/>
  <c r="C159" i="50" l="1"/>
  <c r="D129" i="50" s="1"/>
  <c r="B159" i="50"/>
  <c r="C73" i="50"/>
  <c r="C140" i="50"/>
  <c r="C135" i="50"/>
  <c r="C134" i="50"/>
  <c r="C131" i="50"/>
  <c r="C127" i="50"/>
  <c r="D28" i="51" s="1"/>
  <c r="D29" i="51" s="1"/>
  <c r="C125" i="50"/>
  <c r="C121" i="50"/>
  <c r="C120" i="50"/>
  <c r="C119" i="50"/>
  <c r="C50" i="50"/>
  <c r="B50" i="50"/>
  <c r="C152" i="50" l="1"/>
  <c r="C133" i="50"/>
  <c r="C132" i="50"/>
  <c r="C130" i="50"/>
  <c r="C116" i="50"/>
  <c r="C108" i="50"/>
  <c r="C88" i="50"/>
  <c r="C85" i="50"/>
  <c r="C82" i="50"/>
  <c r="C46" i="50"/>
  <c r="C42" i="50"/>
  <c r="C38" i="50"/>
  <c r="C34" i="50"/>
  <c r="C30" i="50"/>
  <c r="C26" i="50"/>
  <c r="C22" i="50"/>
  <c r="C13" i="50"/>
  <c r="C12" i="50" s="1"/>
  <c r="C7" i="50"/>
  <c r="F7" i="49"/>
  <c r="C21" i="50" l="1"/>
  <c r="C11" i="50" s="1"/>
  <c r="C63" i="50" s="1"/>
  <c r="C158" i="50"/>
  <c r="C122" i="50"/>
  <c r="C68" i="50"/>
  <c r="C95" i="50" s="1"/>
  <c r="C81" i="50"/>
  <c r="C99" i="50"/>
  <c r="B72" i="50"/>
  <c r="B90" i="50"/>
  <c r="B87" i="50"/>
  <c r="B84" i="50"/>
  <c r="F132" i="49"/>
  <c r="C170" i="50" l="1"/>
  <c r="C172" i="50" s="1"/>
  <c r="C176" i="50" s="1"/>
  <c r="C111" i="50" s="1"/>
  <c r="C113" i="50" s="1"/>
  <c r="D128" i="50"/>
  <c r="D136" i="50" s="1"/>
  <c r="D138" i="50" s="1"/>
  <c r="D142" i="50" s="1"/>
  <c r="B156" i="50"/>
  <c r="C126" i="50" s="1"/>
  <c r="C114" i="50" l="1"/>
  <c r="C178" i="50" s="1"/>
  <c r="A135" i="50" l="1"/>
  <c r="B135" i="50"/>
  <c r="E135" i="50" s="1"/>
  <c r="B134" i="50" l="1"/>
  <c r="E134" i="50" s="1"/>
  <c r="B69" i="50"/>
  <c r="C129" i="50"/>
  <c r="B46" i="50" l="1"/>
  <c r="B126" i="50"/>
  <c r="E126" i="50" s="1"/>
  <c r="B127" i="50"/>
  <c r="E127" i="50" s="1"/>
  <c r="B131" i="50"/>
  <c r="E131" i="50" s="1"/>
  <c r="B13" i="50" l="1"/>
  <c r="B12" i="50" s="1"/>
  <c r="B133" i="50" l="1"/>
  <c r="E133" i="50" s="1"/>
  <c r="B132" i="50"/>
  <c r="E132" i="50" s="1"/>
  <c r="B129" i="50"/>
  <c r="E129" i="50" s="1"/>
  <c r="B125" i="50"/>
  <c r="E125" i="50" s="1"/>
  <c r="B121" i="50"/>
  <c r="E121" i="50" s="1"/>
  <c r="B120" i="50"/>
  <c r="E120" i="50" s="1"/>
  <c r="B119" i="50"/>
  <c r="E119" i="50" s="1"/>
  <c r="B140" i="50"/>
  <c r="E140" i="50" s="1"/>
  <c r="B152" i="50"/>
  <c r="A136" i="50"/>
  <c r="A134" i="50"/>
  <c r="A133" i="50"/>
  <c r="A132" i="50"/>
  <c r="A131" i="50"/>
  <c r="A130" i="50"/>
  <c r="A129" i="50"/>
  <c r="A128" i="50"/>
  <c r="A127" i="50"/>
  <c r="A126" i="50"/>
  <c r="A125" i="50"/>
  <c r="A121" i="50"/>
  <c r="A120" i="50"/>
  <c r="A119" i="50"/>
  <c r="B116" i="50"/>
  <c r="B108" i="50"/>
  <c r="B105" i="50"/>
  <c r="B104" i="50"/>
  <c r="B103" i="50"/>
  <c r="B102" i="50"/>
  <c r="B101" i="50"/>
  <c r="B100" i="50"/>
  <c r="B88" i="50"/>
  <c r="B85" i="50"/>
  <c r="B82" i="50"/>
  <c r="B68" i="50"/>
  <c r="B42" i="50"/>
  <c r="B38" i="50"/>
  <c r="B34" i="50"/>
  <c r="B30" i="50"/>
  <c r="B26" i="50"/>
  <c r="B22" i="50"/>
  <c r="E9" i="49"/>
  <c r="F127" i="49"/>
  <c r="E127" i="49"/>
  <c r="E122" i="50" l="1"/>
  <c r="B122" i="50"/>
  <c r="B21" i="50"/>
  <c r="B11" i="50" s="1"/>
  <c r="B158" i="50"/>
  <c r="B130" i="50"/>
  <c r="E130" i="50" s="1"/>
  <c r="B81" i="50"/>
  <c r="B95" i="50" s="1"/>
  <c r="B99" i="50"/>
  <c r="B7" i="50"/>
  <c r="F9" i="49"/>
  <c r="B63" i="50" l="1"/>
  <c r="B170" i="50"/>
  <c r="B172" i="50" s="1"/>
  <c r="B176" i="50" s="1"/>
  <c r="C128" i="50"/>
  <c r="C136" i="50" s="1"/>
  <c r="C138" i="50" s="1"/>
  <c r="C142" i="50" s="1"/>
  <c r="B128" i="50"/>
  <c r="E128" i="50" s="1"/>
  <c r="E110" i="50"/>
  <c r="E109" i="50"/>
  <c r="E108" i="50"/>
  <c r="F152" i="49"/>
  <c r="B136" i="50" l="1"/>
  <c r="B138" i="50" s="1"/>
  <c r="B142" i="50" s="1"/>
  <c r="E136" i="50"/>
  <c r="B111" i="50"/>
  <c r="F146" i="49"/>
  <c r="F43" i="49"/>
  <c r="F116" i="49"/>
  <c r="G116" i="49" s="1"/>
  <c r="B113" i="50" l="1"/>
  <c r="B114" i="50" s="1"/>
  <c r="E138" i="50"/>
  <c r="E142" i="50" s="1"/>
  <c r="D111" i="49"/>
  <c r="E111" i="49"/>
  <c r="G111" i="49" s="1"/>
  <c r="F111" i="49"/>
  <c r="A111" i="49"/>
  <c r="B97" i="49"/>
  <c r="C97" i="49"/>
  <c r="D97" i="49"/>
  <c r="E97" i="49"/>
  <c r="F97" i="49"/>
  <c r="G97" i="49" s="1"/>
  <c r="A97" i="49"/>
  <c r="F140" i="49"/>
  <c r="E76" i="50" l="1"/>
  <c r="E77" i="50"/>
  <c r="B178" i="50"/>
  <c r="B56" i="49"/>
  <c r="C56" i="49"/>
  <c r="D56" i="49"/>
  <c r="E56" i="49"/>
  <c r="B62" i="49"/>
  <c r="C62" i="49"/>
  <c r="D62" i="49"/>
  <c r="E62" i="49"/>
  <c r="B59" i="49"/>
  <c r="C59" i="49"/>
  <c r="D59" i="49"/>
  <c r="E59" i="49"/>
  <c r="F59" i="49"/>
  <c r="F62" i="49"/>
  <c r="F56" i="49"/>
  <c r="F55" i="49" l="1"/>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0" i="49"/>
  <c r="F37" i="49" s="1"/>
  <c r="F148" i="49" l="1"/>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85" i="49" s="1"/>
  <c r="G77" i="49" s="1"/>
  <c r="G75" i="49"/>
  <c r="G43" i="49"/>
  <c r="G45" i="49"/>
  <c r="E133" i="49"/>
  <c r="F98" i="49" s="1"/>
  <c r="G44" i="49" l="1"/>
  <c r="G72" i="49"/>
  <c r="G70" i="49"/>
  <c r="G48" i="49"/>
  <c r="G55" i="49"/>
  <c r="G59" i="49"/>
  <c r="G74" i="49"/>
  <c r="G61" i="49"/>
  <c r="G57" i="49"/>
  <c r="G58" i="49"/>
  <c r="G82" i="49"/>
  <c r="G63" i="49"/>
  <c r="G76" i="49"/>
  <c r="G65" i="49"/>
  <c r="G62" i="49"/>
  <c r="G47" i="49"/>
  <c r="G71" i="49"/>
  <c r="G84" i="49"/>
  <c r="G42" i="49"/>
  <c r="G56" i="49"/>
  <c r="G64" i="49"/>
  <c r="G60" i="49"/>
  <c r="G46" i="49"/>
  <c r="G73" i="49"/>
  <c r="G85" i="49"/>
  <c r="F156" i="49"/>
  <c r="E42" i="49"/>
  <c r="A110" i="49"/>
  <c r="D110" i="49"/>
  <c r="E110" i="49"/>
  <c r="G110" i="49" l="1"/>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48" i="49"/>
  <c r="E150" i="49" s="1"/>
  <c r="E154" i="49" s="1"/>
  <c r="E82" i="49" s="1"/>
  <c r="F102" i="49"/>
  <c r="E11" i="49"/>
  <c r="E10" i="49" s="1"/>
  <c r="E37" i="49" s="1"/>
  <c r="F112" i="49" l="1"/>
  <c r="F114" i="49" s="1"/>
  <c r="F118" i="49" s="1"/>
  <c r="E84" i="49"/>
  <c r="A106" i="49"/>
  <c r="D106" i="49"/>
  <c r="G106" i="49" s="1"/>
  <c r="D105" i="49"/>
  <c r="G105" i="49" s="1"/>
  <c r="A105" i="49"/>
  <c r="E104" i="49"/>
  <c r="E85" i="49" l="1"/>
  <c r="D131" i="49"/>
  <c r="E96" i="49" s="1"/>
  <c r="D35" i="49"/>
  <c r="G66" i="49" l="1"/>
  <c r="E156" i="49"/>
  <c r="D103" i="49"/>
  <c r="G103" i="49" s="1"/>
  <c r="A103" i="49"/>
  <c r="A104" i="49"/>
  <c r="C137" i="49"/>
  <c r="B137" i="49"/>
  <c r="D137" i="49"/>
  <c r="E102" i="49" l="1"/>
  <c r="D102" i="49"/>
  <c r="G102" i="49" s="1"/>
  <c r="D104" i="49"/>
  <c r="G104" i="49" s="1"/>
  <c r="D91" i="49" l="1"/>
  <c r="G91" i="49" s="1"/>
  <c r="B128" i="49"/>
  <c r="C128" i="49"/>
  <c r="D90" i="49"/>
  <c r="G90" i="49" s="1"/>
  <c r="D74" i="49" l="1"/>
  <c r="B7" i="49"/>
  <c r="C7" i="49"/>
  <c r="D7" i="49"/>
  <c r="A90" i="49"/>
  <c r="D127" i="49"/>
  <c r="D143" i="49"/>
  <c r="E107" i="49" s="1"/>
  <c r="D73" i="49"/>
  <c r="D71" i="49"/>
  <c r="D76" i="49"/>
  <c r="D72" i="49"/>
  <c r="D75" i="49"/>
  <c r="A102" i="49"/>
  <c r="D128" i="49" l="1"/>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E99" i="49" l="1"/>
  <c r="E112" i="49" s="1"/>
  <c r="E114" i="49" s="1"/>
  <c r="E118" i="49" s="1"/>
  <c r="D148" i="49"/>
  <c r="D150" i="49" s="1"/>
  <c r="D10" i="49"/>
  <c r="D37" i="49" s="1"/>
  <c r="D154" i="49" l="1"/>
  <c r="D82" i="49" s="1"/>
  <c r="D84" i="49" s="1"/>
  <c r="D85" i="49" s="1"/>
  <c r="C98" i="49"/>
  <c r="G98" i="49" s="1"/>
  <c r="D156" i="49" l="1"/>
  <c r="C107" i="49"/>
  <c r="C101" i="49"/>
  <c r="C100" i="49"/>
  <c r="C96" i="49"/>
  <c r="C92" i="49"/>
  <c r="C93" i="49" s="1"/>
  <c r="C134" i="49"/>
  <c r="C148" i="49" s="1"/>
  <c r="C87" i="49"/>
  <c r="C70" i="49"/>
  <c r="C79" i="49"/>
  <c r="C42" i="49"/>
  <c r="C66" i="49" s="1"/>
  <c r="C150" i="49" l="1"/>
  <c r="D99" i="49"/>
  <c r="B96" i="49"/>
  <c r="G96" i="49" s="1"/>
  <c r="A99" i="49"/>
  <c r="B134" i="49"/>
  <c r="B148" i="49" s="1"/>
  <c r="B70" i="49"/>
  <c r="C154" i="49" l="1"/>
  <c r="C82" i="49" s="1"/>
  <c r="C84" i="49" s="1"/>
  <c r="C85" i="49" s="1"/>
  <c r="C156" i="49" s="1"/>
  <c r="D112" i="49"/>
  <c r="D114" i="49" s="1"/>
  <c r="D118" i="49" s="1"/>
  <c r="C99" i="49"/>
  <c r="B99" i="49"/>
  <c r="A101" i="49"/>
  <c r="B101" i="49"/>
  <c r="G101" i="49" s="1"/>
  <c r="G99" i="49" l="1"/>
  <c r="C112" i="49"/>
  <c r="C114" i="49" s="1"/>
  <c r="C118" i="49" s="1"/>
  <c r="B107" i="49"/>
  <c r="G107" i="49" s="1"/>
  <c r="B100" i="49"/>
  <c r="G100" i="49" s="1"/>
  <c r="B92" i="49"/>
  <c r="G92" i="49" s="1"/>
  <c r="G93" i="49" s="1"/>
  <c r="G112" i="49" l="1"/>
  <c r="G114" i="49"/>
  <c r="G118" i="49" s="1"/>
  <c r="B112" i="49"/>
  <c r="B93" i="49"/>
  <c r="B150" i="49"/>
  <c r="B154" i="49" s="1"/>
  <c r="B82" i="49" s="1"/>
  <c r="B87" i="49"/>
  <c r="B79" i="49"/>
  <c r="B42" i="49"/>
  <c r="B66" i="49" s="1"/>
  <c r="B114" i="49" l="1"/>
  <c r="B118" i="49" s="1"/>
  <c r="B84" i="49" l="1"/>
  <c r="B85" i="49" s="1"/>
  <c r="B156" i="49" s="1"/>
  <c r="G81" i="49" l="1"/>
  <c r="G50" i="49"/>
  <c r="G49" i="49"/>
  <c r="G80" i="49"/>
  <c r="G51" i="49"/>
  <c r="G78" i="49"/>
  <c r="G79" i="49"/>
  <c r="A112" i="49" l="1"/>
  <c r="A107" i="49"/>
  <c r="A100" i="49"/>
  <c r="A96" i="49"/>
  <c r="A9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E6FDE54-C5FF-4B29-93AB-6AE96240C284}">
      <text>
        <r>
          <rPr>
            <b/>
            <sz val="9"/>
            <color indexed="81"/>
            <rFont val="Tahoma"/>
            <family val="2"/>
          </rPr>
          <t>Patricia Valdivia:</t>
        </r>
        <r>
          <rPr>
            <sz val="9"/>
            <color indexed="81"/>
            <rFont val="Tahoma"/>
            <family val="2"/>
          </rPr>
          <t xml:space="preserve">
FRONT FEE FMO</t>
        </r>
      </text>
    </comment>
    <comment ref="E44" authorId="0" shapeId="0" xr:uid="{94A0F945-2C83-4798-BC5B-D8470E0487BA}">
      <text>
        <r>
          <rPr>
            <b/>
            <sz val="9"/>
            <color indexed="81"/>
            <rFont val="Tahoma"/>
            <family val="2"/>
          </rPr>
          <t>Patricia Valdivia:</t>
        </r>
        <r>
          <rPr>
            <sz val="9"/>
            <color indexed="81"/>
            <rFont val="Tahoma"/>
            <family val="2"/>
          </rPr>
          <t xml:space="preserve">
JP USD 500
EH USD 500
FM USD 500
HK USD 500</t>
        </r>
      </text>
    </comment>
    <comment ref="E45" authorId="0" shapeId="0" xr:uid="{33345701-B745-4FB9-9BAA-122B33BE980B}">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6E57C997-8E9F-4378-BF17-030004F89839}">
      <text>
        <r>
          <rPr>
            <b/>
            <sz val="9"/>
            <color indexed="81"/>
            <rFont val="Tahoma"/>
            <family val="2"/>
          </rPr>
          <t>Patricia Valdivia:</t>
        </r>
        <r>
          <rPr>
            <sz val="9"/>
            <color indexed="81"/>
            <rFont val="Tahoma"/>
            <family val="2"/>
          </rPr>
          <t xml:space="preserve">
QUINTANILLA</t>
        </r>
      </text>
    </comment>
    <comment ref="E98" authorId="0" shapeId="0" xr:uid="{46F62457-2364-4EBF-9F19-0CA157446F2D}">
      <text>
        <r>
          <rPr>
            <b/>
            <sz val="9"/>
            <color indexed="81"/>
            <rFont val="Tahoma"/>
            <family val="2"/>
          </rPr>
          <t>Patricia Valdivia:</t>
        </r>
        <r>
          <rPr>
            <sz val="9"/>
            <color indexed="81"/>
            <rFont val="Tahoma"/>
            <family val="2"/>
          </rPr>
          <t xml:space="preserve">
MONITORING FEE FMO USD 5,000</t>
        </r>
      </text>
    </comment>
    <comment ref="D131" authorId="0" shapeId="0" xr:uid="{8C8981B0-CF6D-4910-9EA3-2613CE7843AA}">
      <text>
        <r>
          <rPr>
            <b/>
            <sz val="9"/>
            <color indexed="81"/>
            <rFont val="Tahoma"/>
            <family val="2"/>
          </rPr>
          <t>Patricia Valdivia:</t>
        </r>
        <r>
          <rPr>
            <sz val="9"/>
            <color indexed="81"/>
            <rFont val="Tahoma"/>
            <family val="2"/>
          </rPr>
          <t xml:space="preserve">
DD EQUIPAT USD 3,000
DD CONTACTAR USD 1,470</t>
        </r>
      </text>
    </comment>
    <comment ref="E131" authorId="0" shapeId="0" xr:uid="{1C9A9ECD-0621-4A97-8F62-5D8898435CD5}">
      <text>
        <r>
          <rPr>
            <b/>
            <sz val="9"/>
            <color indexed="81"/>
            <rFont val="Tahoma"/>
            <family val="2"/>
          </rPr>
          <t>Patricia Valdivia:</t>
        </r>
        <r>
          <rPr>
            <sz val="9"/>
            <color indexed="81"/>
            <rFont val="Tahoma"/>
            <family val="2"/>
          </rPr>
          <t xml:space="preserve">
DD INSOTEC USD 2,000
DD IDH USD 1,980</t>
        </r>
      </text>
    </comment>
    <comment ref="F131" authorId="0" shapeId="0" xr:uid="{7A64E51D-3DDB-4E7C-B203-D4268504C1BA}">
      <text>
        <r>
          <rPr>
            <b/>
            <sz val="9"/>
            <color indexed="81"/>
            <rFont val="Tahoma"/>
            <family val="2"/>
          </rPr>
          <t>Patricia Valdivia:</t>
        </r>
        <r>
          <rPr>
            <sz val="9"/>
            <color indexed="81"/>
            <rFont val="Tahoma"/>
            <family val="2"/>
          </rPr>
          <t xml:space="preserve">
DD INSOTEC USD 2,000
DD IDH USD 1,980</t>
        </r>
      </text>
    </comment>
    <comment ref="A134" authorId="0" shapeId="0" xr:uid="{57974599-BE21-4092-B8D3-2F9F7D9024D1}">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D3DBB996-4DBC-4119-959D-7827DD4D07DF}">
      <text>
        <r>
          <rPr>
            <b/>
            <sz val="9"/>
            <color indexed="81"/>
            <rFont val="Tahoma"/>
            <family val="2"/>
          </rPr>
          <t>Patricia Valdivia:</t>
        </r>
        <r>
          <rPr>
            <sz val="9"/>
            <color indexed="81"/>
            <rFont val="Tahoma"/>
            <family val="2"/>
          </rPr>
          <t xml:space="preserve">
TRADUCCION DLS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73" authorId="0" shapeId="0" xr:uid="{502E9DBB-6D5F-409B-9AB4-38B57EDEBF05}">
      <text>
        <r>
          <rPr>
            <b/>
            <sz val="9"/>
            <color indexed="81"/>
            <rFont val="Tahoma"/>
            <family val="2"/>
          </rPr>
          <t>Patricia Valdivia:</t>
        </r>
        <r>
          <rPr>
            <sz val="9"/>
            <color indexed="81"/>
            <rFont val="Tahoma"/>
            <family val="2"/>
          </rPr>
          <t xml:space="preserve">
QUINTANILLA USD 102.64
DOCURAPID USD 176
QUINTANILLA USD 1,275</t>
        </r>
      </text>
    </comment>
    <comment ref="C73" authorId="0" shapeId="0" xr:uid="{912B4818-14C8-4485-92EE-F8D461084E55}">
      <text>
        <r>
          <rPr>
            <b/>
            <sz val="9"/>
            <color indexed="81"/>
            <rFont val="Tahoma"/>
            <family val="2"/>
          </rPr>
          <t>Patricia Valdivia:</t>
        </r>
        <r>
          <rPr>
            <sz val="9"/>
            <color indexed="81"/>
            <rFont val="Tahoma"/>
            <family val="2"/>
          </rPr>
          <t xml:space="preserve">
QUINTANILLA USD 102.64
QUINTANILLA USD 1,275
DVIES USD 3.744.02</t>
        </r>
      </text>
    </comment>
    <comment ref="B75" authorId="0" shapeId="0" xr:uid="{BE468FDF-1A33-4A9B-8D6B-AF7398ADC73C}">
      <text>
        <r>
          <rPr>
            <b/>
            <sz val="9"/>
            <color indexed="81"/>
            <rFont val="Tahoma"/>
            <family val="2"/>
          </rPr>
          <t>Patricia Valdivia:</t>
        </r>
        <r>
          <rPr>
            <sz val="9"/>
            <color indexed="81"/>
            <rFont val="Tahoma"/>
            <family val="2"/>
          </rPr>
          <t xml:space="preserve">
DUODECIMAS DEL MONTO APROXIMADO DE USD 20,000</t>
        </r>
      </text>
    </comment>
    <comment ref="C75" authorId="0" shapeId="0" xr:uid="{901CE19B-42A2-4A5B-84C3-0CA39A8C5BC3}">
      <text>
        <r>
          <rPr>
            <b/>
            <sz val="9"/>
            <color indexed="81"/>
            <rFont val="Tahoma"/>
            <family val="2"/>
          </rPr>
          <t>Patricia Valdivia:</t>
        </r>
        <r>
          <rPr>
            <sz val="9"/>
            <color indexed="81"/>
            <rFont val="Tahoma"/>
            <family val="2"/>
          </rPr>
          <t xml:space="preserve">
DUODECIMAS DEL MONTO APROXIMADO DE USD 20,000</t>
        </r>
      </text>
    </comment>
    <comment ref="D75" authorId="0" shapeId="0" xr:uid="{56B45C51-A1B3-4572-86FF-4ADB583F793A}">
      <text>
        <r>
          <rPr>
            <b/>
            <sz val="9"/>
            <color indexed="81"/>
            <rFont val="Tahoma"/>
            <family val="2"/>
          </rPr>
          <t>Patricia Valdivia:</t>
        </r>
        <r>
          <rPr>
            <sz val="9"/>
            <color indexed="81"/>
            <rFont val="Tahoma"/>
            <family val="2"/>
          </rPr>
          <t xml:space="preserve">
DUODECIMAS DEL MONTO APROXIMADO DE USD 20,000</t>
        </r>
      </text>
    </comment>
    <comment ref="C119" authorId="0" shapeId="0" xr:uid="{33E19E56-2394-4E57-A4FD-90A385282617}">
      <text>
        <r>
          <rPr>
            <b/>
            <sz val="9"/>
            <color indexed="81"/>
            <rFont val="Tahoma"/>
            <family val="2"/>
          </rPr>
          <t>Patricia Valdivia:</t>
        </r>
        <r>
          <rPr>
            <sz val="9"/>
            <color indexed="81"/>
            <rFont val="Tahoma"/>
            <family val="2"/>
          </rPr>
          <t xml:space="preserve">
DESEMBOLSO INSOTEC</t>
        </r>
      </text>
    </comment>
    <comment ref="D119" authorId="0" shapeId="0" xr:uid="{56DA4A92-B755-4C2E-BCB9-5CDFA26C0CA1}">
      <text>
        <r>
          <rPr>
            <b/>
            <sz val="9"/>
            <color indexed="81"/>
            <rFont val="Tahoma"/>
            <family val="2"/>
          </rPr>
          <t>Patricia Valdivia:</t>
        </r>
        <r>
          <rPr>
            <sz val="9"/>
            <color indexed="81"/>
            <rFont val="Tahoma"/>
            <family val="2"/>
          </rPr>
          <t xml:space="preserve">
DESEMBOLSO DIACONIA  ESPOIR II+ IDH</t>
        </r>
      </text>
    </comment>
    <comment ref="C120" authorId="0" shapeId="0" xr:uid="{6B1D593F-04B9-4739-B937-CC913A093B7D}">
      <text>
        <r>
          <rPr>
            <b/>
            <sz val="9"/>
            <color indexed="81"/>
            <rFont val="Tahoma"/>
            <family val="2"/>
          </rPr>
          <t>Patricia Valdivia:</t>
        </r>
        <r>
          <rPr>
            <sz val="9"/>
            <color indexed="81"/>
            <rFont val="Tahoma"/>
            <family val="2"/>
          </rPr>
          <t xml:space="preserve">
Desembolso Insotec</t>
        </r>
      </text>
    </comment>
    <comment ref="D120" authorId="0" shapeId="0" xr:uid="{5086BF6D-2152-4A9E-BB16-48C3F4FBADCC}">
      <text>
        <r>
          <rPr>
            <b/>
            <sz val="9"/>
            <color indexed="81"/>
            <rFont val="Tahoma"/>
            <family val="2"/>
          </rPr>
          <t>Patricia Valdivia:</t>
        </r>
        <r>
          <rPr>
            <sz val="9"/>
            <color indexed="81"/>
            <rFont val="Tahoma"/>
            <family val="2"/>
          </rPr>
          <t xml:space="preserve">
Desembolso DIACONIA Y ESPOR II +IDH</t>
        </r>
      </text>
    </comment>
    <comment ref="B121" authorId="0" shapeId="0" xr:uid="{95F4C816-1BEB-47CA-B21F-504EC1D7E5D7}">
      <text>
        <r>
          <rPr>
            <b/>
            <sz val="9"/>
            <color indexed="81"/>
            <rFont val="Tahoma"/>
            <family val="2"/>
          </rPr>
          <t>Patricia Valdivia:</t>
        </r>
        <r>
          <rPr>
            <sz val="9"/>
            <color indexed="81"/>
            <rFont val="Tahoma"/>
            <family val="2"/>
          </rPr>
          <t xml:space="preserve">
INGRESO GANADO POR BCP MIAMI USD 410.72
INGRESO GANADO POR PASNEC USD 1,918.63</t>
        </r>
      </text>
    </comment>
    <comment ref="C121" authorId="0" shapeId="0" xr:uid="{2C1E6341-4ED8-4A2D-85D4-F1248FA05E6B}">
      <text>
        <r>
          <rPr>
            <b/>
            <sz val="9"/>
            <color indexed="81"/>
            <rFont val="Tahoma"/>
            <family val="2"/>
          </rPr>
          <t>Patricia Valdivia:</t>
        </r>
        <r>
          <rPr>
            <sz val="9"/>
            <color indexed="81"/>
            <rFont val="Tahoma"/>
            <family val="2"/>
          </rPr>
          <t xml:space="preserve">
INTERES GANADO EN BCP MIAMI</t>
        </r>
      </text>
    </comment>
    <comment ref="D121" authorId="0" shapeId="0" xr:uid="{1E30CCAD-C7CE-4047-B44D-804C4A13AB17}">
      <text>
        <r>
          <rPr>
            <b/>
            <sz val="9"/>
            <color indexed="81"/>
            <rFont val="Tahoma"/>
            <family val="2"/>
          </rPr>
          <t>Patricia Valdivia:</t>
        </r>
        <r>
          <rPr>
            <sz val="9"/>
            <color indexed="81"/>
            <rFont val="Tahoma"/>
            <family val="2"/>
          </rPr>
          <t xml:space="preserve">
INTERES GANADO EN BCP MIAMI</t>
        </r>
      </text>
    </comment>
    <comment ref="D126" authorId="0" shapeId="0" xr:uid="{04ADA284-EC81-44A4-B356-A6C5154CDF89}">
      <text>
        <r>
          <rPr>
            <b/>
            <sz val="9"/>
            <color indexed="81"/>
            <rFont val="Tahoma"/>
            <family val="2"/>
          </rPr>
          <t>Patricia Valdivia:</t>
        </r>
        <r>
          <rPr>
            <sz val="9"/>
            <color indexed="81"/>
            <rFont val="Tahoma"/>
            <family val="2"/>
          </rPr>
          <t xml:space="preserve">
DESEMBOLSO FMO</t>
        </r>
      </text>
    </comment>
    <comment ref="C127" authorId="0" shapeId="0" xr:uid="{55CA5CCD-DD01-4D0B-A4C9-59EF109DF51A}">
      <text>
        <r>
          <rPr>
            <b/>
            <sz val="9"/>
            <color indexed="81"/>
            <rFont val="Tahoma"/>
            <family val="2"/>
          </rPr>
          <t>Patricia Valdivia:</t>
        </r>
        <r>
          <rPr>
            <sz val="9"/>
            <color indexed="81"/>
            <rFont val="Tahoma"/>
            <family val="2"/>
          </rPr>
          <t xml:space="preserve">
UP FRON FEE BIO SOBRE USD 10,000
COMMITMENT FEE DFC</t>
        </r>
      </text>
    </comment>
    <comment ref="D135" authorId="0" shapeId="0" xr:uid="{53F182FF-0D91-4B3A-BA19-8A214AC2BED0}">
      <text>
        <r>
          <rPr>
            <b/>
            <sz val="9"/>
            <color indexed="81"/>
            <rFont val="Tahoma"/>
            <family val="2"/>
          </rPr>
          <t>Patricia Valdivia:</t>
        </r>
        <r>
          <rPr>
            <sz val="9"/>
            <color indexed="81"/>
            <rFont val="Tahoma"/>
            <family val="2"/>
          </rPr>
          <t xml:space="preserve">
AJUSTE SEGÚN ULTIMA CORREO SOBRE UNA BASE DE USD 17,000</t>
        </r>
      </text>
    </comment>
  </commentList>
</comments>
</file>

<file path=xl/sharedStrings.xml><?xml version="1.0" encoding="utf-8"?>
<sst xmlns="http://schemas.openxmlformats.org/spreadsheetml/2006/main" count="641" uniqueCount="267">
  <si>
    <t>November</t>
  </si>
  <si>
    <t>December</t>
  </si>
  <si>
    <t>ASSETS</t>
  </si>
  <si>
    <t>TOTAL ASSETS</t>
  </si>
  <si>
    <t>LIABILITIES</t>
  </si>
  <si>
    <t>TOTAL LIABILITIES</t>
  </si>
  <si>
    <t>EQUITY</t>
  </si>
  <si>
    <t>TOTAL EQUITY</t>
  </si>
  <si>
    <t>TOTAL INCOME</t>
  </si>
  <si>
    <t>Cash and cash equivalent</t>
  </si>
  <si>
    <t>TOTAL LIABILITY AND EQUITY</t>
  </si>
  <si>
    <t>INCOME</t>
  </si>
  <si>
    <t>EXPENSES</t>
  </si>
  <si>
    <t>Management Fees</t>
  </si>
  <si>
    <t>TOTAL EXPENSES</t>
  </si>
  <si>
    <t xml:space="preserve">        FMO</t>
  </si>
  <si>
    <t>Management Fee paid in advance</t>
  </si>
  <si>
    <t>Accounts Payable</t>
  </si>
  <si>
    <t xml:space="preserve">                Accrued Interests</t>
  </si>
  <si>
    <t>Short Term Liabilities</t>
  </si>
  <si>
    <t>Legal Expenses</t>
  </si>
  <si>
    <t xml:space="preserve">        BCP Miami</t>
  </si>
  <si>
    <t>Others</t>
  </si>
  <si>
    <t>Bank and Account Charges</t>
  </si>
  <si>
    <t>Accumulated</t>
  </si>
  <si>
    <t>% of Total Assets</t>
  </si>
  <si>
    <t xml:space="preserve">                Principal</t>
  </si>
  <si>
    <t>Honduras</t>
  </si>
  <si>
    <t xml:space="preserve">        BIO</t>
  </si>
  <si>
    <t>Colombia</t>
  </si>
  <si>
    <t>Ecuador</t>
  </si>
  <si>
    <t>Total</t>
  </si>
  <si>
    <t>Capital</t>
  </si>
  <si>
    <t>Bolivia</t>
  </si>
  <si>
    <t>El Salvador</t>
  </si>
  <si>
    <t xml:space="preserve">Loans Interests </t>
  </si>
  <si>
    <t>Country</t>
  </si>
  <si>
    <t>Entity</t>
  </si>
  <si>
    <t>Principal</t>
  </si>
  <si>
    <t>Accrued Interests</t>
  </si>
  <si>
    <t>Total Bolivia</t>
  </si>
  <si>
    <t>Contactar</t>
  </si>
  <si>
    <t>Total Colombia</t>
  </si>
  <si>
    <t>Total Ecuador</t>
  </si>
  <si>
    <t>Total El Salvador</t>
  </si>
  <si>
    <t>Total Honduras</t>
  </si>
  <si>
    <t>Total Perú</t>
  </si>
  <si>
    <t xml:space="preserve">Total </t>
  </si>
  <si>
    <t>Perú</t>
  </si>
  <si>
    <t>Faces</t>
  </si>
  <si>
    <t>Comprobante</t>
  </si>
  <si>
    <t xml:space="preserve">       Credit Committe Meetings Costs</t>
  </si>
  <si>
    <t>January</t>
  </si>
  <si>
    <t>Accumulated Results</t>
  </si>
  <si>
    <t>Exchange Rate Difference</t>
  </si>
  <si>
    <t>February</t>
  </si>
  <si>
    <t>Credit Committe Meetings Costs</t>
  </si>
  <si>
    <t>March</t>
  </si>
  <si>
    <t>Reserve for Currency Loss</t>
  </si>
  <si>
    <t xml:space="preserve">       Reserve of the Period</t>
  </si>
  <si>
    <t xml:space="preserve">        SIFEM</t>
  </si>
  <si>
    <t xml:space="preserve">Senior Loans </t>
  </si>
  <si>
    <t>Senior Loans Interests</t>
  </si>
  <si>
    <t>Mexico</t>
  </si>
  <si>
    <t>Total Mexico</t>
  </si>
  <si>
    <t xml:space="preserve">       Faces</t>
  </si>
  <si>
    <t xml:space="preserve">       Advisory Committe Meetings Costs</t>
  </si>
  <si>
    <t xml:space="preserve">       Legal Services</t>
  </si>
  <si>
    <t>Advisory Committee Meetings Costs</t>
  </si>
  <si>
    <t>August</t>
  </si>
  <si>
    <t xml:space="preserve">       Espoir</t>
  </si>
  <si>
    <t>Insurance - D&amp;O</t>
  </si>
  <si>
    <t>Espoir</t>
  </si>
  <si>
    <t>September</t>
  </si>
  <si>
    <t>October</t>
  </si>
  <si>
    <t xml:space="preserve">       Others</t>
  </si>
  <si>
    <t xml:space="preserve">       Accumulated Reserve</t>
  </si>
  <si>
    <t xml:space="preserve">        External Auditors </t>
  </si>
  <si>
    <t xml:space="preserve">       Management Fee </t>
  </si>
  <si>
    <t>Espoir II</t>
  </si>
  <si>
    <t>MONTHLY PROFIT/(LOSS)</t>
  </si>
  <si>
    <t>PROFIT/(LOSS) ACCUMULATED</t>
  </si>
  <si>
    <t>Edpyme Alternativa</t>
  </si>
  <si>
    <t xml:space="preserve">       MFX</t>
  </si>
  <si>
    <t xml:space="preserve">       Capital and Interest received in advance</t>
  </si>
  <si>
    <t>Equipate</t>
  </si>
  <si>
    <t>Year 2020 (in USD)</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</si>
  <si>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</si>
  <si>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</si>
  <si>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</si>
  <si>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</si>
  <si>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</si>
  <si>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</si>
  <si>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</si>
  <si>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</si>
  <si>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</si>
  <si>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</si>
  <si>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</si>
  <si>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</si>
  <si>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</si>
  <si>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</si>
  <si>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</si>
  <si>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</si>
  <si>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</si>
  <si>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</si>
  <si>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</si>
  <si>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</si>
  <si>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</si>
  <si>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</si>
  <si>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</si>
  <si>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</si>
  <si>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</si>
  <si>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</si>
  <si>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</si>
  <si>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</si>
  <si>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</si>
  <si>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</si>
  <si>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</si>
  <si>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</si>
  <si>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</si>
  <si>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</si>
  <si>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</si>
  <si>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</si>
  <si>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</si>
  <si>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</si>
  <si>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</si>
  <si>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</si>
  <si>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</si>
  <si>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</si>
  <si>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</si>
  <si>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</si>
  <si>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</si>
  <si>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</si>
  <si>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</si>
  <si>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</si>
  <si>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</si>
  <si>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</si>
  <si>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</si>
  <si>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</si>
  <si>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</si>
  <si>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</si>
  <si>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</si>
  <si>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</si>
  <si>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</si>
  <si>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</si>
  <si>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</si>
  <si>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</si>
  <si>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</si>
  <si>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</si>
  <si>
    <t xml:space="preserve">       DIACONIA</t>
  </si>
  <si>
    <t xml:space="preserve">       ESPOIR II</t>
  </si>
  <si>
    <t xml:space="preserve">       IDH</t>
  </si>
  <si>
    <t>Promujer Bolivia</t>
  </si>
  <si>
    <t>Diaconia</t>
  </si>
  <si>
    <t xml:space="preserve">Insotec </t>
  </si>
  <si>
    <t xml:space="preserve">IDH Honduras </t>
  </si>
  <si>
    <t xml:space="preserve">AHSETFIN </t>
  </si>
  <si>
    <t>Asei</t>
  </si>
  <si>
    <t>Code</t>
  </si>
  <si>
    <t>Microfinance Institution</t>
  </si>
  <si>
    <t>Disbursement Date</t>
  </si>
  <si>
    <t>Amount (USD)</t>
  </si>
  <si>
    <t>ASEI</t>
  </si>
  <si>
    <t>Equipat</t>
  </si>
  <si>
    <t>AHSETFIN</t>
  </si>
  <si>
    <t>Pro Mujer BOL</t>
  </si>
  <si>
    <t>EDPYME Alternativa</t>
  </si>
  <si>
    <t>Peru</t>
  </si>
  <si>
    <t>Insotec</t>
  </si>
  <si>
    <t>Diaconía</t>
  </si>
  <si>
    <t>IDH</t>
  </si>
  <si>
    <t xml:space="preserve">MFI </t>
  </si>
  <si>
    <t>Data as of</t>
  </si>
  <si>
    <t>Loan Portfolio (USD MM)</t>
  </si>
  <si>
    <t>Number of clients</t>
  </si>
  <si>
    <t>Female clients (%)</t>
  </si>
  <si>
    <t>Rural clients 
(%)</t>
  </si>
  <si>
    <t>Average loan (USD)</t>
  </si>
  <si>
    <t>Average loan/GDP per Capita</t>
  </si>
  <si>
    <t>Write-offs 
(%)</t>
  </si>
  <si>
    <t>SPI4 audit</t>
  </si>
  <si>
    <t>Endorsed to the Smart Campaign</t>
  </si>
  <si>
    <t>PPI Users (a)</t>
  </si>
  <si>
    <t>Social Rating</t>
  </si>
  <si>
    <t>Social Rating  Report Year</t>
  </si>
  <si>
    <t>Unique Clients</t>
  </si>
  <si>
    <t>Banked or First Clients</t>
  </si>
  <si>
    <t>MFI</t>
  </si>
  <si>
    <t>Locfund's disbursed amount</t>
  </si>
  <si>
    <t>Average loan as of the date of disbursement (Investment report)</t>
  </si>
  <si>
    <t>Disbursement/Average loan</t>
  </si>
  <si>
    <t xml:space="preserve">Diaconía </t>
  </si>
  <si>
    <t>Completed</t>
  </si>
  <si>
    <t>Yes</t>
  </si>
  <si>
    <t>-</t>
  </si>
  <si>
    <t>N/A</t>
  </si>
  <si>
    <t xml:space="preserve">Pro-Mujer </t>
  </si>
  <si>
    <t>No</t>
  </si>
  <si>
    <t>n/a</t>
  </si>
  <si>
    <t xml:space="preserve">ASEI </t>
  </si>
  <si>
    <t xml:space="preserve">El Salvador </t>
  </si>
  <si>
    <t xml:space="preserve">Completed </t>
  </si>
  <si>
    <t>Ahsetfin</t>
  </si>
  <si>
    <t xml:space="preserve">No </t>
  </si>
  <si>
    <t>IDH Honduras</t>
  </si>
  <si>
    <t xml:space="preserve">n/a </t>
  </si>
  <si>
    <t>0-20</t>
  </si>
  <si>
    <t>20-40</t>
  </si>
  <si>
    <t>40-60</t>
  </si>
  <si>
    <t>60-80</t>
  </si>
  <si>
    <t>80-100</t>
  </si>
  <si>
    <t>Female</t>
  </si>
  <si>
    <t>Rural</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</si>
  <si>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</si>
  <si>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</si>
  <si>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</si>
  <si>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 xml:space="preserve">(d) Principal + Interest as of December 2020.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</si>
  <si>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</si>
  <si>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</si>
  <si>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CLIENTS</t>
  </si>
  <si>
    <t>Current</t>
  </si>
  <si>
    <t>Goal</t>
  </si>
  <si>
    <t>Deadline</t>
  </si>
  <si>
    <t>Status</t>
  </si>
  <si>
    <t xml:space="preserve">(g) Population below national poverty line (NPL). Source: https://www.cia.gov/library/publications/the-world-factbook/       </t>
  </si>
  <si>
    <t>Total number of clients</t>
  </si>
  <si>
    <t>Not Applicable</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</si>
  <si>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</si>
  <si>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Female clients</t>
  </si>
  <si>
    <t>≥ 50%</t>
  </si>
  <si>
    <t>Year 6</t>
  </si>
  <si>
    <t>Compliant</t>
  </si>
  <si>
    <t>N/A Not Available.</t>
  </si>
  <si>
    <t>Rural clients</t>
  </si>
  <si>
    <t>≥ 40%</t>
  </si>
  <si>
    <t>Average loan size (b)</t>
  </si>
  <si>
    <t>≤ 1,500</t>
  </si>
  <si>
    <t>Total clients reached by LOCFUND Next financing</t>
  </si>
  <si>
    <t>≥ 200,000</t>
  </si>
  <si>
    <t>In process</t>
  </si>
  <si>
    <t>Avg. loan size/GDP per capita (c)</t>
  </si>
  <si>
    <t>Write-offs</t>
  </si>
  <si>
    <t>≤ 3%</t>
  </si>
  <si>
    <t>LOCFUND NEXT COUNTRY EXPOSURE</t>
  </si>
  <si>
    <t>LOCFUND NEXT PORTFOLIO (d)</t>
  </si>
  <si>
    <t>GDP USD (e)</t>
  </si>
  <si>
    <t>HDI (f)</t>
  </si>
  <si>
    <t>% NPL (g)</t>
  </si>
  <si>
    <t>Gini Coefficient (h)</t>
  </si>
  <si>
    <t>OTHER COUNTRIES</t>
  </si>
  <si>
    <t>Argentina</t>
  </si>
  <si>
    <t>Barbados</t>
  </si>
  <si>
    <t>Belize</t>
  </si>
  <si>
    <t>Brazil</t>
  </si>
  <si>
    <t>Costa Rica</t>
  </si>
  <si>
    <t>Chile</t>
  </si>
  <si>
    <t>Dominican Rep.</t>
  </si>
  <si>
    <t>Guatemala</t>
  </si>
  <si>
    <t>Haiti</t>
  </si>
  <si>
    <t>Jamaica</t>
  </si>
  <si>
    <t>Nicaragua</t>
  </si>
  <si>
    <t>Panama</t>
  </si>
  <si>
    <t>Paraguay</t>
  </si>
  <si>
    <t>Suriname</t>
  </si>
  <si>
    <t>Trinidad &amp; Tob.</t>
  </si>
  <si>
    <t>Uruguay</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</si>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</sst>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_);_(* \(#,##0.00\);_(* &quot;-&quot;??_);_(@_)"/>
    <numFmt numFmtId="165" formatCode="_-* #,##0.00\ _$_-;\-* #,##0.00\ _$_-;_-* &quot;-&quot;??\ _$_-;_-@_-"/>
    <numFmt numFmtId="166" formatCode="_(* #,##0_);_(* \(#,##0\);_(* &quot;-&quot;??_);_(@_)"/>
    <numFmt numFmtId="167" formatCode="0.0%"/>
    <numFmt numFmtId="168" formatCode="_-* #,##0\ _$_-;\-* #,##0\ _$_-;_-* &quot;-&quot;??\ _$_-;_-@_-"/>
    <numFmt numFmtId="169" formatCode="_-* #,##0.00\ &quot;$&quot;_-;\-* #,##0.00\ &quot;$&quot;_-;_-* &quot;-&quot;??\ &quot;$&quot;_-;_-@_-"/>
    <numFmt numFmtId="170" formatCode="0.0000%"/>
    <numFmt numFmtId="171" formatCode="0.000%"/>
    <numFmt numFmtId="172" formatCode="dd/mm/yy;@"/>
    <numFmt numFmtId="173" formatCode="_-* #,##0.00\ _€_-;\-* #,##0.00\ _€_-;_-* &quot;-&quot;??\ _€_-;_-@_-"/>
    <numFmt numFmtId="174" formatCode="#,##0.000_ ;\-#,##0.000\ "/>
    <numFmt numFmtId="175" formatCode="#,##0.000"/>
    <numFmt numFmtId="176"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b/>
      <sz val="9"/>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8"/>
      <name val="Arial"/>
      <family val="2"/>
    </font>
    <font>
      <i/>
      <sz val="7"/>
      <name val="Arial"/>
      <family val="2"/>
    </font>
    <font>
      <sz val="7"/>
      <name val="Arial"/>
      <family val="2"/>
    </font>
    <font>
      <sz val="8"/>
      <name val="Arial"/>
      <family val="2"/>
    </font>
    <font>
      <b/>
      <sz val="10"/>
      <name val="Arial"/>
      <family val="2"/>
    </font>
    <font>
      <b/>
      <sz val="11"/>
      <color theme="1"/>
      <name val="Calibri"/>
      <family val="2"/>
      <scheme val="minor"/>
    </font>
    <font>
      <sz val="10"/>
      <color theme="5"/>
      <name val="Cambria"/>
      <family val="3"/>
      <scheme val="major"/>
    </font>
    <font>
      <b/>
      <sz val="7"/>
      <color rgb="FF22B14C"/>
      <name val="Arial"/>
      <family val="2"/>
    </font>
    <font>
      <b/>
      <sz val="10"/>
      <color theme="5"/>
      <name val="Cambria"/>
      <family val="3"/>
      <scheme val="major"/>
    </font>
    <font>
      <sz val="10"/>
      <name val="Calibri"/>
      <family val="3"/>
      <scheme val="minor"/>
    </font>
    <font>
      <sz val="6"/>
      <color theme="3"/>
      <name val="Arial"/>
      <family val="2"/>
    </font>
    <font>
      <sz val="6"/>
      <color theme="1"/>
      <name val="Arial"/>
      <family val="2"/>
    </font>
    <font>
      <sz val="11"/>
      <color theme="3"/>
      <name val="Calibri"/>
      <family val="3"/>
      <scheme val="minor"/>
    </font>
    <font>
      <sz val="8"/>
      <color theme="1" tint="0.249977111117893"/>
      <name val="Calibri"/>
      <family val="3"/>
      <scheme val="minor"/>
    </font>
    <font>
      <sz val="11"/>
      <color theme="1"/>
      <name val="Calibri"/>
      <family val="3"/>
      <scheme val="minor"/>
    </font>
    <font>
      <b/>
      <sz val="11"/>
      <name val="Calibri"/>
      <family val="2"/>
      <scheme val="minor"/>
    </font>
    <font>
      <b/>
      <sz val="11"/>
      <color theme="1"/>
      <name val="Arial"/>
      <family val="2"/>
    </font>
    <font>
      <sz val="11"/>
      <name val="Calibri"/>
      <family val="3"/>
      <scheme val="minor"/>
    </font>
    <font>
      <sz val="11"/>
      <name val="Calibri"/>
      <family val="2"/>
      <scheme val="minor"/>
    </font>
    <font>
      <b/>
      <sz val="9"/>
      <color rgb="FF22B14C"/>
      <name val="Arial"/>
      <family val="2"/>
    </font>
    <font>
      <sz val="8"/>
      <color theme="1"/>
      <name val="Arial"/>
      <family val="2"/>
    </font>
    <font>
      <b/>
      <sz val="10"/>
      <color theme="6"/>
      <name val="Arial"/>
      <family val="2"/>
    </font>
    <font>
      <sz val="9"/>
      <color theme="1"/>
      <name val="Arial"/>
      <family val="2"/>
    </font>
    <font>
      <sz val="9"/>
      <color theme="1"/>
      <name val="Calibri"/>
      <family val="2"/>
      <scheme val="minor"/>
    </font>
    <font>
      <sz val="9"/>
      <name val="Calibri"/>
      <family val="2"/>
      <scheme val="minor"/>
    </font>
    <font>
      <b/>
      <sz val="9"/>
      <color theme="6"/>
      <name val="Arial"/>
      <family val="2"/>
    </font>
    <font>
      <b/>
      <sz val="8"/>
      <color theme="6"/>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s>
  <borders count="2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rgb="FFD9D9D9"/>
      </top>
      <bottom style="thin">
        <color rgb="FFD9D9D9"/>
      </bottom>
      <diagonal/>
    </border>
    <border>
      <left/>
      <right/>
      <top style="thin">
        <color theme="0" tint="-0.14996795556505021"/>
      </top>
      <bottom style="thin">
        <color theme="0" tint="-0.14993743705557422"/>
      </bottom>
      <diagonal/>
    </border>
    <border>
      <left/>
      <right/>
      <top/>
      <bottom style="thin">
        <color rgb="FFD9D9D9"/>
      </bottom>
      <diagonal/>
    </border>
    <border>
      <left/>
      <right/>
      <top/>
      <bottom style="thin">
        <color theme="0" tint="-0.14996795556505021"/>
      </bottom>
      <diagonal/>
    </border>
    <border>
      <left/>
      <right/>
      <top/>
      <bottom style="thin">
        <color theme="0" tint="-0.14993743705557422"/>
      </bottom>
      <diagonal/>
    </border>
  </borders>
  <cellStyleXfs count="22">
    <xf numFmtId="0" fontId="0"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0" fontId="4" fillId="0" borderId="0"/>
    <xf numFmtId="0" fontId="5" fillId="0" borderId="0"/>
    <xf numFmtId="165" fontId="5" fillId="0" borderId="0" applyFont="0" applyFill="0" applyBorder="0" applyAlignment="0" applyProtection="0"/>
    <xf numFmtId="165" fontId="19" fillId="0" borderId="0" applyFont="0" applyFill="0" applyBorder="0" applyAlignment="0" applyProtection="0"/>
    <xf numFmtId="9" fontId="5" fillId="0" borderId="0" applyFont="0" applyFill="0" applyBorder="0" applyAlignment="0" applyProtection="0"/>
    <xf numFmtId="169" fontId="19" fillId="0" borderId="0" applyFont="0" applyFill="0" applyBorder="0" applyAlignment="0" applyProtection="0"/>
    <xf numFmtId="9" fontId="19"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4" fontId="2" fillId="0" borderId="0" applyFont="0" applyFill="0" applyBorder="0" applyAlignment="0" applyProtection="0"/>
    <xf numFmtId="0" fontId="1" fillId="0" borderId="0"/>
    <xf numFmtId="173"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5" fillId="0" borderId="0"/>
    <xf numFmtId="0" fontId="5" fillId="0" borderId="0"/>
    <xf numFmtId="173" fontId="5" fillId="0" borderId="0" applyFont="0" applyFill="0" applyBorder="0" applyAlignment="0" applyProtection="0"/>
  </cellStyleXfs>
  <cellXfs count="295">
    <xf numFmtId="0" fontId="0" fillId="0" borderId="0" xfId="0"/>
    <xf numFmtId="0" fontId="7" fillId="0" borderId="0" xfId="0" applyFont="1" applyFill="1"/>
    <xf numFmtId="0" fontId="8" fillId="0" borderId="4" xfId="0" applyFont="1" applyFill="1" applyBorder="1" applyAlignment="1">
      <alignment horizontal="center"/>
    </xf>
    <xf numFmtId="0" fontId="7" fillId="0" borderId="0" xfId="0" applyFont="1" applyFill="1" applyBorder="1"/>
    <xf numFmtId="166" fontId="7" fillId="0" borderId="8" xfId="0" applyNumberFormat="1" applyFont="1" applyFill="1" applyBorder="1"/>
    <xf numFmtId="0" fontId="9" fillId="0" borderId="7" xfId="0" applyFont="1" applyBorder="1"/>
    <xf numFmtId="0" fontId="9" fillId="0" borderId="0" xfId="0" applyFont="1" applyBorder="1"/>
    <xf numFmtId="3" fontId="7" fillId="0" borderId="5" xfId="0" applyNumberFormat="1" applyFont="1" applyFill="1" applyBorder="1"/>
    <xf numFmtId="3" fontId="7" fillId="0" borderId="7" xfId="0" applyNumberFormat="1" applyFont="1" applyFill="1" applyBorder="1"/>
    <xf numFmtId="0" fontId="7" fillId="0" borderId="10" xfId="0" applyFont="1" applyBorder="1"/>
    <xf numFmtId="0" fontId="9" fillId="0" borderId="10" xfId="0" applyFont="1" applyFill="1" applyBorder="1"/>
    <xf numFmtId="166" fontId="7" fillId="0" borderId="7" xfId="0" applyNumberFormat="1" applyFont="1" applyFill="1" applyBorder="1"/>
    <xf numFmtId="0" fontId="8" fillId="0" borderId="12" xfId="0" applyFont="1" applyBorder="1"/>
    <xf numFmtId="166" fontId="8" fillId="0" borderId="4" xfId="0" applyNumberFormat="1" applyFont="1" applyFill="1" applyBorder="1"/>
    <xf numFmtId="166" fontId="8" fillId="0" borderId="0" xfId="0" applyNumberFormat="1" applyFont="1" applyFill="1" applyBorder="1"/>
    <xf numFmtId="166" fontId="7" fillId="0" borderId="0" xfId="0" applyNumberFormat="1" applyFont="1" applyFill="1"/>
    <xf numFmtId="0" fontId="8" fillId="0" borderId="4" xfId="0" applyFont="1" applyFill="1" applyBorder="1"/>
    <xf numFmtId="10" fontId="8" fillId="0" borderId="4" xfId="3" applyNumberFormat="1" applyFont="1" applyFill="1" applyBorder="1"/>
    <xf numFmtId="10" fontId="7" fillId="0" borderId="7" xfId="3" applyNumberFormat="1" applyFont="1" applyFill="1" applyBorder="1"/>
    <xf numFmtId="166" fontId="6" fillId="0" borderId="0" xfId="0" applyNumberFormat="1" applyFont="1" applyBorder="1"/>
    <xf numFmtId="10" fontId="7" fillId="0" borderId="5" xfId="3" applyNumberFormat="1" applyFont="1" applyFill="1" applyBorder="1"/>
    <xf numFmtId="0" fontId="10" fillId="0" borderId="0" xfId="0" applyFont="1" applyFill="1" applyBorder="1"/>
    <xf numFmtId="0" fontId="6" fillId="0" borderId="0" xfId="0" applyFont="1" applyFill="1" applyBorder="1"/>
    <xf numFmtId="0" fontId="7" fillId="0" borderId="11" xfId="0" applyFont="1" applyFill="1" applyBorder="1"/>
    <xf numFmtId="0" fontId="8" fillId="0" borderId="11" xfId="0" applyFont="1" applyFill="1" applyBorder="1"/>
    <xf numFmtId="0" fontId="7" fillId="0" borderId="5" xfId="0" applyFont="1" applyFill="1" applyBorder="1"/>
    <xf numFmtId="168" fontId="7" fillId="0" borderId="0" xfId="1" applyNumberFormat="1" applyFont="1" applyFill="1"/>
    <xf numFmtId="0" fontId="13" fillId="0" borderId="0" xfId="0" applyFont="1" applyFill="1"/>
    <xf numFmtId="166" fontId="7" fillId="0" borderId="10" xfId="0" applyNumberFormat="1" applyFont="1" applyFill="1" applyBorder="1"/>
    <xf numFmtId="0" fontId="5" fillId="0" borderId="7" xfId="0" applyFont="1" applyFill="1" applyBorder="1"/>
    <xf numFmtId="166" fontId="5" fillId="0" borderId="8" xfId="0" applyNumberFormat="1" applyFont="1" applyFill="1" applyBorder="1" applyAlignment="1"/>
    <xf numFmtId="0" fontId="8" fillId="0" borderId="11" xfId="0" applyFont="1" applyFill="1" applyBorder="1" applyAlignment="1">
      <alignment horizontal="center"/>
    </xf>
    <xf numFmtId="168" fontId="17" fillId="0" borderId="12" xfId="2" applyNumberFormat="1" applyFont="1" applyFill="1" applyBorder="1" applyAlignment="1">
      <alignment horizontal="center"/>
    </xf>
    <xf numFmtId="168" fontId="17" fillId="0" borderId="1" xfId="2" applyNumberFormat="1" applyFont="1" applyFill="1" applyBorder="1" applyAlignment="1">
      <alignment horizontal="center"/>
    </xf>
    <xf numFmtId="168" fontId="17" fillId="0" borderId="4" xfId="2" applyNumberFormat="1" applyFont="1" applyFill="1" applyBorder="1" applyAlignment="1">
      <alignment horizontal="center"/>
    </xf>
    <xf numFmtId="166" fontId="5" fillId="0" borderId="8" xfId="0" applyNumberFormat="1" applyFont="1" applyFill="1" applyBorder="1"/>
    <xf numFmtId="10" fontId="7" fillId="0" borderId="0" xfId="3" applyNumberFormat="1" applyFont="1" applyFill="1" applyBorder="1"/>
    <xf numFmtId="0" fontId="6" fillId="0" borderId="0" xfId="2" applyFont="1" applyFill="1"/>
    <xf numFmtId="0" fontId="9" fillId="0" borderId="0" xfId="0" applyFont="1" applyFill="1" applyBorder="1"/>
    <xf numFmtId="0" fontId="9" fillId="0" borderId="10" xfId="0" applyFont="1" applyBorder="1"/>
    <xf numFmtId="166" fontId="8" fillId="0" borderId="5" xfId="0" applyNumberFormat="1" applyFont="1" applyFill="1" applyBorder="1"/>
    <xf numFmtId="166" fontId="5" fillId="0" borderId="7" xfId="0" applyNumberFormat="1" applyFont="1" applyFill="1" applyBorder="1"/>
    <xf numFmtId="0" fontId="8" fillId="0" borderId="12" xfId="0" applyFont="1" applyFill="1" applyBorder="1"/>
    <xf numFmtId="0" fontId="8" fillId="0" borderId="0" xfId="0" applyFont="1" applyFill="1" applyBorder="1"/>
    <xf numFmtId="166" fontId="9" fillId="0" borderId="0" xfId="0" applyNumberFormat="1" applyFont="1" applyFill="1" applyBorder="1"/>
    <xf numFmtId="167" fontId="6" fillId="0" borderId="0" xfId="3" applyNumberFormat="1" applyFont="1" applyFill="1"/>
    <xf numFmtId="164" fontId="9" fillId="0" borderId="0" xfId="0" applyNumberFormat="1" applyFont="1" applyFill="1" applyBorder="1"/>
    <xf numFmtId="166" fontId="6" fillId="0" borderId="0" xfId="0" applyNumberFormat="1" applyFont="1" applyFill="1" applyBorder="1"/>
    <xf numFmtId="10" fontId="7" fillId="0" borderId="0" xfId="3" applyNumberFormat="1" applyFont="1" applyFill="1"/>
    <xf numFmtId="166" fontId="6" fillId="0" borderId="7" xfId="0" applyNumberFormat="1" applyFont="1" applyFill="1" applyBorder="1"/>
    <xf numFmtId="0" fontId="7" fillId="0" borderId="7" xfId="0" applyFont="1" applyFill="1" applyBorder="1"/>
    <xf numFmtId="166" fontId="7" fillId="0" borderId="0" xfId="0" applyNumberFormat="1" applyFont="1" applyFill="1" applyBorder="1"/>
    <xf numFmtId="10" fontId="6" fillId="0" borderId="7" xfId="3" applyNumberFormat="1" applyFont="1" applyFill="1" applyBorder="1"/>
    <xf numFmtId="10" fontId="7" fillId="0" borderId="6" xfId="3" applyNumberFormat="1" applyFont="1" applyFill="1" applyBorder="1"/>
    <xf numFmtId="10" fontId="7" fillId="0" borderId="8" xfId="3" applyNumberFormat="1" applyFont="1" applyFill="1" applyBorder="1"/>
    <xf numFmtId="168" fontId="6" fillId="0" borderId="7" xfId="2" applyNumberFormat="1" applyFont="1" applyFill="1" applyBorder="1"/>
    <xf numFmtId="168" fontId="14" fillId="0" borderId="4" xfId="2" applyNumberFormat="1" applyFont="1" applyFill="1" applyBorder="1"/>
    <xf numFmtId="168" fontId="6" fillId="0" borderId="0" xfId="1" applyNumberFormat="1" applyFont="1" applyFill="1"/>
    <xf numFmtId="168" fontId="20" fillId="0" borderId="0" xfId="1" applyNumberFormat="1" applyFont="1" applyFill="1"/>
    <xf numFmtId="164" fontId="7" fillId="0" borderId="0" xfId="0" applyNumberFormat="1" applyFont="1" applyFill="1" applyBorder="1"/>
    <xf numFmtId="166" fontId="22" fillId="0" borderId="0" xfId="0" applyNumberFormat="1" applyFont="1" applyFill="1" applyBorder="1"/>
    <xf numFmtId="10" fontId="5" fillId="0" borderId="7" xfId="3" applyNumberFormat="1" applyFont="1" applyFill="1" applyBorder="1" applyAlignment="1"/>
    <xf numFmtId="166" fontId="5" fillId="0" borderId="7" xfId="0" applyNumberFormat="1" applyFont="1" applyFill="1" applyBorder="1" applyAlignment="1"/>
    <xf numFmtId="10" fontId="5" fillId="0" borderId="8" xfId="3" applyNumberFormat="1" applyFont="1" applyFill="1" applyBorder="1"/>
    <xf numFmtId="166" fontId="7" fillId="0" borderId="0" xfId="3" applyNumberFormat="1" applyFont="1" applyFill="1" applyBorder="1"/>
    <xf numFmtId="166" fontId="7" fillId="0" borderId="3" xfId="0" applyNumberFormat="1" applyFont="1" applyFill="1" applyBorder="1"/>
    <xf numFmtId="166" fontId="7" fillId="0" borderId="6" xfId="0" applyNumberFormat="1" applyFont="1" applyFill="1" applyBorder="1"/>
    <xf numFmtId="166" fontId="8" fillId="0" borderId="2" xfId="0" applyNumberFormat="1" applyFont="1" applyFill="1" applyBorder="1"/>
    <xf numFmtId="166" fontId="8" fillId="0" borderId="5" xfId="0" applyNumberFormat="1" applyFont="1" applyFill="1" applyBorder="1" applyAlignment="1">
      <alignment horizontal="center"/>
    </xf>
    <xf numFmtId="166" fontId="8" fillId="0" borderId="11" xfId="0" applyNumberFormat="1" applyFont="1" applyFill="1" applyBorder="1"/>
    <xf numFmtId="166" fontId="7" fillId="0" borderId="5" xfId="0" applyNumberFormat="1" applyFont="1" applyFill="1" applyBorder="1"/>
    <xf numFmtId="166" fontId="7" fillId="0" borderId="11" xfId="0" applyNumberFormat="1" applyFont="1" applyFill="1" applyBorder="1"/>
    <xf numFmtId="0" fontId="9" fillId="0" borderId="7" xfId="0" applyFont="1" applyFill="1" applyBorder="1"/>
    <xf numFmtId="0" fontId="7" fillId="0" borderId="4" xfId="0" applyFont="1" applyFill="1" applyBorder="1"/>
    <xf numFmtId="165" fontId="20" fillId="0" borderId="0" xfId="1" applyFont="1" applyFill="1"/>
    <xf numFmtId="164" fontId="10" fillId="0" borderId="0" xfId="0" applyNumberFormat="1" applyFont="1" applyFill="1" applyBorder="1"/>
    <xf numFmtId="165" fontId="7" fillId="0" borderId="0" xfId="1" applyFont="1" applyFill="1" applyBorder="1"/>
    <xf numFmtId="0" fontId="7" fillId="0" borderId="9" xfId="0" applyFont="1" applyFill="1" applyBorder="1"/>
    <xf numFmtId="0" fontId="7" fillId="0" borderId="10" xfId="0" applyFont="1" applyFill="1" applyBorder="1"/>
    <xf numFmtId="0" fontId="12" fillId="0" borderId="10" xfId="0" applyFont="1" applyFill="1" applyBorder="1"/>
    <xf numFmtId="0" fontId="11" fillId="0" borderId="0" xfId="0" applyFont="1" applyFill="1" applyBorder="1"/>
    <xf numFmtId="0" fontId="8" fillId="0" borderId="5" xfId="0" applyFont="1" applyFill="1" applyBorder="1"/>
    <xf numFmtId="10" fontId="8" fillId="0" borderId="4" xfId="3" applyNumberFormat="1" applyFont="1" applyFill="1" applyBorder="1" applyAlignment="1">
      <alignment horizontal="center" wrapText="1"/>
    </xf>
    <xf numFmtId="10" fontId="8" fillId="0" borderId="2" xfId="3" applyNumberFormat="1" applyFont="1" applyFill="1" applyBorder="1"/>
    <xf numFmtId="10" fontId="8" fillId="0" borderId="0" xfId="3" applyNumberFormat="1" applyFont="1" applyFill="1" applyBorder="1"/>
    <xf numFmtId="10" fontId="18" fillId="0" borderId="0" xfId="3" applyNumberFormat="1" applyFont="1" applyFill="1" applyBorder="1"/>
    <xf numFmtId="10" fontId="10" fillId="0" borderId="0" xfId="3" applyNumberFormat="1" applyFont="1" applyFill="1" applyBorder="1"/>
    <xf numFmtId="166" fontId="10" fillId="0" borderId="0" xfId="3" applyNumberFormat="1" applyFont="1" applyFill="1" applyBorder="1"/>
    <xf numFmtId="168" fontId="6" fillId="0" borderId="0" xfId="2" applyNumberFormat="1" applyFont="1" applyFill="1"/>
    <xf numFmtId="166" fontId="5" fillId="0" borderId="0" xfId="3" applyNumberFormat="1" applyFont="1" applyFill="1" applyBorder="1"/>
    <xf numFmtId="165" fontId="7" fillId="0" borderId="0" xfId="1" applyFont="1" applyFill="1"/>
    <xf numFmtId="165" fontId="6" fillId="0" borderId="0" xfId="1" applyFont="1" applyFill="1"/>
    <xf numFmtId="0" fontId="6" fillId="0" borderId="10" xfId="2" applyFont="1" applyFill="1" applyBorder="1"/>
    <xf numFmtId="164" fontId="7" fillId="0" borderId="0" xfId="0" applyNumberFormat="1" applyFont="1" applyFill="1"/>
    <xf numFmtId="165" fontId="6" fillId="0" borderId="0" xfId="2" applyNumberFormat="1" applyFont="1" applyFill="1"/>
    <xf numFmtId="166" fontId="7" fillId="0" borderId="3" xfId="3" applyNumberFormat="1" applyFont="1" applyFill="1" applyBorder="1"/>
    <xf numFmtId="168" fontId="9" fillId="0" borderId="0" xfId="1" applyNumberFormat="1" applyFont="1" applyFill="1" applyBorder="1"/>
    <xf numFmtId="0" fontId="21" fillId="0" borderId="7" xfId="0" applyFont="1" applyFill="1" applyBorder="1"/>
    <xf numFmtId="166" fontId="7" fillId="0" borderId="8" xfId="0" applyNumberFormat="1" applyFont="1" applyFill="1" applyBorder="1" applyAlignment="1"/>
    <xf numFmtId="164" fontId="6" fillId="0" borderId="0" xfId="2" applyNumberFormat="1" applyFont="1" applyFill="1"/>
    <xf numFmtId="0" fontId="6" fillId="0" borderId="8" xfId="2" applyFont="1" applyFill="1" applyBorder="1"/>
    <xf numFmtId="168" fontId="17" fillId="0" borderId="4" xfId="2" applyNumberFormat="1" applyFont="1" applyFill="1" applyBorder="1"/>
    <xf numFmtId="43" fontId="6" fillId="0" borderId="0" xfId="1" applyNumberFormat="1" applyFont="1" applyFill="1"/>
    <xf numFmtId="9" fontId="10" fillId="0" borderId="0" xfId="3" applyFont="1" applyFill="1" applyBorder="1"/>
    <xf numFmtId="4" fontId="9" fillId="0" borderId="0" xfId="0" applyNumberFormat="1" applyFont="1" applyFill="1" applyBorder="1"/>
    <xf numFmtId="0" fontId="5" fillId="0" borderId="0" xfId="0" applyFont="1" applyFill="1" applyBorder="1"/>
    <xf numFmtId="165" fontId="5" fillId="0" borderId="0" xfId="1" applyFont="1" applyFill="1" applyBorder="1"/>
    <xf numFmtId="0" fontId="11" fillId="0" borderId="7" xfId="0" applyFont="1" applyFill="1" applyBorder="1"/>
    <xf numFmtId="10" fontId="6" fillId="0" borderId="0" xfId="3" applyNumberFormat="1" applyFont="1" applyFill="1" applyBorder="1"/>
    <xf numFmtId="164" fontId="6" fillId="0" borderId="0" xfId="0" applyNumberFormat="1" applyFont="1" applyFill="1" applyBorder="1"/>
    <xf numFmtId="165" fontId="10" fillId="0" borderId="0" xfId="1" applyFont="1" applyFill="1" applyBorder="1"/>
    <xf numFmtId="164" fontId="10" fillId="0" borderId="0" xfId="3" applyNumberFormat="1" applyFont="1" applyFill="1" applyBorder="1"/>
    <xf numFmtId="166" fontId="9" fillId="0" borderId="10" xfId="0" applyNumberFormat="1" applyFont="1" applyFill="1" applyBorder="1"/>
    <xf numFmtId="10" fontId="9" fillId="0" borderId="7" xfId="3" applyNumberFormat="1" applyFont="1" applyFill="1" applyBorder="1"/>
    <xf numFmtId="0" fontId="24" fillId="0" borderId="7" xfId="0" applyFont="1" applyFill="1" applyBorder="1"/>
    <xf numFmtId="10" fontId="25" fillId="0" borderId="0" xfId="3" applyNumberFormat="1" applyFont="1" applyFill="1" applyBorder="1"/>
    <xf numFmtId="0" fontId="24" fillId="0" borderId="0" xfId="0" applyFont="1" applyFill="1" applyBorder="1"/>
    <xf numFmtId="166" fontId="10" fillId="0" borderId="7" xfId="3" applyNumberFormat="1" applyFont="1" applyFill="1" applyBorder="1"/>
    <xf numFmtId="166" fontId="11" fillId="0" borderId="7" xfId="0" applyNumberFormat="1" applyFont="1" applyFill="1" applyBorder="1"/>
    <xf numFmtId="166" fontId="11" fillId="0" borderId="7" xfId="3" applyNumberFormat="1" applyFont="1" applyFill="1" applyBorder="1"/>
    <xf numFmtId="166" fontId="24" fillId="0" borderId="7" xfId="0" applyNumberFormat="1" applyFont="1" applyFill="1" applyBorder="1"/>
    <xf numFmtId="9" fontId="7" fillId="0" borderId="0" xfId="3" applyFont="1" applyFill="1" applyBorder="1"/>
    <xf numFmtId="166" fontId="24" fillId="0" borderId="7" xfId="3" applyNumberFormat="1" applyFont="1" applyFill="1" applyBorder="1"/>
    <xf numFmtId="170" fontId="10" fillId="0" borderId="0" xfId="3" applyNumberFormat="1" applyFont="1" applyFill="1" applyBorder="1"/>
    <xf numFmtId="166" fontId="0" fillId="0" borderId="7" xfId="0" applyNumberFormat="1" applyFill="1" applyBorder="1"/>
    <xf numFmtId="14" fontId="7" fillId="0" borderId="0" xfId="0" applyNumberFormat="1" applyFont="1" applyFill="1" applyBorder="1"/>
    <xf numFmtId="166" fontId="8" fillId="0" borderId="12" xfId="0" applyNumberFormat="1" applyFont="1" applyFill="1" applyBorder="1"/>
    <xf numFmtId="166" fontId="0" fillId="0" borderId="8" xfId="0" applyNumberFormat="1" applyFill="1" applyBorder="1"/>
    <xf numFmtId="166" fontId="8" fillId="0" borderId="0" xfId="0" applyNumberFormat="1" applyFont="1" applyFill="1"/>
    <xf numFmtId="166" fontId="22" fillId="0" borderId="0" xfId="0" applyNumberFormat="1" applyFont="1" applyFill="1"/>
    <xf numFmtId="164" fontId="8" fillId="0" borderId="4" xfId="0" applyNumberFormat="1" applyFont="1" applyFill="1" applyBorder="1"/>
    <xf numFmtId="0" fontId="12" fillId="0" borderId="0" xfId="0" applyFont="1"/>
    <xf numFmtId="0" fontId="21" fillId="0" borderId="0" xfId="0" applyFont="1"/>
    <xf numFmtId="0" fontId="9" fillId="0" borderId="0" xfId="0" applyFont="1"/>
    <xf numFmtId="0" fontId="11" fillId="0" borderId="0" xfId="0" applyFont="1"/>
    <xf numFmtId="166" fontId="5" fillId="0" borderId="7" xfId="0" applyNumberFormat="1" applyFont="1" applyBorder="1"/>
    <xf numFmtId="166" fontId="6" fillId="0" borderId="7" xfId="0" applyNumberFormat="1" applyFont="1" applyBorder="1"/>
    <xf numFmtId="166" fontId="7" fillId="0" borderId="7" xfId="0" applyNumberFormat="1" applyFont="1" applyBorder="1"/>
    <xf numFmtId="166" fontId="8" fillId="0" borderId="4" xfId="0" applyNumberFormat="1" applyFont="1" applyBorder="1"/>
    <xf numFmtId="166" fontId="5" fillId="0" borderId="8" xfId="0" applyNumberFormat="1" applyFont="1" applyBorder="1"/>
    <xf numFmtId="166" fontId="5" fillId="0" borderId="11" xfId="0" applyNumberFormat="1" applyFont="1" applyBorder="1"/>
    <xf numFmtId="168" fontId="8" fillId="0" borderId="0" xfId="1" applyNumberFormat="1" applyFont="1" applyFill="1" applyBorder="1"/>
    <xf numFmtId="164" fontId="9" fillId="0" borderId="7" xfId="3" applyNumberFormat="1" applyFont="1" applyFill="1" applyBorder="1"/>
    <xf numFmtId="10" fontId="5" fillId="0" borderId="7" xfId="3" applyNumberFormat="1" applyFont="1" applyBorder="1"/>
    <xf numFmtId="10" fontId="6" fillId="0" borderId="7" xfId="3" applyNumberFormat="1" applyFont="1" applyBorder="1"/>
    <xf numFmtId="166" fontId="5" fillId="0" borderId="10" xfId="0" applyNumberFormat="1" applyFont="1" applyBorder="1"/>
    <xf numFmtId="166" fontId="6" fillId="0" borderId="10" xfId="0" applyNumberFormat="1" applyFont="1" applyBorder="1"/>
    <xf numFmtId="166" fontId="5" fillId="0" borderId="0" xfId="0" applyNumberFormat="1" applyFont="1" applyBorder="1"/>
    <xf numFmtId="165" fontId="9" fillId="0" borderId="0" xfId="1" applyFont="1" applyFill="1" applyBorder="1"/>
    <xf numFmtId="10" fontId="5" fillId="0" borderId="0" xfId="3" applyNumberFormat="1" applyFont="1" applyFill="1" applyBorder="1"/>
    <xf numFmtId="166" fontId="10" fillId="0" borderId="0" xfId="0" applyNumberFormat="1" applyFont="1" applyFill="1" applyBorder="1"/>
    <xf numFmtId="165" fontId="8" fillId="0" borderId="0" xfId="1" applyFont="1" applyFill="1" applyBorder="1"/>
    <xf numFmtId="164" fontId="0" fillId="0" borderId="7" xfId="0" applyNumberFormat="1" applyFill="1" applyBorder="1"/>
    <xf numFmtId="9" fontId="5" fillId="0" borderId="0" xfId="3" applyFont="1" applyFill="1" applyBorder="1"/>
    <xf numFmtId="171" fontId="10" fillId="0" borderId="0" xfId="3" applyNumberFormat="1" applyFont="1" applyFill="1" applyBorder="1"/>
    <xf numFmtId="0" fontId="12" fillId="0" borderId="0" xfId="0" applyFont="1" applyFill="1"/>
    <xf numFmtId="0" fontId="21" fillId="0" borderId="0" xfId="0" applyFont="1" applyFill="1"/>
    <xf numFmtId="10" fontId="5" fillId="0" borderId="7" xfId="3" applyNumberFormat="1" applyFont="1" applyFill="1" applyBorder="1"/>
    <xf numFmtId="166" fontId="5" fillId="0" borderId="10" xfId="0" applyNumberFormat="1" applyFont="1" applyFill="1" applyBorder="1"/>
    <xf numFmtId="166" fontId="5" fillId="0" borderId="0" xfId="0" applyNumberFormat="1" applyFont="1" applyFill="1" applyBorder="1"/>
    <xf numFmtId="0" fontId="9" fillId="0" borderId="0" xfId="0" applyFont="1" applyFill="1"/>
    <xf numFmtId="0" fontId="11" fillId="0" borderId="0" xfId="0" applyFont="1" applyFill="1"/>
    <xf numFmtId="166" fontId="6" fillId="0" borderId="10" xfId="0" applyNumberFormat="1" applyFont="1" applyFill="1" applyBorder="1"/>
    <xf numFmtId="0" fontId="27" fillId="0" borderId="0" xfId="0" applyFont="1" applyFill="1" applyBorder="1"/>
    <xf numFmtId="0" fontId="5" fillId="0" borderId="0" xfId="0" applyFont="1"/>
    <xf numFmtId="0" fontId="27" fillId="0" borderId="0" xfId="0" applyFont="1" applyAlignment="1">
      <alignment horizontal="center"/>
    </xf>
    <xf numFmtId="0" fontId="27" fillId="0" borderId="0" xfId="0" applyFont="1"/>
    <xf numFmtId="165" fontId="5" fillId="0" borderId="0" xfId="1" applyFont="1"/>
    <xf numFmtId="165" fontId="27" fillId="0" borderId="14" xfId="1" applyFont="1" applyBorder="1"/>
    <xf numFmtId="164" fontId="0" fillId="0" borderId="0" xfId="0" applyNumberFormat="1"/>
    <xf numFmtId="14" fontId="27" fillId="0" borderId="0" xfId="0" applyNumberFormat="1" applyFont="1" applyAlignment="1">
      <alignment horizontal="left"/>
    </xf>
    <xf numFmtId="165" fontId="5" fillId="0" borderId="0" xfId="1" applyFont="1" applyFill="1"/>
    <xf numFmtId="14" fontId="9" fillId="0" borderId="0" xfId="1" applyNumberFormat="1" applyFont="1" applyFill="1" applyBorder="1"/>
    <xf numFmtId="166" fontId="9" fillId="2" borderId="10" xfId="0" applyNumberFormat="1" applyFont="1" applyFill="1" applyBorder="1"/>
    <xf numFmtId="166" fontId="0" fillId="0" borderId="0" xfId="0" applyNumberFormat="1"/>
    <xf numFmtId="168" fontId="17" fillId="0" borderId="4" xfId="2" applyNumberFormat="1" applyFont="1" applyFill="1" applyBorder="1" applyAlignment="1">
      <alignment horizontal="center" wrapText="1"/>
    </xf>
    <xf numFmtId="172" fontId="0" fillId="0" borderId="0" xfId="0" applyNumberFormat="1"/>
    <xf numFmtId="165" fontId="0" fillId="0" borderId="0" xfId="1" applyFont="1"/>
    <xf numFmtId="0" fontId="14" fillId="0" borderId="12" xfId="2" applyFont="1" applyFill="1" applyBorder="1" applyAlignment="1">
      <alignment horizontal="right"/>
    </xf>
    <xf numFmtId="0" fontId="14" fillId="0" borderId="13" xfId="2" applyFont="1" applyFill="1" applyBorder="1" applyAlignment="1">
      <alignment horizontal="right"/>
    </xf>
    <xf numFmtId="0" fontId="17" fillId="0" borderId="12" xfId="2" applyFont="1" applyFill="1" applyBorder="1" applyAlignment="1">
      <alignment horizontal="right"/>
    </xf>
    <xf numFmtId="0" fontId="17" fillId="0" borderId="1" xfId="2" applyFont="1" applyFill="1" applyBorder="1" applyAlignment="1">
      <alignment horizontal="right"/>
    </xf>
    <xf numFmtId="0" fontId="14" fillId="0" borderId="1" xfId="2" applyFont="1" applyFill="1" applyBorder="1" applyAlignment="1">
      <alignment horizontal="right"/>
    </xf>
    <xf numFmtId="0" fontId="1" fillId="0" borderId="0" xfId="15" applyAlignment="1">
      <alignment vertical="center"/>
    </xf>
    <xf numFmtId="0" fontId="1" fillId="0" borderId="0" xfId="15" applyAlignment="1">
      <alignment horizontal="center" vertical="center"/>
    </xf>
    <xf numFmtId="0" fontId="1" fillId="3" borderId="0" xfId="15" applyFill="1" applyAlignment="1">
      <alignment vertical="center"/>
    </xf>
    <xf numFmtId="0" fontId="29" fillId="0" borderId="0" xfId="15" applyFont="1" applyAlignment="1">
      <alignment vertical="center"/>
    </xf>
    <xf numFmtId="0" fontId="30" fillId="4" borderId="15" xfId="15" applyFont="1" applyFill="1" applyBorder="1" applyAlignment="1">
      <alignment vertical="center" wrapText="1"/>
    </xf>
    <xf numFmtId="0" fontId="30" fillId="4" borderId="15" xfId="15" applyFont="1" applyFill="1" applyBorder="1" applyAlignment="1">
      <alignment horizontal="center" vertical="center" wrapText="1"/>
    </xf>
    <xf numFmtId="0" fontId="30" fillId="0" borderId="15" xfId="15" applyFont="1" applyBorder="1" applyAlignment="1">
      <alignment horizontal="center" vertical="center" wrapText="1"/>
    </xf>
    <xf numFmtId="0" fontId="31" fillId="3" borderId="0" xfId="15" applyFont="1" applyFill="1" applyAlignment="1">
      <alignment horizontal="center" vertical="center" wrapText="1"/>
    </xf>
    <xf numFmtId="0" fontId="32" fillId="0" borderId="0" xfId="2" applyFont="1"/>
    <xf numFmtId="0" fontId="31" fillId="5" borderId="16" xfId="15" applyFont="1" applyFill="1" applyBorder="1" applyAlignment="1">
      <alignment horizontal="center" vertical="center" wrapText="1"/>
    </xf>
    <xf numFmtId="0" fontId="33" fillId="0" borderId="0" xfId="15" applyFont="1"/>
    <xf numFmtId="0" fontId="34" fillId="4" borderId="17" xfId="15" applyFont="1" applyFill="1" applyBorder="1" applyAlignment="1">
      <alignment horizontal="left"/>
    </xf>
    <xf numFmtId="17" fontId="34" fillId="0" borderId="17" xfId="15" quotePrefix="1" applyNumberFormat="1" applyFont="1" applyBorder="1" applyAlignment="1">
      <alignment horizontal="center"/>
    </xf>
    <xf numFmtId="4" fontId="34" fillId="4" borderId="17" xfId="16" applyNumberFormat="1" applyFont="1" applyFill="1" applyBorder="1" applyAlignment="1" applyProtection="1">
      <alignment horizontal="center"/>
    </xf>
    <xf numFmtId="3" fontId="34" fillId="0" borderId="17" xfId="16" applyNumberFormat="1" applyFont="1" applyFill="1" applyBorder="1" applyAlignment="1" applyProtection="1">
      <alignment horizontal="center"/>
    </xf>
    <xf numFmtId="9" fontId="34" fillId="0" borderId="17" xfId="17" applyFont="1" applyFill="1" applyBorder="1" applyAlignment="1" applyProtection="1">
      <alignment horizontal="center"/>
    </xf>
    <xf numFmtId="9" fontId="34" fillId="0" borderId="17" xfId="18" applyFont="1" applyFill="1" applyBorder="1" applyAlignment="1" applyProtection="1">
      <alignment horizontal="center"/>
    </xf>
    <xf numFmtId="3" fontId="34" fillId="4" borderId="17" xfId="16" applyNumberFormat="1" applyFont="1" applyFill="1" applyBorder="1" applyAlignment="1" applyProtection="1">
      <alignment horizontal="center"/>
    </xf>
    <xf numFmtId="10" fontId="34" fillId="0" borderId="17" xfId="18" applyNumberFormat="1" applyFont="1" applyFill="1" applyBorder="1" applyAlignment="1" applyProtection="1">
      <alignment horizontal="center"/>
    </xf>
    <xf numFmtId="0" fontId="34" fillId="0" borderId="17" xfId="15" applyFont="1" applyBorder="1" applyAlignment="1">
      <alignment horizontal="center"/>
    </xf>
    <xf numFmtId="9" fontId="34" fillId="4" borderId="17" xfId="17" applyFont="1" applyFill="1" applyBorder="1" applyAlignment="1" applyProtection="1">
      <alignment horizontal="center"/>
    </xf>
    <xf numFmtId="0" fontId="35" fillId="0" borderId="0" xfId="15" applyFont="1"/>
    <xf numFmtId="3" fontId="36" fillId="5" borderId="18" xfId="16" applyNumberFormat="1" applyFont="1" applyFill="1" applyBorder="1" applyAlignment="1" applyProtection="1">
      <alignment horizontal="center" wrapText="1"/>
    </xf>
    <xf numFmtId="3" fontId="36" fillId="5" borderId="18" xfId="16" applyNumberFormat="1" applyFont="1" applyFill="1" applyBorder="1" applyAlignment="1" applyProtection="1">
      <alignment horizontal="center"/>
    </xf>
    <xf numFmtId="9" fontId="35" fillId="0" borderId="0" xfId="15" applyNumberFormat="1" applyFont="1"/>
    <xf numFmtId="173" fontId="35" fillId="0" borderId="0" xfId="15" applyNumberFormat="1" applyFont="1"/>
    <xf numFmtId="0" fontId="37" fillId="0" borderId="0" xfId="15" applyFont="1"/>
    <xf numFmtId="17" fontId="34" fillId="4" borderId="17" xfId="15" quotePrefix="1" applyNumberFormat="1" applyFont="1" applyFill="1" applyBorder="1" applyAlignment="1">
      <alignment horizontal="center"/>
    </xf>
    <xf numFmtId="9" fontId="36" fillId="3" borderId="0" xfId="17" applyFont="1" applyFill="1" applyBorder="1" applyAlignment="1" applyProtection="1">
      <alignment horizontal="center"/>
    </xf>
    <xf numFmtId="0" fontId="34" fillId="0" borderId="17" xfId="15" applyFont="1" applyBorder="1" applyAlignment="1">
      <alignment horizontal="left"/>
    </xf>
    <xf numFmtId="9" fontId="34" fillId="4" borderId="17" xfId="18" applyFont="1" applyFill="1" applyBorder="1" applyAlignment="1" applyProtection="1">
      <alignment horizontal="center"/>
    </xf>
    <xf numFmtId="0" fontId="33" fillId="0" borderId="0" xfId="15" applyFont="1" applyAlignment="1">
      <alignment vertical="center"/>
    </xf>
    <xf numFmtId="0" fontId="34" fillId="4" borderId="17" xfId="15" applyFont="1" applyFill="1" applyBorder="1" applyAlignment="1">
      <alignment horizontal="left" vertical="center"/>
    </xf>
    <xf numFmtId="17" fontId="34" fillId="4" borderId="17" xfId="15" quotePrefix="1" applyNumberFormat="1" applyFont="1" applyFill="1" applyBorder="1" applyAlignment="1">
      <alignment horizontal="center" vertical="center"/>
    </xf>
    <xf numFmtId="4" fontId="34" fillId="4" borderId="17" xfId="16" applyNumberFormat="1" applyFont="1" applyFill="1" applyBorder="1" applyAlignment="1" applyProtection="1">
      <alignment horizontal="center" vertical="center"/>
    </xf>
    <xf numFmtId="3" fontId="34" fillId="0" borderId="17" xfId="16" applyNumberFormat="1" applyFont="1" applyFill="1" applyBorder="1" applyAlignment="1" applyProtection="1">
      <alignment horizontal="center" vertical="center"/>
    </xf>
    <xf numFmtId="9" fontId="34" fillId="0" borderId="17" xfId="17" applyFont="1" applyFill="1" applyBorder="1" applyAlignment="1" applyProtection="1">
      <alignment horizontal="center" vertical="center"/>
    </xf>
    <xf numFmtId="9" fontId="34" fillId="0" borderId="17" xfId="18" applyFont="1" applyFill="1" applyBorder="1" applyAlignment="1" applyProtection="1">
      <alignment horizontal="center" vertical="center"/>
    </xf>
    <xf numFmtId="3" fontId="34" fillId="4" borderId="17" xfId="16" applyNumberFormat="1" applyFont="1" applyFill="1" applyBorder="1" applyAlignment="1" applyProtection="1">
      <alignment horizontal="center" vertical="center"/>
    </xf>
    <xf numFmtId="10" fontId="34" fillId="0" borderId="17" xfId="18" applyNumberFormat="1" applyFont="1" applyFill="1" applyBorder="1" applyAlignment="1" applyProtection="1">
      <alignment horizontal="center" vertical="center"/>
    </xf>
    <xf numFmtId="0" fontId="34" fillId="0" borderId="17" xfId="15" applyFont="1" applyBorder="1" applyAlignment="1">
      <alignment horizontal="center" vertical="center"/>
    </xf>
    <xf numFmtId="9" fontId="34" fillId="4" borderId="17" xfId="17" applyFont="1" applyFill="1" applyBorder="1" applyAlignment="1" applyProtection="1">
      <alignment horizontal="center" vertical="center"/>
    </xf>
    <xf numFmtId="9" fontId="34" fillId="4" borderId="17" xfId="18" applyFont="1" applyFill="1" applyBorder="1" applyAlignment="1" applyProtection="1">
      <alignment horizontal="center" vertical="center"/>
    </xf>
    <xf numFmtId="9" fontId="36" fillId="3" borderId="0" xfId="17" applyFont="1" applyFill="1" applyBorder="1" applyAlignment="1" applyProtection="1">
      <alignment horizontal="center" vertical="center"/>
    </xf>
    <xf numFmtId="3" fontId="36" fillId="5" borderId="18" xfId="16" applyNumberFormat="1" applyFont="1" applyFill="1" applyBorder="1" applyAlignment="1" applyProtection="1">
      <alignment horizontal="center" vertical="center" wrapText="1"/>
    </xf>
    <xf numFmtId="3" fontId="36" fillId="5" borderId="18" xfId="16" applyNumberFormat="1" applyFont="1" applyFill="1" applyBorder="1" applyAlignment="1" applyProtection="1">
      <alignment horizontal="center" vertical="center"/>
    </xf>
    <xf numFmtId="9" fontId="35" fillId="0" borderId="0" xfId="15" applyNumberFormat="1" applyFont="1" applyAlignment="1">
      <alignment vertical="center"/>
    </xf>
    <xf numFmtId="0" fontId="35" fillId="0" borderId="0" xfId="15" applyFont="1" applyAlignment="1">
      <alignment vertical="center"/>
    </xf>
    <xf numFmtId="173" fontId="35" fillId="0" borderId="0" xfId="15" applyNumberFormat="1" applyFont="1" applyAlignment="1">
      <alignment vertical="center"/>
    </xf>
    <xf numFmtId="0" fontId="37" fillId="0" borderId="0" xfId="15" applyFont="1" applyAlignment="1">
      <alignment vertical="center"/>
    </xf>
    <xf numFmtId="10" fontId="34" fillId="4" borderId="17" xfId="18" applyNumberFormat="1" applyFont="1" applyFill="1" applyBorder="1" applyAlignment="1" applyProtection="1">
      <alignment horizontal="center" vertical="center"/>
    </xf>
    <xf numFmtId="0" fontId="34" fillId="4" borderId="17" xfId="15" applyFont="1" applyFill="1" applyBorder="1" applyAlignment="1">
      <alignment horizontal="center" vertical="center"/>
    </xf>
    <xf numFmtId="0" fontId="36" fillId="3" borderId="0" xfId="15" applyFont="1" applyFill="1" applyAlignment="1">
      <alignment horizontal="center" vertical="center"/>
    </xf>
    <xf numFmtId="0" fontId="34" fillId="4" borderId="0" xfId="15" applyFont="1" applyFill="1" applyAlignment="1">
      <alignment horizontal="left" vertical="center"/>
    </xf>
    <xf numFmtId="0" fontId="38" fillId="0" borderId="0" xfId="19" applyFont="1" applyAlignment="1">
      <alignment horizontal="left" vertical="center"/>
    </xf>
    <xf numFmtId="17" fontId="34" fillId="4" borderId="0" xfId="15" quotePrefix="1" applyNumberFormat="1" applyFont="1" applyFill="1" applyAlignment="1">
      <alignment horizontal="center" vertical="center"/>
    </xf>
    <xf numFmtId="4" fontId="34" fillId="4" borderId="0" xfId="16" applyNumberFormat="1" applyFont="1" applyFill="1" applyBorder="1" applyAlignment="1" applyProtection="1">
      <alignment horizontal="center" vertical="center"/>
    </xf>
    <xf numFmtId="3" fontId="34" fillId="0" borderId="0" xfId="16" applyNumberFormat="1" applyFont="1" applyFill="1" applyBorder="1" applyAlignment="1" applyProtection="1">
      <alignment horizontal="center" vertical="center"/>
    </xf>
    <xf numFmtId="9" fontId="34" fillId="0" borderId="0" xfId="17" applyFont="1" applyFill="1" applyBorder="1" applyAlignment="1" applyProtection="1">
      <alignment horizontal="center" vertical="center"/>
    </xf>
    <xf numFmtId="9" fontId="34" fillId="0" borderId="0" xfId="18" applyFont="1" applyFill="1" applyBorder="1" applyAlignment="1" applyProtection="1">
      <alignment horizontal="center" vertical="center"/>
    </xf>
    <xf numFmtId="3" fontId="34" fillId="4" borderId="0" xfId="16" applyNumberFormat="1" applyFont="1" applyFill="1" applyBorder="1" applyAlignment="1" applyProtection="1">
      <alignment horizontal="center" vertical="center"/>
    </xf>
    <xf numFmtId="9" fontId="34" fillId="4" borderId="0" xfId="18" applyFont="1" applyFill="1" applyBorder="1" applyAlignment="1" applyProtection="1">
      <alignment horizontal="center" vertical="center"/>
    </xf>
    <xf numFmtId="10" fontId="34" fillId="4" borderId="0" xfId="18" applyNumberFormat="1" applyFont="1" applyFill="1" applyBorder="1" applyAlignment="1" applyProtection="1">
      <alignment horizontal="center" vertical="center"/>
    </xf>
    <xf numFmtId="0" fontId="34" fillId="4" borderId="0" xfId="15" applyFont="1" applyFill="1" applyAlignment="1">
      <alignment horizontal="center" vertical="center"/>
    </xf>
    <xf numFmtId="0" fontId="39" fillId="0" borderId="0" xfId="15" applyFont="1" applyAlignment="1">
      <alignment vertical="center"/>
    </xf>
    <xf numFmtId="9" fontId="40" fillId="0" borderId="0" xfId="15" applyNumberFormat="1" applyFont="1" applyAlignment="1">
      <alignment horizontal="center" vertical="center" wrapText="1"/>
    </xf>
    <xf numFmtId="9" fontId="36" fillId="3" borderId="0" xfId="18" applyFont="1" applyFill="1" applyBorder="1" applyAlignment="1" applyProtection="1">
      <alignment horizontal="center" vertical="center"/>
    </xf>
    <xf numFmtId="0" fontId="34" fillId="0" borderId="0" xfId="15" applyFont="1" applyAlignment="1">
      <alignment vertical="center"/>
    </xf>
    <xf numFmtId="9" fontId="36" fillId="3" borderId="0" xfId="15" applyNumberFormat="1" applyFont="1" applyFill="1" applyAlignment="1">
      <alignment horizontal="center" vertical="center"/>
    </xf>
    <xf numFmtId="0" fontId="28" fillId="0" borderId="0" xfId="15" applyFont="1" applyAlignment="1">
      <alignment horizontal="right" vertical="center"/>
    </xf>
    <xf numFmtId="0" fontId="40" fillId="0" borderId="0" xfId="15" applyFont="1" applyAlignment="1">
      <alignment horizontal="center" vertical="center" wrapText="1"/>
    </xf>
    <xf numFmtId="0" fontId="41" fillId="0" borderId="0" xfId="19" applyFont="1" applyAlignment="1">
      <alignment horizontal="left" vertical="center"/>
    </xf>
    <xf numFmtId="3" fontId="1" fillId="0" borderId="0" xfId="15" applyNumberFormat="1" applyAlignment="1">
      <alignment vertical="center"/>
    </xf>
    <xf numFmtId="174" fontId="41" fillId="0" borderId="0" xfId="20" applyNumberFormat="1" applyFont="1" applyAlignment="1">
      <alignment vertical="center"/>
    </xf>
    <xf numFmtId="0" fontId="42" fillId="3" borderId="16" xfId="15" applyFont="1" applyFill="1" applyBorder="1" applyAlignment="1">
      <alignment horizontal="left" vertical="center"/>
    </xf>
    <xf numFmtId="0" fontId="42" fillId="3" borderId="16" xfId="15" applyFont="1" applyFill="1" applyBorder="1" applyAlignment="1">
      <alignment horizontal="center" vertical="center" wrapText="1"/>
    </xf>
    <xf numFmtId="0" fontId="37" fillId="0" borderId="0" xfId="15" applyFont="1" applyAlignment="1">
      <alignment horizontal="center" vertical="center"/>
    </xf>
    <xf numFmtId="0" fontId="43" fillId="3" borderId="18" xfId="15" applyFont="1" applyFill="1" applyBorder="1" applyAlignment="1">
      <alignment horizontal="left" vertical="center"/>
    </xf>
    <xf numFmtId="3" fontId="43" fillId="3" borderId="18" xfId="16" applyNumberFormat="1" applyFont="1" applyFill="1" applyBorder="1" applyAlignment="1" applyProtection="1">
      <alignment horizontal="center" vertical="center"/>
    </xf>
    <xf numFmtId="0" fontId="43" fillId="3" borderId="18" xfId="15" applyFont="1" applyFill="1" applyBorder="1" applyAlignment="1">
      <alignment horizontal="center" vertical="center"/>
    </xf>
    <xf numFmtId="173" fontId="37" fillId="0" borderId="0" xfId="21" applyFont="1" applyAlignment="1">
      <alignment vertical="center"/>
    </xf>
    <xf numFmtId="0" fontId="44" fillId="3" borderId="16" xfId="15" applyFont="1" applyFill="1" applyBorder="1" applyAlignment="1">
      <alignment horizontal="left" vertical="center"/>
    </xf>
    <xf numFmtId="9" fontId="43" fillId="3" borderId="18" xfId="18" applyFont="1" applyFill="1" applyBorder="1" applyAlignment="1" applyProtection="1">
      <alignment horizontal="center" vertical="center"/>
    </xf>
    <xf numFmtId="167" fontId="43" fillId="3" borderId="18" xfId="3" applyNumberFormat="1" applyFont="1" applyFill="1" applyBorder="1" applyAlignment="1" applyProtection="1">
      <alignment horizontal="center" vertical="center"/>
    </xf>
    <xf numFmtId="0" fontId="45" fillId="3" borderId="0" xfId="15" applyFont="1" applyFill="1" applyAlignment="1">
      <alignment horizontal="left" vertical="center"/>
    </xf>
    <xf numFmtId="3" fontId="45" fillId="3" borderId="0" xfId="16" applyNumberFormat="1" applyFont="1" applyFill="1" applyBorder="1" applyAlignment="1" applyProtection="1">
      <alignment horizontal="center" vertical="center"/>
    </xf>
    <xf numFmtId="0" fontId="45" fillId="3" borderId="0" xfId="15" applyFont="1" applyFill="1" applyAlignment="1">
      <alignment horizontal="center" vertical="center"/>
    </xf>
    <xf numFmtId="0" fontId="45" fillId="0" borderId="0" xfId="15" applyFont="1" applyAlignment="1">
      <alignment horizontal="left" vertical="center"/>
    </xf>
    <xf numFmtId="3" fontId="45" fillId="0" borderId="0" xfId="16" applyNumberFormat="1" applyFont="1" applyFill="1" applyBorder="1" applyAlignment="1" applyProtection="1">
      <alignment horizontal="center" vertical="center"/>
    </xf>
    <xf numFmtId="0" fontId="45" fillId="0" borderId="0" xfId="15" applyFont="1" applyAlignment="1">
      <alignment horizontal="center" vertical="center"/>
    </xf>
    <xf numFmtId="0" fontId="42" fillId="3" borderId="0" xfId="15" applyFont="1" applyFill="1" applyAlignment="1">
      <alignment horizontal="left" vertical="center" wrapText="1"/>
    </xf>
    <xf numFmtId="0" fontId="42" fillId="3" borderId="0" xfId="15" applyFont="1" applyFill="1" applyAlignment="1">
      <alignment horizontal="center" vertical="center" wrapText="1"/>
    </xf>
    <xf numFmtId="0" fontId="42" fillId="3" borderId="19" xfId="15" applyFont="1" applyFill="1" applyBorder="1" applyAlignment="1">
      <alignment horizontal="left" vertical="center" wrapText="1"/>
    </xf>
    <xf numFmtId="0" fontId="42" fillId="3" borderId="19" xfId="15" applyFont="1" applyFill="1" applyBorder="1" applyAlignment="1">
      <alignment horizontal="center" vertical="center" wrapText="1"/>
    </xf>
    <xf numFmtId="0" fontId="45" fillId="3" borderId="18" xfId="15" applyFont="1" applyFill="1" applyBorder="1" applyAlignment="1">
      <alignment horizontal="left" vertical="center"/>
    </xf>
    <xf numFmtId="3" fontId="45" fillId="3" borderId="18" xfId="15" applyNumberFormat="1" applyFont="1" applyFill="1" applyBorder="1" applyAlignment="1">
      <alignment horizontal="right" vertical="center"/>
    </xf>
    <xf numFmtId="3" fontId="45" fillId="3" borderId="18" xfId="16" applyNumberFormat="1" applyFont="1" applyFill="1" applyBorder="1" applyAlignment="1" applyProtection="1">
      <alignment horizontal="right" vertical="center"/>
    </xf>
    <xf numFmtId="175" fontId="45" fillId="3" borderId="18" xfId="16" applyNumberFormat="1" applyFont="1" applyFill="1" applyBorder="1" applyAlignment="1" applyProtection="1">
      <alignment horizontal="right" vertical="center"/>
    </xf>
    <xf numFmtId="176" fontId="45" fillId="3" borderId="18" xfId="16" applyNumberFormat="1" applyFont="1" applyFill="1" applyBorder="1" applyAlignment="1" applyProtection="1">
      <alignment horizontal="right" vertical="center"/>
    </xf>
    <xf numFmtId="0" fontId="6" fillId="0" borderId="0" xfId="19" applyFont="1" applyAlignment="1">
      <alignment vertical="center"/>
    </xf>
    <xf numFmtId="9" fontId="1" fillId="0" borderId="0" xfId="15" applyNumberFormat="1" applyAlignment="1">
      <alignment vertical="center"/>
    </xf>
    <xf numFmtId="9" fontId="34" fillId="4" borderId="0" xfId="17" applyFont="1" applyFill="1" applyBorder="1" applyAlignment="1" applyProtection="1">
      <alignment horizontal="center" vertical="center"/>
    </xf>
    <xf numFmtId="0" fontId="46" fillId="0" borderId="0" xfId="15" applyFont="1" applyAlignment="1">
      <alignment vertical="center"/>
    </xf>
    <xf numFmtId="0" fontId="47" fillId="0" borderId="0" xfId="19" applyFont="1" applyAlignment="1">
      <alignment vertical="center"/>
    </xf>
    <xf numFmtId="3" fontId="48" fillId="3" borderId="18" xfId="15" applyNumberFormat="1" applyFont="1" applyFill="1" applyBorder="1" applyAlignment="1">
      <alignment horizontal="right" vertical="center"/>
    </xf>
    <xf numFmtId="0" fontId="49" fillId="3" borderId="19" xfId="15" applyFont="1" applyFill="1" applyBorder="1" applyAlignment="1">
      <alignment vertical="center" wrapText="1"/>
    </xf>
    <xf numFmtId="0" fontId="42" fillId="3" borderId="19" xfId="15" applyFont="1" applyFill="1" applyBorder="1" applyAlignment="1">
      <alignment horizontal="center" vertical="center" wrapText="1"/>
    </xf>
    <xf numFmtId="4" fontId="45" fillId="3" borderId="18" xfId="16" applyNumberFormat="1" applyFont="1" applyFill="1" applyBorder="1" applyAlignment="1" applyProtection="1">
      <alignment horizontal="right" vertical="center"/>
    </xf>
    <xf numFmtId="3" fontId="45" fillId="3" borderId="18" xfId="16" applyNumberFormat="1" applyFont="1" applyFill="1" applyBorder="1" applyAlignment="1" applyProtection="1">
      <alignment horizontal="center" vertical="center"/>
    </xf>
    <xf numFmtId="2" fontId="41" fillId="0" borderId="0" xfId="20" applyNumberFormat="1" applyFont="1" applyAlignment="1">
      <alignment horizontal="right" vertical="center"/>
    </xf>
    <xf numFmtId="10" fontId="1" fillId="0" borderId="0" xfId="17" applyNumberFormat="1" applyFont="1" applyAlignment="1">
      <alignment vertical="center"/>
    </xf>
    <xf numFmtId="0" fontId="46" fillId="3" borderId="0" xfId="15" applyFont="1" applyFill="1" applyAlignment="1">
      <alignment horizontal="justify" vertical="center" wrapText="1"/>
    </xf>
  </cellXfs>
  <cellStyles count="22">
    <cellStyle name="Comma" xfId="1" builtinId="3"/>
    <cellStyle name="Comma 4" xfId="14" xr:uid="{00000000-0005-0000-0000-000000000000}"/>
    <cellStyle name="Millares 2" xfId="6" xr:uid="{00000000-0005-0000-0000-000003000000}"/>
    <cellStyle name="Millares 2 2 11" xfId="21" xr:uid="{DFBF8972-6BA5-4341-8847-633E294AB5F6}"/>
    <cellStyle name="Millares 3" xfId="7" xr:uid="{00000000-0005-0000-0000-000004000000}"/>
    <cellStyle name="Millares 4" xfId="12" xr:uid="{00000000-0005-0000-0000-000005000000}"/>
    <cellStyle name="Millares 4 2" xfId="16" xr:uid="{60C80F07-E7CF-4E7D-936A-A0AD22992A3A}"/>
    <cellStyle name="Moneda 2" xfId="9" xr:uid="{00000000-0005-0000-0000-000006000000}"/>
    <cellStyle name="Normal" xfId="0" builtinId="0"/>
    <cellStyle name="Normal 10" xfId="19" xr:uid="{1954B39A-899A-43F1-88CA-31C8D3894A5F}"/>
    <cellStyle name="Normal 2" xfId="2" xr:uid="{00000000-0005-0000-0000-000008000000}"/>
    <cellStyle name="Normal 2 2" xfId="20" xr:uid="{4F3B5706-A064-4899-86BD-F2F32D8318C7}"/>
    <cellStyle name="Normal 3" xfId="5" xr:uid="{00000000-0005-0000-0000-000009000000}"/>
    <cellStyle name="Normal 4" xfId="4" xr:uid="{00000000-0005-0000-0000-00000A000000}"/>
    <cellStyle name="Normal 5" xfId="11" xr:uid="{00000000-0005-0000-0000-00000B000000}"/>
    <cellStyle name="Normal 5 2" xfId="15" xr:uid="{FF63A875-F127-4918-8D82-3AF6562DE8DA}"/>
    <cellStyle name="Percent" xfId="3" builtinId="5"/>
    <cellStyle name="Porcentaje 11" xfId="17" xr:uid="{2F2DBB7F-7624-45EE-830E-2287E50EC38C}"/>
    <cellStyle name="Porcentaje 2" xfId="8" xr:uid="{00000000-0005-0000-0000-00000D000000}"/>
    <cellStyle name="Porcentaje 3" xfId="10" xr:uid="{00000000-0005-0000-0000-00000E000000}"/>
    <cellStyle name="Porcentaje 4" xfId="13" xr:uid="{00000000-0005-0000-0000-00000F000000}"/>
    <cellStyle name="Porcentual 2" xfId="18" xr:uid="{1CC0E05D-12C7-44D2-88C9-A92F429C76CA}"/>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304800</xdr:colOff>
      <xdr:row>1</xdr:row>
      <xdr:rowOff>120650</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30D504D9-ABBF-416D-98E7-F733BB622C8A}"/>
            </a:ext>
          </a:extLst>
        </xdr:cNvPr>
        <xdr:cNvSpPr>
          <a:spLocks noChangeAspect="1" noChangeArrowheads="1"/>
        </xdr:cNvSpPr>
      </xdr:nvSpPr>
      <xdr:spPr bwMode="auto">
        <a:xfrm>
          <a:off x="5861050" y="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120650</xdr:rowOff>
    </xdr:to>
    <xdr:sp macro="" textlink="">
      <xdr:nvSpPr>
        <xdr:cNvPr id="3"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B3D51272-5623-4D9C-96CA-813F3A798494}"/>
            </a:ext>
          </a:extLst>
        </xdr:cNvPr>
        <xdr:cNvSpPr>
          <a:spLocks noChangeAspect="1" noChangeArrowheads="1"/>
        </xdr:cNvSpPr>
      </xdr:nvSpPr>
      <xdr:spPr bwMode="auto">
        <a:xfrm>
          <a:off x="5861050" y="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74</xdr:row>
      <xdr:rowOff>0</xdr:rowOff>
    </xdr:from>
    <xdr:to>
      <xdr:col>13</xdr:col>
      <xdr:colOff>304800</xdr:colOff>
      <xdr:row>75</xdr:row>
      <xdr:rowOff>76069</xdr:rowOff>
    </xdr:to>
    <xdr:sp macro="" textlink="">
      <xdr:nvSpPr>
        <xdr:cNvPr id="4"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D4386B3B-3E98-4859-9667-BA74A97AAACA}"/>
            </a:ext>
          </a:extLst>
        </xdr:cNvPr>
        <xdr:cNvSpPr>
          <a:spLocks noChangeAspect="1" noChangeArrowheads="1"/>
        </xdr:cNvSpPr>
      </xdr:nvSpPr>
      <xdr:spPr bwMode="auto">
        <a:xfrm>
          <a:off x="5861050" y="12160250"/>
          <a:ext cx="304800" cy="3046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lbellott_bim-bfm_com/Documents/BIM/01%20Locfund%20Next/05%20Quarterly%20Report/02%20Marzo%2021/LOCFUND%20NEXT%20QUARTERLY-%20March%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LOCFUND EEFF Summary"/>
      <sheetName val="Country Analysis"/>
      <sheetName val="Tablas"/>
      <sheetName val="IMF"/>
      <sheetName val="Datos sociales"/>
      <sheetName val="Desembolsos"/>
      <sheetName val="Graficos"/>
      <sheetName val="Tabl ppt"/>
    </sheetNames>
    <sheetDataSet>
      <sheetData sheetId="0"/>
      <sheetData sheetId="1">
        <row r="6">
          <cell r="B6">
            <v>27586036.410000004</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P162"/>
  <sheetViews>
    <sheetView showGridLines="0" zoomScale="115" zoomScaleNormal="115" workbookViewId="0">
      <pane xSplit="1" ySplit="3" topLeftCell="B4" activePane="bottomRight" state="frozen"/>
      <selection pane="topRight" activeCell="B1" sqref="B1"/>
      <selection pane="bottomLeft" activeCell="A4" sqref="A4"/>
      <selection pane="bottomRight" activeCell="F18" sqref="F18"/>
    </sheetView>
  </sheetViews>
  <sheetFormatPr defaultColWidth="11.453125" defaultRowHeight="14" x14ac:dyDescent="0.3"/>
  <cols>
    <col min="1" max="1" width="39.81640625" style="1" customWidth="1"/>
    <col min="2" max="6" width="18" style="1" customWidth="1"/>
    <col min="7" max="7" width="16.26953125" style="48" customWidth="1"/>
    <col min="8" max="8" width="15.26953125" style="3" bestFit="1" customWidth="1"/>
    <col min="9" max="9" width="17.54296875" style="3" bestFit="1" customWidth="1"/>
    <col min="10" max="10" width="14.26953125" style="3" customWidth="1"/>
    <col min="11" max="11" width="11.453125" style="3"/>
    <col min="12" max="12" width="12.453125" style="3" bestFit="1" customWidth="1"/>
    <col min="13" max="16384" width="11.453125" style="3"/>
  </cols>
  <sheetData>
    <row r="1" spans="1:9" ht="15.5" x14ac:dyDescent="0.35">
      <c r="A1" s="27" t="s">
        <v>87</v>
      </c>
    </row>
    <row r="3" spans="1:9" ht="28" x14ac:dyDescent="0.3">
      <c r="A3" s="73" t="s">
        <v>86</v>
      </c>
      <c r="B3" s="2" t="s">
        <v>69</v>
      </c>
      <c r="C3" s="2" t="s">
        <v>73</v>
      </c>
      <c r="D3" s="2" t="s">
        <v>74</v>
      </c>
      <c r="E3" s="2" t="s">
        <v>0</v>
      </c>
      <c r="F3" s="2" t="s">
        <v>1</v>
      </c>
      <c r="G3" s="82" t="s">
        <v>25</v>
      </c>
    </row>
    <row r="4" spans="1:9" x14ac:dyDescent="0.3">
      <c r="A4" s="3"/>
      <c r="B4" s="3"/>
      <c r="G4" s="36"/>
    </row>
    <row r="5" spans="1:9" x14ac:dyDescent="0.3">
      <c r="A5" s="25" t="s">
        <v>2</v>
      </c>
      <c r="B5" s="7"/>
      <c r="C5" s="7"/>
      <c r="D5" s="7"/>
      <c r="E5" s="7"/>
      <c r="F5" s="7"/>
      <c r="G5" s="20"/>
    </row>
    <row r="6" spans="1:9" x14ac:dyDescent="0.3">
      <c r="A6" s="50"/>
      <c r="B6" s="8"/>
      <c r="C6" s="8"/>
      <c r="D6" s="8"/>
      <c r="E6" s="8"/>
      <c r="F6" s="8"/>
      <c r="G6" s="18"/>
    </row>
    <row r="7" spans="1:9" x14ac:dyDescent="0.3">
      <c r="A7" s="50" t="s">
        <v>9</v>
      </c>
      <c r="B7" s="28">
        <f>+B8+B9</f>
        <v>3881809.77</v>
      </c>
      <c r="C7" s="28">
        <f>+C8+C9</f>
        <v>3882001.17</v>
      </c>
      <c r="D7" s="28">
        <f>+D8+D9</f>
        <v>7554828.6399999997</v>
      </c>
      <c r="E7" s="28">
        <f>+E8+E9</f>
        <v>7444553.2799999993</v>
      </c>
      <c r="F7" s="28">
        <f>+F8+F9</f>
        <v>12078834.65</v>
      </c>
      <c r="G7" s="18">
        <f>F7/$F$37</f>
        <v>0.4934778135384339</v>
      </c>
    </row>
    <row r="8" spans="1:9" s="21" customFormat="1" ht="13" x14ac:dyDescent="0.3">
      <c r="A8" s="72" t="s">
        <v>21</v>
      </c>
      <c r="B8" s="112">
        <v>3881809.77</v>
      </c>
      <c r="C8" s="112">
        <v>3882001.17</v>
      </c>
      <c r="D8" s="112">
        <v>5954828.6399999997</v>
      </c>
      <c r="E8" s="112">
        <v>5839818.5899999999</v>
      </c>
      <c r="F8" s="112">
        <v>10469193.17</v>
      </c>
      <c r="G8" s="113">
        <f>+F8/$F$37</f>
        <v>0.42771630747036554</v>
      </c>
      <c r="H8" s="150"/>
    </row>
    <row r="9" spans="1:9" s="21" customFormat="1" x14ac:dyDescent="0.3">
      <c r="A9" s="72" t="s">
        <v>105</v>
      </c>
      <c r="B9" s="112">
        <v>0</v>
      </c>
      <c r="C9" s="112">
        <v>0</v>
      </c>
      <c r="D9" s="112">
        <v>1600000</v>
      </c>
      <c r="E9" s="112">
        <f>1628058.31-23323.62</f>
        <v>1604734.69</v>
      </c>
      <c r="F9" s="112">
        <f>1632965.1-23323.62</f>
        <v>1609641.48</v>
      </c>
      <c r="G9" s="113">
        <f>+F9/$F$37</f>
        <v>6.5761506068068312E-2</v>
      </c>
      <c r="H9" s="148"/>
      <c r="I9" s="76"/>
    </row>
    <row r="10" spans="1:9" x14ac:dyDescent="0.3">
      <c r="A10" s="50" t="s">
        <v>103</v>
      </c>
      <c r="B10" s="28">
        <f t="shared" ref="B10:C10" si="0">+B11</f>
        <v>0</v>
      </c>
      <c r="C10" s="28">
        <f t="shared" si="0"/>
        <v>0</v>
      </c>
      <c r="D10" s="28">
        <f>+D11</f>
        <v>4162612.5</v>
      </c>
      <c r="E10" s="28">
        <f>+E11</f>
        <v>4198487.5</v>
      </c>
      <c r="F10" s="28">
        <f>+F11</f>
        <v>12398121.189999999</v>
      </c>
      <c r="G10" s="18">
        <f>+F10/F37</f>
        <v>0.5065221864615661</v>
      </c>
      <c r="H10" s="76"/>
      <c r="I10" s="38"/>
    </row>
    <row r="11" spans="1:9" s="38" customFormat="1" ht="13" x14ac:dyDescent="0.3">
      <c r="A11" s="72" t="s">
        <v>100</v>
      </c>
      <c r="B11" s="112">
        <f t="shared" ref="B11:C11" si="1">+B12+B16</f>
        <v>0</v>
      </c>
      <c r="C11" s="112">
        <f t="shared" si="1"/>
        <v>0</v>
      </c>
      <c r="D11" s="112">
        <f>+D12+D16</f>
        <v>4162612.5</v>
      </c>
      <c r="E11" s="112">
        <f>+E12+E16</f>
        <v>4198487.5</v>
      </c>
      <c r="F11" s="112">
        <f>+F12+F16+F20+F24+F28+F32</f>
        <v>12398121.189999999</v>
      </c>
      <c r="G11" s="113">
        <f>+F11/F37</f>
        <v>0.5065221864615661</v>
      </c>
      <c r="H11" s="148"/>
    </row>
    <row r="12" spans="1:9" s="38" customFormat="1" ht="13" x14ac:dyDescent="0.3">
      <c r="A12" s="72" t="s">
        <v>65</v>
      </c>
      <c r="B12" s="112">
        <f t="shared" ref="B12:C12" si="2">SUM(B13:B15)</f>
        <v>0</v>
      </c>
      <c r="C12" s="112">
        <f t="shared" si="2"/>
        <v>0</v>
      </c>
      <c r="D12" s="112">
        <f>SUM(D13:D15)</f>
        <v>2974270.84</v>
      </c>
      <c r="E12" s="112">
        <f>SUM(E13:E15)</f>
        <v>2999895.84</v>
      </c>
      <c r="F12" s="112">
        <f>SUM(F13:F15)</f>
        <v>3026375</v>
      </c>
      <c r="G12" s="113">
        <f>+F12/F37</f>
        <v>0.12364180496066132</v>
      </c>
      <c r="H12" s="148"/>
      <c r="I12" s="148"/>
    </row>
    <row r="13" spans="1:9" s="38" customFormat="1" ht="13" x14ac:dyDescent="0.3">
      <c r="A13" s="72" t="s">
        <v>26</v>
      </c>
      <c r="B13" s="112">
        <v>0</v>
      </c>
      <c r="C13" s="112">
        <v>0</v>
      </c>
      <c r="D13" s="112">
        <v>3000000</v>
      </c>
      <c r="E13" s="112">
        <v>3000000</v>
      </c>
      <c r="F13" s="112">
        <v>3000000</v>
      </c>
      <c r="G13" s="113">
        <f>+F13/F37</f>
        <v>0.12256426083416098</v>
      </c>
      <c r="H13" s="148"/>
    </row>
    <row r="14" spans="1:9" s="38" customFormat="1" ht="13" x14ac:dyDescent="0.3">
      <c r="A14" s="72" t="s">
        <v>18</v>
      </c>
      <c r="B14" s="112">
        <v>0</v>
      </c>
      <c r="C14" s="112">
        <v>0</v>
      </c>
      <c r="D14" s="173">
        <v>4166.67</v>
      </c>
      <c r="E14" s="173">
        <v>29166.67</v>
      </c>
      <c r="F14" s="173">
        <v>55000</v>
      </c>
      <c r="G14" s="113">
        <f>+F14/F37</f>
        <v>2.2470114486262847E-3</v>
      </c>
      <c r="I14" s="44"/>
    </row>
    <row r="15" spans="1:9" s="38" customFormat="1" ht="13" x14ac:dyDescent="0.3">
      <c r="A15" s="72" t="s">
        <v>101</v>
      </c>
      <c r="B15" s="112">
        <v>0</v>
      </c>
      <c r="C15" s="112">
        <v>0</v>
      </c>
      <c r="D15" s="112">
        <v>-29895.83</v>
      </c>
      <c r="E15" s="112">
        <v>-29270.83</v>
      </c>
      <c r="F15" s="112">
        <v>-28625</v>
      </c>
      <c r="G15" s="113">
        <f>+F15/F37</f>
        <v>-1.1694673221259526E-3</v>
      </c>
      <c r="I15" s="46"/>
    </row>
    <row r="16" spans="1:9" s="38" customFormat="1" ht="13" x14ac:dyDescent="0.3">
      <c r="A16" s="72" t="s">
        <v>70</v>
      </c>
      <c r="B16" s="112">
        <f t="shared" ref="B16" si="3">SUM(B17:B19)</f>
        <v>0</v>
      </c>
      <c r="C16" s="112">
        <f t="shared" ref="C16" si="4">SUM(C17:C19)</f>
        <v>0</v>
      </c>
      <c r="D16" s="112">
        <f>SUM(D17:D19)</f>
        <v>1188341.6600000001</v>
      </c>
      <c r="E16" s="112">
        <f>SUM(E17:E19)</f>
        <v>1198591.6600000001</v>
      </c>
      <c r="F16" s="112">
        <f>SUM(F17:F19)</f>
        <v>1209183.3199999998</v>
      </c>
      <c r="G16" s="142">
        <f t="shared" ref="G16:G36" si="5">+F16/$F$37</f>
        <v>4.9400886609598911E-2</v>
      </c>
    </row>
    <row r="17" spans="1:9" s="38" customFormat="1" ht="13" x14ac:dyDescent="0.3">
      <c r="A17" s="72" t="s">
        <v>26</v>
      </c>
      <c r="B17" s="112">
        <v>0</v>
      </c>
      <c r="C17" s="112">
        <v>0</v>
      </c>
      <c r="D17" s="112">
        <v>1200000</v>
      </c>
      <c r="E17" s="112">
        <v>1200000</v>
      </c>
      <c r="F17" s="112">
        <v>1200000</v>
      </c>
      <c r="G17" s="113">
        <f t="shared" si="5"/>
        <v>4.9025704333664391E-2</v>
      </c>
      <c r="I17" s="148"/>
    </row>
    <row r="18" spans="1:9" s="38" customFormat="1" ht="13" x14ac:dyDescent="0.3">
      <c r="A18" s="72" t="s">
        <v>18</v>
      </c>
      <c r="B18" s="112">
        <v>0</v>
      </c>
      <c r="C18" s="112">
        <v>0</v>
      </c>
      <c r="D18" s="173">
        <v>333.33</v>
      </c>
      <c r="E18" s="173">
        <v>10333.33</v>
      </c>
      <c r="F18" s="173">
        <v>20666.66</v>
      </c>
      <c r="G18" s="142">
        <f t="shared" si="5"/>
        <v>8.4433130227030712E-4</v>
      </c>
    </row>
    <row r="19" spans="1:9" s="38" customFormat="1" ht="13" x14ac:dyDescent="0.3">
      <c r="A19" s="72" t="s">
        <v>101</v>
      </c>
      <c r="B19" s="112">
        <v>0</v>
      </c>
      <c r="C19" s="112">
        <v>0</v>
      </c>
      <c r="D19" s="112">
        <v>-11991.67</v>
      </c>
      <c r="E19" s="112">
        <v>-11741.67</v>
      </c>
      <c r="F19" s="112">
        <v>-11483.34</v>
      </c>
      <c r="G19" s="142">
        <f t="shared" si="5"/>
        <v>-4.6914902633578477E-4</v>
      </c>
    </row>
    <row r="20" spans="1:9" s="38" customFormat="1" ht="13" x14ac:dyDescent="0.3">
      <c r="A20" s="72" t="s">
        <v>111</v>
      </c>
      <c r="B20" s="112">
        <f t="shared" ref="B20:C20" si="6">SUM(B21:B23)</f>
        <v>0</v>
      </c>
      <c r="C20" s="112">
        <f t="shared" si="6"/>
        <v>0</v>
      </c>
      <c r="D20" s="112">
        <f>SUM(D21:D23)</f>
        <v>0</v>
      </c>
      <c r="E20" s="112">
        <f>SUM(E21:E23)</f>
        <v>0</v>
      </c>
      <c r="F20" s="112">
        <f>SUM(F21:F23)</f>
        <v>748245.55</v>
      </c>
      <c r="G20" s="142">
        <f t="shared" si="5"/>
        <v>3.0569387586066751E-2</v>
      </c>
    </row>
    <row r="21" spans="1:9" s="38" customFormat="1" ht="13" x14ac:dyDescent="0.3">
      <c r="A21" s="72" t="s">
        <v>26</v>
      </c>
      <c r="B21" s="112">
        <v>0</v>
      </c>
      <c r="C21" s="112">
        <v>0</v>
      </c>
      <c r="D21" s="112">
        <v>0</v>
      </c>
      <c r="E21" s="112">
        <v>0</v>
      </c>
      <c r="F21" s="112">
        <v>750000</v>
      </c>
      <c r="G21" s="113">
        <f t="shared" si="5"/>
        <v>3.0641065208540246E-2</v>
      </c>
    </row>
    <row r="22" spans="1:9" s="38" customFormat="1" ht="13" x14ac:dyDescent="0.3">
      <c r="A22" s="72" t="s">
        <v>18</v>
      </c>
      <c r="B22" s="112">
        <v>0</v>
      </c>
      <c r="C22" s="112">
        <v>0</v>
      </c>
      <c r="D22" s="112">
        <v>0</v>
      </c>
      <c r="E22" s="112">
        <v>0</v>
      </c>
      <c r="F22" s="173">
        <v>4125</v>
      </c>
      <c r="G22" s="142">
        <f t="shared" si="5"/>
        <v>1.6852585864697136E-4</v>
      </c>
    </row>
    <row r="23" spans="1:9" s="38" customFormat="1" ht="13" x14ac:dyDescent="0.3">
      <c r="A23" s="72" t="s">
        <v>101</v>
      </c>
      <c r="B23" s="112">
        <v>0</v>
      </c>
      <c r="C23" s="112">
        <v>0</v>
      </c>
      <c r="D23" s="112">
        <v>0</v>
      </c>
      <c r="E23" s="112">
        <v>0</v>
      </c>
      <c r="F23" s="112">
        <v>-5879.45</v>
      </c>
      <c r="G23" s="142">
        <f t="shared" si="5"/>
        <v>-2.4020348112046926E-4</v>
      </c>
    </row>
    <row r="24" spans="1:9" s="38" customFormat="1" ht="13" x14ac:dyDescent="0.3">
      <c r="A24" s="72" t="s">
        <v>112</v>
      </c>
      <c r="B24" s="112">
        <f t="shared" ref="B24:C24" si="7">SUM(B25:B27)</f>
        <v>0</v>
      </c>
      <c r="C24" s="112">
        <f t="shared" si="7"/>
        <v>0</v>
      </c>
      <c r="D24" s="112">
        <f>SUM(D25:D27)</f>
        <v>0</v>
      </c>
      <c r="E24" s="112">
        <f>SUM(E25:E27)</f>
        <v>0</v>
      </c>
      <c r="F24" s="112">
        <f>SUM(F25:F27)</f>
        <v>4949858.4000000004</v>
      </c>
      <c r="G24" s="142">
        <f t="shared" si="5"/>
        <v>0.20222524534325426</v>
      </c>
    </row>
    <row r="25" spans="1:9" s="38" customFormat="1" ht="13" x14ac:dyDescent="0.3">
      <c r="A25" s="72" t="s">
        <v>26</v>
      </c>
      <c r="B25" s="112">
        <v>0</v>
      </c>
      <c r="C25" s="112">
        <v>0</v>
      </c>
      <c r="D25" s="112">
        <v>0</v>
      </c>
      <c r="E25" s="112">
        <v>0</v>
      </c>
      <c r="F25" s="173">
        <f>5000000-8055.35</f>
        <v>4991944.6500000004</v>
      </c>
      <c r="G25" s="113">
        <f t="shared" si="5"/>
        <v>0.2039446687174315</v>
      </c>
    </row>
    <row r="26" spans="1:9" s="38" customFormat="1" ht="13" x14ac:dyDescent="0.3">
      <c r="A26" s="72" t="s">
        <v>18</v>
      </c>
      <c r="B26" s="112">
        <v>0</v>
      </c>
      <c r="C26" s="112">
        <v>0</v>
      </c>
      <c r="D26" s="112">
        <v>0</v>
      </c>
      <c r="E26" s="112">
        <v>0</v>
      </c>
      <c r="F26" s="173">
        <v>7543.38</v>
      </c>
      <c r="G26" s="142">
        <f t="shared" si="5"/>
        <v>3.0818293129706442E-4</v>
      </c>
    </row>
    <row r="27" spans="1:9" s="38" customFormat="1" ht="13" x14ac:dyDescent="0.3">
      <c r="A27" s="72" t="s">
        <v>101</v>
      </c>
      <c r="B27" s="112">
        <v>0</v>
      </c>
      <c r="C27" s="112">
        <v>0</v>
      </c>
      <c r="D27" s="112">
        <v>0</v>
      </c>
      <c r="E27" s="112">
        <v>0</v>
      </c>
      <c r="F27" s="112">
        <v>-49629.63</v>
      </c>
      <c r="G27" s="142">
        <f t="shared" si="5"/>
        <v>-2.0276063054743003E-3</v>
      </c>
    </row>
    <row r="28" spans="1:9" s="38" customFormat="1" ht="13" x14ac:dyDescent="0.3">
      <c r="A28" s="72" t="s">
        <v>113</v>
      </c>
      <c r="B28" s="112">
        <f t="shared" ref="B28:C28" si="8">SUM(B29:B31)</f>
        <v>0</v>
      </c>
      <c r="C28" s="112">
        <f t="shared" si="8"/>
        <v>0</v>
      </c>
      <c r="D28" s="112">
        <f>SUM(D29:D31)</f>
        <v>0</v>
      </c>
      <c r="E28" s="112">
        <f>SUM(E29:E31)</f>
        <v>0</v>
      </c>
      <c r="F28" s="112">
        <f>SUM(F29:F31)</f>
        <v>1969687</v>
      </c>
      <c r="G28" s="142">
        <f t="shared" si="5"/>
        <v>8.0471077076552017E-2</v>
      </c>
    </row>
    <row r="29" spans="1:9" s="38" customFormat="1" ht="13" x14ac:dyDescent="0.3">
      <c r="A29" s="72" t="s">
        <v>26</v>
      </c>
      <c r="B29" s="112">
        <v>0</v>
      </c>
      <c r="C29" s="112">
        <v>0</v>
      </c>
      <c r="D29" s="112">
        <v>0</v>
      </c>
      <c r="E29" s="112">
        <v>0</v>
      </c>
      <c r="F29" s="112">
        <f>2000000-11828.32</f>
        <v>1988171.68</v>
      </c>
      <c r="G29" s="113">
        <f t="shared" si="5"/>
        <v>8.1226264123537353E-2</v>
      </c>
    </row>
    <row r="30" spans="1:9" s="38" customFormat="1" ht="13" x14ac:dyDescent="0.3">
      <c r="A30" s="72" t="s">
        <v>18</v>
      </c>
      <c r="B30" s="112">
        <v>0</v>
      </c>
      <c r="C30" s="112">
        <v>0</v>
      </c>
      <c r="D30" s="112">
        <v>0</v>
      </c>
      <c r="E30" s="112">
        <v>0</v>
      </c>
      <c r="F30" s="173">
        <v>1487.54</v>
      </c>
      <c r="G30" s="142">
        <f t="shared" si="5"/>
        <v>6.077308018708261E-5</v>
      </c>
    </row>
    <row r="31" spans="1:9" s="38" customFormat="1" ht="13" x14ac:dyDescent="0.3">
      <c r="A31" s="72" t="s">
        <v>101</v>
      </c>
      <c r="B31" s="112">
        <v>0</v>
      </c>
      <c r="C31" s="112">
        <v>0</v>
      </c>
      <c r="D31" s="112">
        <v>0</v>
      </c>
      <c r="E31" s="112">
        <v>0</v>
      </c>
      <c r="F31" s="112">
        <v>-19972.22</v>
      </c>
      <c r="G31" s="142">
        <f t="shared" si="5"/>
        <v>-8.1596012717241562E-4</v>
      </c>
    </row>
    <row r="32" spans="1:9" s="38" customFormat="1" ht="13" x14ac:dyDescent="0.3">
      <c r="A32" s="72" t="s">
        <v>114</v>
      </c>
      <c r="B32" s="112">
        <f>SUM(B33:B34)</f>
        <v>0</v>
      </c>
      <c r="C32" s="112">
        <f>SUM(C33:C34)</f>
        <v>0</v>
      </c>
      <c r="D32" s="112">
        <f>SUM(D33:D34)</f>
        <v>0</v>
      </c>
      <c r="E32" s="112">
        <f>SUM(E33:E34)</f>
        <v>0</v>
      </c>
      <c r="F32" s="112">
        <f>SUM(F33:F34)</f>
        <v>494771.92</v>
      </c>
      <c r="G32" s="113">
        <f t="shared" si="5"/>
        <v>2.0213784885432878E-2</v>
      </c>
    </row>
    <row r="33" spans="1:9" s="38" customFormat="1" ht="13" x14ac:dyDescent="0.3">
      <c r="A33" s="72" t="s">
        <v>26</v>
      </c>
      <c r="B33" s="112">
        <v>0</v>
      </c>
      <c r="C33" s="112">
        <v>0</v>
      </c>
      <c r="D33" s="112">
        <v>0</v>
      </c>
      <c r="E33" s="112">
        <v>0</v>
      </c>
      <c r="F33" s="112">
        <f>500000-228.08</f>
        <v>499771.92</v>
      </c>
      <c r="G33" s="113">
        <f t="shared" si="5"/>
        <v>2.041805865348981E-2</v>
      </c>
    </row>
    <row r="34" spans="1:9" s="38" customFormat="1" ht="13" x14ac:dyDescent="0.3">
      <c r="A34" s="72" t="s">
        <v>101</v>
      </c>
      <c r="B34" s="112">
        <v>0</v>
      </c>
      <c r="C34" s="112">
        <v>0</v>
      </c>
      <c r="D34" s="112">
        <v>0</v>
      </c>
      <c r="E34" s="112">
        <v>0</v>
      </c>
      <c r="F34" s="112">
        <v>-5000</v>
      </c>
      <c r="G34" s="113">
        <f t="shared" si="5"/>
        <v>-2.0427376805693499E-4</v>
      </c>
    </row>
    <row r="35" spans="1:9" s="22" customFormat="1" x14ac:dyDescent="0.3">
      <c r="A35" s="50" t="s">
        <v>16</v>
      </c>
      <c r="B35" s="11">
        <v>32868.85</v>
      </c>
      <c r="C35" s="11">
        <v>0</v>
      </c>
      <c r="D35" s="11">
        <f>164404.37-54292.35-3278.69+3000+1470</f>
        <v>111303.32999999999</v>
      </c>
      <c r="E35" s="11">
        <f>164404.37-54292.35-3278.69+3000+1470-52540.98-4426.23-15300.55+1980+2000</f>
        <v>43015.569999999978</v>
      </c>
      <c r="F35" s="11">
        <v>0</v>
      </c>
      <c r="G35" s="18">
        <f t="shared" si="5"/>
        <v>0</v>
      </c>
      <c r="H35" s="38"/>
      <c r="I35" s="109"/>
    </row>
    <row r="36" spans="1:9" s="22" customFormat="1" x14ac:dyDescent="0.3">
      <c r="A36" s="50" t="s">
        <v>109</v>
      </c>
      <c r="B36" s="28">
        <v>0</v>
      </c>
      <c r="C36" s="28">
        <v>0</v>
      </c>
      <c r="D36" s="28">
        <v>0</v>
      </c>
      <c r="E36" s="28">
        <v>99615.65</v>
      </c>
      <c r="F36" s="28">
        <v>0</v>
      </c>
      <c r="G36" s="18">
        <f t="shared" si="5"/>
        <v>0</v>
      </c>
      <c r="H36" s="109"/>
      <c r="I36" s="109"/>
    </row>
    <row r="37" spans="1:9" x14ac:dyDescent="0.3">
      <c r="A37" s="16" t="s">
        <v>3</v>
      </c>
      <c r="B37" s="126">
        <f>+B35+B7+B10+B36</f>
        <v>3914678.62</v>
      </c>
      <c r="C37" s="126">
        <f>+C35+C7+C10+C36</f>
        <v>3882001.17</v>
      </c>
      <c r="D37" s="126">
        <f>+D35+D7+D10+D36</f>
        <v>11828744.469999999</v>
      </c>
      <c r="E37" s="126">
        <f>+E35+E7+E10+E36</f>
        <v>11785672</v>
      </c>
      <c r="F37" s="126">
        <f>+F35+F7+F10+F36</f>
        <v>24476955.84</v>
      </c>
      <c r="G37" s="17">
        <f>+F37/F37</f>
        <v>1</v>
      </c>
    </row>
    <row r="38" spans="1:9" x14ac:dyDescent="0.3">
      <c r="A38" s="3"/>
      <c r="B38" s="65"/>
      <c r="C38" s="65"/>
      <c r="D38" s="65"/>
      <c r="E38" s="65"/>
      <c r="F38" s="65"/>
      <c r="G38" s="95"/>
    </row>
    <row r="39" spans="1:9" x14ac:dyDescent="0.3">
      <c r="A39" s="77" t="s">
        <v>4</v>
      </c>
      <c r="B39" s="11"/>
      <c r="C39" s="11"/>
      <c r="D39" s="11"/>
      <c r="E39" s="11"/>
      <c r="F39" s="11"/>
      <c r="G39" s="18"/>
    </row>
    <row r="40" spans="1:9" x14ac:dyDescent="0.3">
      <c r="A40" s="78"/>
      <c r="B40" s="11"/>
      <c r="C40" s="11"/>
      <c r="D40" s="11"/>
      <c r="E40" s="11"/>
      <c r="F40" s="11"/>
      <c r="G40" s="18"/>
    </row>
    <row r="41" spans="1:9" x14ac:dyDescent="0.3">
      <c r="A41" s="79" t="s">
        <v>19</v>
      </c>
      <c r="B41" s="11"/>
      <c r="C41" s="11"/>
      <c r="D41" s="11"/>
      <c r="E41" s="11"/>
      <c r="F41" s="11"/>
      <c r="G41" s="18"/>
    </row>
    <row r="42" spans="1:9" s="38" customFormat="1" x14ac:dyDescent="0.3">
      <c r="A42" s="78" t="s">
        <v>17</v>
      </c>
      <c r="B42" s="11">
        <f t="shared" ref="B42" si="9">+SUM(B43:B51)</f>
        <v>0</v>
      </c>
      <c r="C42" s="11">
        <f>+SUM(C43:C51)</f>
        <v>4112.0185245901603</v>
      </c>
      <c r="D42" s="11">
        <f>+SUM(D43:D51)</f>
        <v>6000</v>
      </c>
      <c r="E42" s="11">
        <f>+SUM(E43:E51)</f>
        <v>26750</v>
      </c>
      <c r="F42" s="11">
        <f>+SUM(F43:F51)</f>
        <v>112105.7</v>
      </c>
      <c r="G42" s="18">
        <f>+F42/F85</f>
        <v>4.5800507519320674E-3</v>
      </c>
    </row>
    <row r="43" spans="1:9" s="38" customFormat="1" ht="13" x14ac:dyDescent="0.3">
      <c r="A43" s="10" t="s">
        <v>77</v>
      </c>
      <c r="B43" s="62">
        <v>0</v>
      </c>
      <c r="C43" s="124">
        <v>0</v>
      </c>
      <c r="D43" s="124">
        <v>0</v>
      </c>
      <c r="E43" s="124">
        <v>10000</v>
      </c>
      <c r="F43" s="124">
        <f>4900+10000</f>
        <v>14900</v>
      </c>
      <c r="G43" s="61">
        <f>F43/$F$85</f>
        <v>6.087358288096663E-4</v>
      </c>
    </row>
    <row r="44" spans="1:9" s="38" customFormat="1" ht="13" x14ac:dyDescent="0.3">
      <c r="A44" s="72" t="s">
        <v>51</v>
      </c>
      <c r="B44" s="62">
        <v>0</v>
      </c>
      <c r="C44" s="124">
        <v>0</v>
      </c>
      <c r="D44" s="124">
        <v>0</v>
      </c>
      <c r="E44" s="124">
        <v>2000</v>
      </c>
      <c r="F44" s="124">
        <v>0</v>
      </c>
      <c r="G44" s="61">
        <f t="shared" ref="G44:G48" si="10">F44/$F$85</f>
        <v>0</v>
      </c>
    </row>
    <row r="45" spans="1:9" s="38" customFormat="1" ht="13" x14ac:dyDescent="0.3">
      <c r="A45" s="72" t="s">
        <v>66</v>
      </c>
      <c r="B45" s="62">
        <v>0</v>
      </c>
      <c r="C45" s="124">
        <v>0</v>
      </c>
      <c r="D45" s="124">
        <v>0</v>
      </c>
      <c r="E45" s="124">
        <v>3750</v>
      </c>
      <c r="F45" s="124">
        <v>0</v>
      </c>
      <c r="G45" s="61">
        <f t="shared" si="10"/>
        <v>0</v>
      </c>
    </row>
    <row r="46" spans="1:9" s="38" customFormat="1" ht="13" x14ac:dyDescent="0.3">
      <c r="A46" s="72" t="s">
        <v>122</v>
      </c>
      <c r="B46" s="62">
        <v>0</v>
      </c>
      <c r="C46" s="124">
        <v>833.33</v>
      </c>
      <c r="D46" s="124">
        <f>833.33+5166.67</f>
        <v>6000</v>
      </c>
      <c r="E46" s="124">
        <v>11000</v>
      </c>
      <c r="F46" s="124">
        <v>20555.560000000001</v>
      </c>
      <c r="G46" s="61">
        <f t="shared" si="10"/>
        <v>8.397923391440823E-4</v>
      </c>
    </row>
    <row r="47" spans="1:9" s="38" customFormat="1" ht="13" x14ac:dyDescent="0.3">
      <c r="A47" s="10" t="s">
        <v>67</v>
      </c>
      <c r="B47" s="62">
        <v>0</v>
      </c>
      <c r="C47" s="124">
        <v>0</v>
      </c>
      <c r="D47" s="124">
        <v>0</v>
      </c>
      <c r="E47" s="124">
        <v>0</v>
      </c>
      <c r="F47" s="124">
        <v>1275</v>
      </c>
      <c r="G47" s="61">
        <f t="shared" si="10"/>
        <v>5.2089810854518426E-5</v>
      </c>
    </row>
    <row r="48" spans="1:9" s="38" customFormat="1" ht="13" x14ac:dyDescent="0.3">
      <c r="A48" s="10" t="s">
        <v>78</v>
      </c>
      <c r="B48" s="62">
        <v>0</v>
      </c>
      <c r="C48" s="124">
        <v>3278.6885245901599</v>
      </c>
      <c r="D48" s="124">
        <v>0</v>
      </c>
      <c r="E48" s="124">
        <v>0</v>
      </c>
      <c r="F48" s="124">
        <v>75375.14</v>
      </c>
      <c r="G48" s="61">
        <f t="shared" si="10"/>
        <v>3.0794327731238007E-3</v>
      </c>
      <c r="H48" s="46"/>
      <c r="I48" s="104"/>
    </row>
    <row r="49" spans="1:16" s="38" customFormat="1" ht="13" hidden="1" x14ac:dyDescent="0.3">
      <c r="A49" s="10" t="s">
        <v>83</v>
      </c>
      <c r="B49" s="62"/>
      <c r="C49" s="124"/>
      <c r="D49" s="124"/>
      <c r="E49" s="124"/>
      <c r="F49" s="124"/>
      <c r="G49" s="61">
        <f>B49/$B$85</f>
        <v>0</v>
      </c>
    </row>
    <row r="50" spans="1:16" s="38" customFormat="1" ht="13" hidden="1" x14ac:dyDescent="0.3">
      <c r="A50" s="10" t="s">
        <v>84</v>
      </c>
      <c r="B50" s="62">
        <v>0</v>
      </c>
      <c r="C50" s="124">
        <v>0</v>
      </c>
      <c r="D50" s="124">
        <v>0</v>
      </c>
      <c r="E50" s="124">
        <v>0</v>
      </c>
      <c r="F50" s="124">
        <v>0</v>
      </c>
      <c r="G50" s="61">
        <f>B50/$B$85</f>
        <v>0</v>
      </c>
      <c r="H50" s="44"/>
    </row>
    <row r="51" spans="1:16" s="38" customFormat="1" ht="13" hidden="1" x14ac:dyDescent="0.3">
      <c r="A51" s="10" t="s">
        <v>75</v>
      </c>
      <c r="B51" s="62">
        <v>0</v>
      </c>
      <c r="C51" s="124">
        <v>0</v>
      </c>
      <c r="D51" s="124">
        <v>0</v>
      </c>
      <c r="E51" s="124">
        <v>0</v>
      </c>
      <c r="F51" s="124">
        <v>0</v>
      </c>
      <c r="G51" s="61">
        <f>B51/$B$85</f>
        <v>0</v>
      </c>
      <c r="J51" s="96"/>
    </row>
    <row r="52" spans="1:16" s="38" customFormat="1" ht="13" x14ac:dyDescent="0.3">
      <c r="B52" s="62"/>
      <c r="C52" s="124"/>
      <c r="D52" s="124"/>
      <c r="E52" s="124"/>
      <c r="F52" s="124"/>
      <c r="G52" s="61"/>
      <c r="J52" s="96"/>
    </row>
    <row r="53" spans="1:16" s="38" customFormat="1" x14ac:dyDescent="0.3">
      <c r="A53" s="131" t="s">
        <v>115</v>
      </c>
      <c r="B53" s="62"/>
      <c r="C53" s="124"/>
      <c r="D53" s="124"/>
      <c r="E53" s="124"/>
      <c r="F53" s="124"/>
      <c r="G53" s="61"/>
      <c r="J53" s="96"/>
    </row>
    <row r="54" spans="1:16" s="38" customFormat="1" ht="13" x14ac:dyDescent="0.3">
      <c r="B54" s="62"/>
      <c r="C54" s="124"/>
      <c r="D54" s="124"/>
      <c r="E54" s="124"/>
      <c r="F54" s="124"/>
      <c r="G54" s="61"/>
      <c r="J54" s="96"/>
    </row>
    <row r="55" spans="1:16" s="133" customFormat="1" ht="14.5" x14ac:dyDescent="0.35">
      <c r="A55" s="132" t="s">
        <v>61</v>
      </c>
      <c r="B55" s="135"/>
      <c r="C55" s="135"/>
      <c r="D55" s="135"/>
      <c r="E55" s="135"/>
      <c r="F55" s="135">
        <f>+F56+F62+F59</f>
        <v>13032200</v>
      </c>
      <c r="G55" s="143">
        <f>+F55/F85</f>
        <v>0.5324273200143177</v>
      </c>
      <c r="H55" s="145"/>
      <c r="I55" s="147"/>
      <c r="J55" s="147"/>
      <c r="K55" s="147"/>
      <c r="L55" s="147"/>
      <c r="M55" s="149"/>
      <c r="N55" s="6"/>
      <c r="O55" s="6"/>
      <c r="P55" s="96"/>
    </row>
    <row r="56" spans="1:16" s="133" customFormat="1" ht="13" x14ac:dyDescent="0.3">
      <c r="A56" s="133" t="s">
        <v>60</v>
      </c>
      <c r="B56" s="135">
        <f t="shared" ref="B56:E56" si="11">+B57+B58</f>
        <v>0</v>
      </c>
      <c r="C56" s="135">
        <f t="shared" si="11"/>
        <v>0</v>
      </c>
      <c r="D56" s="135">
        <f t="shared" si="11"/>
        <v>0</v>
      </c>
      <c r="E56" s="135">
        <f t="shared" si="11"/>
        <v>0</v>
      </c>
      <c r="F56" s="135">
        <f>+F57+F58</f>
        <v>5012444.444444444</v>
      </c>
      <c r="G56" s="143">
        <f>+F56/$F$85</f>
        <v>0.20478218276854337</v>
      </c>
      <c r="H56" s="145"/>
      <c r="I56" s="147"/>
      <c r="J56" s="147"/>
      <c r="K56" s="147"/>
      <c r="L56" s="147"/>
      <c r="M56" s="149"/>
      <c r="N56" s="6"/>
      <c r="O56" s="6"/>
    </row>
    <row r="57" spans="1:16" s="133" customFormat="1" ht="13" x14ac:dyDescent="0.3">
      <c r="A57" s="134" t="s">
        <v>26</v>
      </c>
      <c r="B57" s="136">
        <v>0</v>
      </c>
      <c r="C57" s="136">
        <v>0</v>
      </c>
      <c r="D57" s="136">
        <v>0</v>
      </c>
      <c r="E57" s="136">
        <v>0</v>
      </c>
      <c r="F57" s="136">
        <v>5000000</v>
      </c>
      <c r="G57" s="144">
        <f>+F57/$F$85</f>
        <v>0.20427376805693501</v>
      </c>
      <c r="H57" s="146"/>
      <c r="I57" s="19"/>
      <c r="J57" s="19"/>
      <c r="K57" s="19"/>
      <c r="L57" s="19"/>
      <c r="M57" s="108"/>
      <c r="N57" s="6"/>
      <c r="O57" s="6"/>
    </row>
    <row r="58" spans="1:16" s="133" customFormat="1" ht="13" x14ac:dyDescent="0.3">
      <c r="A58" s="134" t="s">
        <v>18</v>
      </c>
      <c r="B58" s="136">
        <v>0</v>
      </c>
      <c r="C58" s="136">
        <v>0</v>
      </c>
      <c r="D58" s="136">
        <v>0</v>
      </c>
      <c r="E58" s="136">
        <v>0</v>
      </c>
      <c r="F58" s="136">
        <v>12444.444444444445</v>
      </c>
      <c r="G58" s="144">
        <f>+F58/$F$85</f>
        <v>5.0841471160837162E-4</v>
      </c>
      <c r="H58" s="146"/>
      <c r="I58" s="19"/>
      <c r="J58" s="19"/>
      <c r="K58" s="19"/>
      <c r="L58" s="19"/>
      <c r="M58" s="108"/>
      <c r="N58" s="6"/>
      <c r="O58" s="6"/>
    </row>
    <row r="59" spans="1:16" s="133" customFormat="1" ht="13" x14ac:dyDescent="0.3">
      <c r="A59" s="133" t="s">
        <v>28</v>
      </c>
      <c r="B59" s="135">
        <f t="shared" ref="B59:E59" si="12">+B60+B61</f>
        <v>0</v>
      </c>
      <c r="C59" s="135">
        <f t="shared" si="12"/>
        <v>0</v>
      </c>
      <c r="D59" s="135">
        <f t="shared" si="12"/>
        <v>0</v>
      </c>
      <c r="E59" s="135">
        <f t="shared" si="12"/>
        <v>0</v>
      </c>
      <c r="F59" s="135">
        <f>+F60+F61</f>
        <v>5015555.555555556</v>
      </c>
      <c r="G59" s="143">
        <f t="shared" ref="G59:G64" si="13">+F59/$F$85</f>
        <v>0.20490928644644549</v>
      </c>
      <c r="H59" s="145"/>
      <c r="I59" s="147"/>
      <c r="J59" s="147"/>
      <c r="K59" s="147"/>
      <c r="L59" s="147"/>
      <c r="M59" s="149"/>
      <c r="N59" s="6"/>
      <c r="O59" s="6"/>
    </row>
    <row r="60" spans="1:16" s="133" customFormat="1" ht="13" x14ac:dyDescent="0.3">
      <c r="A60" s="134" t="s">
        <v>26</v>
      </c>
      <c r="B60" s="136">
        <v>0</v>
      </c>
      <c r="C60" s="136">
        <v>0</v>
      </c>
      <c r="D60" s="136">
        <v>0</v>
      </c>
      <c r="E60" s="136">
        <v>0</v>
      </c>
      <c r="F60" s="136">
        <v>5000000</v>
      </c>
      <c r="G60" s="144">
        <f t="shared" si="13"/>
        <v>0.20427376805693501</v>
      </c>
      <c r="H60" s="146"/>
      <c r="I60" s="19"/>
      <c r="J60" s="19"/>
      <c r="K60" s="19"/>
      <c r="L60" s="19"/>
      <c r="M60" s="108"/>
      <c r="N60" s="6"/>
      <c r="O60" s="6"/>
    </row>
    <row r="61" spans="1:16" s="133" customFormat="1" ht="13" x14ac:dyDescent="0.3">
      <c r="A61" s="134" t="s">
        <v>18</v>
      </c>
      <c r="B61" s="136">
        <v>0</v>
      </c>
      <c r="C61" s="136">
        <v>0</v>
      </c>
      <c r="D61" s="136">
        <v>0</v>
      </c>
      <c r="E61" s="136">
        <v>0</v>
      </c>
      <c r="F61" s="136">
        <v>15555.555555555557</v>
      </c>
      <c r="G61" s="144">
        <f t="shared" si="13"/>
        <v>6.3551838951046453E-4</v>
      </c>
      <c r="H61" s="146"/>
      <c r="I61" s="19"/>
      <c r="J61" s="19"/>
      <c r="K61" s="19"/>
      <c r="L61" s="19"/>
      <c r="M61" s="108"/>
      <c r="N61" s="6"/>
      <c r="O61" s="6"/>
    </row>
    <row r="62" spans="1:16" s="133" customFormat="1" ht="13" x14ac:dyDescent="0.3">
      <c r="A62" s="133" t="s">
        <v>116</v>
      </c>
      <c r="B62" s="135">
        <f t="shared" ref="B62:E62" si="14">+B63+B64</f>
        <v>0</v>
      </c>
      <c r="C62" s="135">
        <f t="shared" si="14"/>
        <v>0</v>
      </c>
      <c r="D62" s="135">
        <f t="shared" si="14"/>
        <v>0</v>
      </c>
      <c r="E62" s="135">
        <f t="shared" si="14"/>
        <v>0</v>
      </c>
      <c r="F62" s="135">
        <f>+F63+F64</f>
        <v>3004200</v>
      </c>
      <c r="G62" s="143">
        <f t="shared" si="13"/>
        <v>0.12273585079932883</v>
      </c>
      <c r="H62" s="145"/>
      <c r="I62" s="147"/>
      <c r="J62" s="147"/>
      <c r="K62" s="147"/>
      <c r="L62" s="147"/>
      <c r="M62" s="149"/>
      <c r="N62" s="6"/>
      <c r="O62" s="6"/>
    </row>
    <row r="63" spans="1:16" s="133" customFormat="1" ht="13" x14ac:dyDescent="0.3">
      <c r="A63" s="134" t="s">
        <v>26</v>
      </c>
      <c r="B63" s="136">
        <v>0</v>
      </c>
      <c r="C63" s="136">
        <v>0</v>
      </c>
      <c r="D63" s="136">
        <v>0</v>
      </c>
      <c r="E63" s="136">
        <v>0</v>
      </c>
      <c r="F63" s="136">
        <v>3000000</v>
      </c>
      <c r="G63" s="144">
        <f t="shared" si="13"/>
        <v>0.122564260834161</v>
      </c>
      <c r="H63" s="146"/>
      <c r="I63" s="19"/>
      <c r="J63" s="19"/>
      <c r="K63" s="19"/>
      <c r="L63" s="19"/>
      <c r="M63" s="108"/>
      <c r="N63" s="6"/>
      <c r="O63" s="6"/>
    </row>
    <row r="64" spans="1:16" s="133" customFormat="1" ht="13" x14ac:dyDescent="0.3">
      <c r="A64" s="134" t="s">
        <v>18</v>
      </c>
      <c r="B64" s="136">
        <v>0</v>
      </c>
      <c r="C64" s="136">
        <v>0</v>
      </c>
      <c r="D64" s="136">
        <v>0</v>
      </c>
      <c r="E64" s="136">
        <v>0</v>
      </c>
      <c r="F64" s="136">
        <v>4200</v>
      </c>
      <c r="G64" s="144">
        <f t="shared" si="13"/>
        <v>1.715899651678254E-4</v>
      </c>
      <c r="H64" s="146"/>
      <c r="I64" s="19"/>
      <c r="J64" s="19"/>
      <c r="K64" s="19"/>
      <c r="L64" s="19"/>
      <c r="M64" s="108"/>
      <c r="N64" s="6"/>
      <c r="O64" s="6"/>
    </row>
    <row r="65" spans="1:12" s="38" customFormat="1" ht="14.5" x14ac:dyDescent="0.35">
      <c r="A65" s="132" t="s">
        <v>109</v>
      </c>
      <c r="B65" s="49">
        <v>0</v>
      </c>
      <c r="C65" s="49">
        <v>0</v>
      </c>
      <c r="D65" s="49">
        <v>0</v>
      </c>
      <c r="E65" s="49">
        <v>0</v>
      </c>
      <c r="F65" s="28">
        <v>-222607.48</v>
      </c>
      <c r="G65" s="52">
        <f>+F65/F85</f>
        <v>-9.0945737474517601E-3</v>
      </c>
    </row>
    <row r="66" spans="1:12" x14ac:dyDescent="0.3">
      <c r="A66" s="42" t="s">
        <v>5</v>
      </c>
      <c r="B66" s="13">
        <f>+B42</f>
        <v>0</v>
      </c>
      <c r="C66" s="13">
        <f>+C42</f>
        <v>4112.0185245901603</v>
      </c>
      <c r="D66" s="13">
        <f>+D42</f>
        <v>6000</v>
      </c>
      <c r="E66" s="13">
        <f>+E42</f>
        <v>26750</v>
      </c>
      <c r="F66" s="13">
        <f>+F42+F55+F65</f>
        <v>12921698.219999999</v>
      </c>
      <c r="G66" s="17">
        <f>+E66/E85</f>
        <v>2.2697051113874074E-3</v>
      </c>
    </row>
    <row r="67" spans="1:12" x14ac:dyDescent="0.3">
      <c r="A67" s="3"/>
      <c r="B67" s="51"/>
      <c r="C67" s="15"/>
      <c r="D67" s="15"/>
      <c r="E67" s="15"/>
      <c r="F67" s="15"/>
      <c r="G67" s="76"/>
    </row>
    <row r="68" spans="1:12" x14ac:dyDescent="0.3">
      <c r="A68" s="25" t="s">
        <v>6</v>
      </c>
      <c r="B68" s="66"/>
      <c r="C68" s="66"/>
      <c r="D68" s="66"/>
      <c r="E68" s="66"/>
      <c r="F68" s="66" t="s">
        <v>133</v>
      </c>
      <c r="G68" s="53"/>
      <c r="I68" s="59"/>
    </row>
    <row r="69" spans="1:12" x14ac:dyDescent="0.3">
      <c r="A69" s="50"/>
      <c r="B69" s="4"/>
      <c r="C69" s="4"/>
      <c r="D69" s="4"/>
      <c r="E69" s="4"/>
      <c r="F69" s="4"/>
      <c r="G69" s="54"/>
      <c r="J69" s="125"/>
    </row>
    <row r="70" spans="1:12" s="21" customFormat="1" x14ac:dyDescent="0.3">
      <c r="A70" s="50" t="s">
        <v>32</v>
      </c>
      <c r="B70" s="4">
        <f>SUM(B71:B77)</f>
        <v>4050000</v>
      </c>
      <c r="C70" s="4">
        <f>SUM(C71:C77)</f>
        <v>4050000</v>
      </c>
      <c r="D70" s="4">
        <f>SUM(D71:D77)</f>
        <v>12050000</v>
      </c>
      <c r="E70" s="4">
        <f>SUM(E71:E77)</f>
        <v>12050000</v>
      </c>
      <c r="F70" s="4">
        <f>SUM(F71:F77)</f>
        <v>12050000</v>
      </c>
      <c r="G70" s="54">
        <f>+F70/$F$85</f>
        <v>0.49229978101721339</v>
      </c>
      <c r="H70" s="87"/>
      <c r="I70" s="86"/>
      <c r="J70" s="110"/>
    </row>
    <row r="71" spans="1:12" s="21" customFormat="1" ht="13" x14ac:dyDescent="0.3">
      <c r="A71" s="72" t="s">
        <v>90</v>
      </c>
      <c r="B71" s="35">
        <v>1200000</v>
      </c>
      <c r="C71" s="127">
        <v>1200000</v>
      </c>
      <c r="D71" s="127">
        <f>1200000+2400000</f>
        <v>3600000</v>
      </c>
      <c r="E71" s="127">
        <f>1200000+2400000</f>
        <v>3600000</v>
      </c>
      <c r="F71" s="127">
        <f>1200000+2400000</f>
        <v>3600000</v>
      </c>
      <c r="G71" s="63">
        <f>+F71/$F$85</f>
        <v>0.14707711300099321</v>
      </c>
      <c r="H71" s="89">
        <f>+D71-C71</f>
        <v>2400000</v>
      </c>
      <c r="I71" s="153"/>
      <c r="J71" s="103"/>
    </row>
    <row r="72" spans="1:12" s="21" customFormat="1" x14ac:dyDescent="0.3">
      <c r="A72" s="72" t="s">
        <v>96</v>
      </c>
      <c r="B72" s="30">
        <v>800000</v>
      </c>
      <c r="C72" s="127">
        <v>800000</v>
      </c>
      <c r="D72" s="127">
        <f t="shared" ref="D72:F74" si="15">800000+1600000</f>
        <v>2400000</v>
      </c>
      <c r="E72" s="127">
        <f t="shared" si="15"/>
        <v>2400000</v>
      </c>
      <c r="F72" s="127">
        <f t="shared" si="15"/>
        <v>2400000</v>
      </c>
      <c r="G72" s="63">
        <f t="shared" ref="G72:G77" si="16">+F72/$F$85</f>
        <v>9.805140866732881E-2</v>
      </c>
      <c r="H72" s="89">
        <f t="shared" ref="H72:H76" si="17">+D72-C72</f>
        <v>1600000</v>
      </c>
      <c r="I72" s="106"/>
      <c r="J72" s="106"/>
      <c r="K72" s="121"/>
      <c r="L72" s="121"/>
    </row>
    <row r="73" spans="1:12" s="21" customFormat="1" ht="13" x14ac:dyDescent="0.3">
      <c r="A73" s="72" t="s">
        <v>95</v>
      </c>
      <c r="B73" s="30">
        <v>800000</v>
      </c>
      <c r="C73" s="127">
        <v>800000</v>
      </c>
      <c r="D73" s="127">
        <f t="shared" si="15"/>
        <v>2400000</v>
      </c>
      <c r="E73" s="127">
        <f t="shared" si="15"/>
        <v>2400000</v>
      </c>
      <c r="F73" s="127">
        <f t="shared" si="15"/>
        <v>2400000</v>
      </c>
      <c r="G73" s="63">
        <f t="shared" si="16"/>
        <v>9.805140866732881E-2</v>
      </c>
      <c r="H73" s="89">
        <f t="shared" si="17"/>
        <v>1600000</v>
      </c>
      <c r="I73" s="110"/>
      <c r="J73" s="110"/>
      <c r="K73" s="75"/>
      <c r="L73" s="75"/>
    </row>
    <row r="74" spans="1:12" s="21" customFormat="1" ht="13" x14ac:dyDescent="0.3">
      <c r="A74" s="72" t="s">
        <v>91</v>
      </c>
      <c r="B74" s="30">
        <v>800000</v>
      </c>
      <c r="C74" s="127">
        <v>800000</v>
      </c>
      <c r="D74" s="127">
        <f t="shared" si="15"/>
        <v>2400000</v>
      </c>
      <c r="E74" s="127">
        <f t="shared" si="15"/>
        <v>2400000</v>
      </c>
      <c r="F74" s="127">
        <f t="shared" si="15"/>
        <v>2400000</v>
      </c>
      <c r="G74" s="63">
        <f t="shared" si="16"/>
        <v>9.805140866732881E-2</v>
      </c>
      <c r="H74" s="89">
        <f t="shared" si="17"/>
        <v>1600000</v>
      </c>
      <c r="J74" s="110"/>
    </row>
    <row r="75" spans="1:12" s="21" customFormat="1" ht="13" x14ac:dyDescent="0.3">
      <c r="A75" s="72" t="s">
        <v>92</v>
      </c>
      <c r="B75" s="35">
        <v>200000</v>
      </c>
      <c r="C75" s="127">
        <v>200000</v>
      </c>
      <c r="D75" s="127">
        <f t="shared" ref="D75:F76" si="18">200000+400000</f>
        <v>600000</v>
      </c>
      <c r="E75" s="127">
        <f t="shared" si="18"/>
        <v>600000</v>
      </c>
      <c r="F75" s="127">
        <f t="shared" si="18"/>
        <v>600000</v>
      </c>
      <c r="G75" s="63">
        <f t="shared" si="16"/>
        <v>2.4512852166832202E-2</v>
      </c>
      <c r="H75" s="89">
        <f t="shared" si="17"/>
        <v>400000</v>
      </c>
      <c r="I75" s="86"/>
    </row>
    <row r="76" spans="1:12" s="21" customFormat="1" ht="13" x14ac:dyDescent="0.3">
      <c r="A76" s="72" t="s">
        <v>93</v>
      </c>
      <c r="B76" s="35">
        <v>200000</v>
      </c>
      <c r="C76" s="127">
        <v>200000</v>
      </c>
      <c r="D76" s="127">
        <f t="shared" si="18"/>
        <v>600000</v>
      </c>
      <c r="E76" s="127">
        <f t="shared" si="18"/>
        <v>600000</v>
      </c>
      <c r="F76" s="127">
        <f t="shared" si="18"/>
        <v>600000</v>
      </c>
      <c r="G76" s="63">
        <f t="shared" si="16"/>
        <v>2.4512852166832202E-2</v>
      </c>
      <c r="H76" s="89">
        <f t="shared" si="17"/>
        <v>400000</v>
      </c>
      <c r="I76" s="154"/>
      <c r="J76" s="110"/>
    </row>
    <row r="77" spans="1:12" s="21" customFormat="1" ht="13" x14ac:dyDescent="0.3">
      <c r="A77" s="72" t="s">
        <v>94</v>
      </c>
      <c r="B77" s="30">
        <v>50000</v>
      </c>
      <c r="C77" s="127">
        <v>50000</v>
      </c>
      <c r="D77" s="127">
        <v>50000</v>
      </c>
      <c r="E77" s="127">
        <v>50000</v>
      </c>
      <c r="F77" s="127">
        <v>50000</v>
      </c>
      <c r="G77" s="63">
        <f t="shared" si="16"/>
        <v>2.0427376805693502E-3</v>
      </c>
      <c r="H77" s="123"/>
      <c r="I77" s="110"/>
      <c r="J77" s="110"/>
      <c r="K77" s="75"/>
    </row>
    <row r="78" spans="1:12" ht="14.5" hidden="1" x14ac:dyDescent="0.35">
      <c r="A78" s="97" t="s">
        <v>53</v>
      </c>
      <c r="B78" s="98">
        <v>0</v>
      </c>
      <c r="C78" s="4">
        <v>0</v>
      </c>
      <c r="D78" s="4">
        <v>0</v>
      </c>
      <c r="E78" s="4">
        <v>0</v>
      </c>
      <c r="F78" s="4">
        <v>0</v>
      </c>
      <c r="G78" s="54">
        <f t="shared" ref="G78:G81" si="19">+B78/$B$85</f>
        <v>0</v>
      </c>
      <c r="H78" s="121"/>
    </row>
    <row r="79" spans="1:12" ht="14.5" hidden="1" x14ac:dyDescent="0.35">
      <c r="A79" s="97" t="s">
        <v>58</v>
      </c>
      <c r="B79" s="98">
        <f t="shared" ref="B79" si="20">+B80+B81</f>
        <v>0</v>
      </c>
      <c r="C79" s="4">
        <f>+C80+C81</f>
        <v>0</v>
      </c>
      <c r="D79" s="4">
        <f>+D80+D81</f>
        <v>0</v>
      </c>
      <c r="E79" s="4">
        <f>+E80+E81</f>
        <v>0</v>
      </c>
      <c r="F79" s="4">
        <f>+F80+F81</f>
        <v>0</v>
      </c>
      <c r="G79" s="54">
        <f t="shared" si="19"/>
        <v>0</v>
      </c>
      <c r="H79" s="121"/>
      <c r="I79" s="59"/>
    </row>
    <row r="80" spans="1:12" s="21" customFormat="1" ht="13" hidden="1" x14ac:dyDescent="0.3">
      <c r="A80" s="72" t="s">
        <v>76</v>
      </c>
      <c r="B80" s="30">
        <v>0</v>
      </c>
      <c r="C80" s="127">
        <v>0</v>
      </c>
      <c r="D80" s="127">
        <v>0</v>
      </c>
      <c r="E80" s="127">
        <v>0</v>
      </c>
      <c r="F80" s="127">
        <v>0</v>
      </c>
      <c r="G80" s="63">
        <f t="shared" si="19"/>
        <v>0</v>
      </c>
      <c r="H80" s="103"/>
    </row>
    <row r="81" spans="1:12" s="21" customFormat="1" ht="13" hidden="1" x14ac:dyDescent="0.3">
      <c r="A81" s="72" t="s">
        <v>59</v>
      </c>
      <c r="B81" s="30">
        <v>0</v>
      </c>
      <c r="C81" s="127">
        <v>0</v>
      </c>
      <c r="D81" s="127">
        <v>0</v>
      </c>
      <c r="E81" s="127">
        <v>0</v>
      </c>
      <c r="F81" s="127">
        <v>0</v>
      </c>
      <c r="G81" s="63">
        <f t="shared" si="19"/>
        <v>0</v>
      </c>
      <c r="H81" s="103"/>
    </row>
    <row r="82" spans="1:12" x14ac:dyDescent="0.3">
      <c r="A82" s="50" t="s">
        <v>88</v>
      </c>
      <c r="B82" s="4">
        <f t="shared" ref="B82:E82" si="21">+B154</f>
        <v>-135321.38</v>
      </c>
      <c r="C82" s="4">
        <f t="shared" si="21"/>
        <v>-172110.85098360662</v>
      </c>
      <c r="D82" s="4">
        <f t="shared" si="21"/>
        <v>-227255.53098360662</v>
      </c>
      <c r="E82" s="4">
        <f t="shared" si="21"/>
        <v>-291077.99098360661</v>
      </c>
      <c r="F82" s="4">
        <f>+F154</f>
        <v>-494742.37999999995</v>
      </c>
      <c r="G82" s="54">
        <f>+F82/$F$85</f>
        <v>-2.0212578036011199E-2</v>
      </c>
      <c r="H82" s="121"/>
      <c r="I82" s="76"/>
      <c r="L82" s="59"/>
    </row>
    <row r="83" spans="1:12" x14ac:dyDescent="0.3">
      <c r="A83" s="50"/>
      <c r="B83" s="4"/>
      <c r="C83" s="4"/>
      <c r="D83" s="4"/>
      <c r="E83" s="4"/>
      <c r="F83" s="4"/>
      <c r="G83" s="54"/>
      <c r="H83" s="76"/>
      <c r="I83" s="76"/>
      <c r="J83" s="59"/>
    </row>
    <row r="84" spans="1:12" x14ac:dyDescent="0.3">
      <c r="A84" s="81" t="s">
        <v>7</v>
      </c>
      <c r="B84" s="13">
        <f>+B70+B78+B79+B82</f>
        <v>3914678.62</v>
      </c>
      <c r="C84" s="13">
        <f>+C70+C78+C79+C82</f>
        <v>3877889.1490163933</v>
      </c>
      <c r="D84" s="13">
        <f>+D70+D78+D79+D82</f>
        <v>11822744.469016394</v>
      </c>
      <c r="E84" s="13">
        <f>+E70+E78+E79+E82</f>
        <v>11758922.009016393</v>
      </c>
      <c r="F84" s="13">
        <f>+F70+F78+F79+F82</f>
        <v>11555257.619999999</v>
      </c>
      <c r="G84" s="17">
        <f>+F84/F85</f>
        <v>0.47208720298120216</v>
      </c>
      <c r="I84" s="59"/>
      <c r="J84" s="59"/>
    </row>
    <row r="85" spans="1:12" x14ac:dyDescent="0.3">
      <c r="A85" s="16" t="s">
        <v>10</v>
      </c>
      <c r="B85" s="13">
        <f>+B66+B84</f>
        <v>3914678.62</v>
      </c>
      <c r="C85" s="13">
        <f>+C66+C84</f>
        <v>3882001.1675409833</v>
      </c>
      <c r="D85" s="13">
        <f>+D66+D84</f>
        <v>11828744.469016394</v>
      </c>
      <c r="E85" s="13">
        <f>+E66+E84</f>
        <v>11785672.009016393</v>
      </c>
      <c r="F85" s="13">
        <f>+F66+F84</f>
        <v>24476955.839999996</v>
      </c>
      <c r="G85" s="17">
        <f>+F85/F85</f>
        <v>1</v>
      </c>
      <c r="I85" s="59"/>
      <c r="J85" s="59"/>
    </row>
    <row r="86" spans="1:12" x14ac:dyDescent="0.3">
      <c r="A86" s="43"/>
      <c r="B86" s="67"/>
      <c r="C86" s="67"/>
      <c r="D86" s="67"/>
      <c r="E86" s="67"/>
      <c r="F86" s="67"/>
      <c r="G86" s="83"/>
      <c r="I86" s="59"/>
      <c r="J86" s="59"/>
    </row>
    <row r="87" spans="1:12" x14ac:dyDescent="0.3">
      <c r="A87" s="81" t="s">
        <v>80</v>
      </c>
      <c r="B87" s="68" t="str">
        <f>+B3</f>
        <v>August</v>
      </c>
      <c r="C87" s="68" t="str">
        <f>+C3</f>
        <v>September</v>
      </c>
      <c r="D87" s="68" t="str">
        <f>+D3</f>
        <v>October</v>
      </c>
      <c r="E87" s="68" t="str">
        <f>+E3</f>
        <v>November</v>
      </c>
      <c r="F87" s="68" t="str">
        <f>+F3</f>
        <v>December</v>
      </c>
      <c r="G87" s="68" t="str">
        <f>+F87</f>
        <v>December</v>
      </c>
    </row>
    <row r="88" spans="1:12" x14ac:dyDescent="0.3">
      <c r="A88" s="24"/>
      <c r="B88" s="69"/>
      <c r="C88" s="69"/>
      <c r="D88" s="69"/>
      <c r="E88" s="69"/>
      <c r="F88" s="69"/>
      <c r="G88" s="31" t="s">
        <v>24</v>
      </c>
    </row>
    <row r="89" spans="1:12" s="38" customFormat="1" x14ac:dyDescent="0.3">
      <c r="A89" s="50" t="s">
        <v>11</v>
      </c>
      <c r="B89" s="70"/>
      <c r="C89" s="70"/>
      <c r="D89" s="70"/>
      <c r="E89" s="70"/>
      <c r="F89" s="70"/>
      <c r="G89" s="25"/>
    </row>
    <row r="90" spans="1:12" s="38" customFormat="1" x14ac:dyDescent="0.3">
      <c r="A90" s="72" t="str">
        <f>+A125</f>
        <v xml:space="preserve">Loans Interests </v>
      </c>
      <c r="B90" s="11">
        <v>0</v>
      </c>
      <c r="C90" s="11">
        <v>0</v>
      </c>
      <c r="D90" s="124">
        <f t="shared" ref="D90:F92" si="22">+D125-C125</f>
        <v>4500</v>
      </c>
      <c r="E90" s="124">
        <f t="shared" si="22"/>
        <v>35000</v>
      </c>
      <c r="F90" s="124">
        <f t="shared" si="22"/>
        <v>49343.630000000005</v>
      </c>
      <c r="G90" s="41">
        <f>SUM(B90:F90)</f>
        <v>88843.63</v>
      </c>
    </row>
    <row r="91" spans="1:12" s="38" customFormat="1" ht="13" x14ac:dyDescent="0.3">
      <c r="A91" s="72" t="str">
        <f>+A126</f>
        <v>Disbursement Fee</v>
      </c>
      <c r="B91" s="41">
        <v>0</v>
      </c>
      <c r="C91" s="124">
        <v>0</v>
      </c>
      <c r="D91" s="124">
        <f t="shared" si="22"/>
        <v>112.5</v>
      </c>
      <c r="E91" s="124">
        <f t="shared" si="22"/>
        <v>875</v>
      </c>
      <c r="F91" s="124">
        <f t="shared" si="22"/>
        <v>1422.8600000000001</v>
      </c>
      <c r="G91" s="41">
        <f t="shared" ref="G91:G92" si="23">SUM(B91:F91)</f>
        <v>2410.36</v>
      </c>
    </row>
    <row r="92" spans="1:12" s="38" customFormat="1" ht="13" x14ac:dyDescent="0.3">
      <c r="A92" s="72" t="str">
        <f>+A127</f>
        <v>Other Income</v>
      </c>
      <c r="B92" s="41">
        <f>+B127</f>
        <v>61.59</v>
      </c>
      <c r="C92" s="124">
        <f>+C127-B127</f>
        <v>191.4</v>
      </c>
      <c r="D92" s="124">
        <f t="shared" si="22"/>
        <v>192</v>
      </c>
      <c r="E92" s="124">
        <f t="shared" si="22"/>
        <v>5026.8000000000011</v>
      </c>
      <c r="F92" s="124">
        <f t="shared" si="22"/>
        <v>5484.8599999999969</v>
      </c>
      <c r="G92" s="41">
        <f t="shared" si="23"/>
        <v>10956.649999999998</v>
      </c>
    </row>
    <row r="93" spans="1:12" s="38" customFormat="1" ht="13" x14ac:dyDescent="0.3">
      <c r="A93" s="72" t="s">
        <v>8</v>
      </c>
      <c r="B93" s="124">
        <f t="shared" ref="B93:G93" si="24">SUM(B90:B92)</f>
        <v>61.59</v>
      </c>
      <c r="C93" s="124">
        <f t="shared" si="24"/>
        <v>191.4</v>
      </c>
      <c r="D93" s="124">
        <f t="shared" si="24"/>
        <v>4804.5</v>
      </c>
      <c r="E93" s="124">
        <f t="shared" si="24"/>
        <v>40901.800000000003</v>
      </c>
      <c r="F93" s="124">
        <f t="shared" si="24"/>
        <v>56251.350000000006</v>
      </c>
      <c r="G93" s="41">
        <f t="shared" si="24"/>
        <v>102210.64</v>
      </c>
    </row>
    <row r="94" spans="1:12" x14ac:dyDescent="0.3">
      <c r="A94" s="50"/>
      <c r="B94" s="11"/>
      <c r="C94" s="11"/>
      <c r="D94" s="11"/>
      <c r="E94" s="11"/>
      <c r="F94" s="11"/>
      <c r="G94" s="11"/>
    </row>
    <row r="95" spans="1:12" s="38" customFormat="1" x14ac:dyDescent="0.3">
      <c r="A95" s="50" t="s">
        <v>12</v>
      </c>
      <c r="B95" s="11"/>
      <c r="C95" s="11"/>
      <c r="D95" s="11"/>
      <c r="E95" s="11"/>
      <c r="F95" s="11"/>
      <c r="G95" s="11"/>
    </row>
    <row r="96" spans="1:12" s="38" customFormat="1" ht="13" x14ac:dyDescent="0.3">
      <c r="A96" s="72" t="str">
        <f t="shared" ref="A96:A97" si="25">+A131</f>
        <v>Management Fees</v>
      </c>
      <c r="B96" s="41">
        <f>+B131</f>
        <v>-26986.34</v>
      </c>
      <c r="C96" s="124">
        <f t="shared" ref="C96:F96" si="26">+C131-B131</f>
        <v>-36147.54098360661</v>
      </c>
      <c r="D96" s="124">
        <f t="shared" si="26"/>
        <v>-49822.349999999991</v>
      </c>
      <c r="E96" s="124">
        <f t="shared" si="26"/>
        <v>-68287.760000000009</v>
      </c>
      <c r="F96" s="124">
        <f t="shared" si="26"/>
        <v>-118390.7090163934</v>
      </c>
      <c r="G96" s="41">
        <f>SUM(B96:F96)</f>
        <v>-299634.7</v>
      </c>
    </row>
    <row r="97" spans="1:7" s="38" customFormat="1" ht="13" x14ac:dyDescent="0.3">
      <c r="A97" s="72" t="str">
        <f t="shared" si="25"/>
        <v>Senior Loans Interests</v>
      </c>
      <c r="B97" s="41">
        <f>+B132</f>
        <v>0</v>
      </c>
      <c r="C97" s="124">
        <f t="shared" ref="C97" si="27">+C132-B132</f>
        <v>0</v>
      </c>
      <c r="D97" s="124">
        <f t="shared" ref="D97" si="28">+D132-C132</f>
        <v>0</v>
      </c>
      <c r="E97" s="124">
        <f t="shared" ref="E97" si="29">+E132-D132</f>
        <v>0</v>
      </c>
      <c r="F97" s="124">
        <f t="shared" ref="F97" si="30">+F132-E132</f>
        <v>-35311.11</v>
      </c>
      <c r="G97" s="41">
        <f>SUM(B97:F97)</f>
        <v>-35311.11</v>
      </c>
    </row>
    <row r="98" spans="1:7" s="38" customFormat="1" ht="13" x14ac:dyDescent="0.3">
      <c r="A98" s="72" t="str">
        <f>+A133</f>
        <v>Senior Loans Fees</v>
      </c>
      <c r="B98" s="41">
        <v>0</v>
      </c>
      <c r="C98" s="124">
        <f t="shared" ref="C98:F101" si="31">+C133-B133</f>
        <v>-833.33</v>
      </c>
      <c r="D98" s="124">
        <f t="shared" si="31"/>
        <v>-5166.67</v>
      </c>
      <c r="E98" s="124">
        <f t="shared" si="31"/>
        <v>-10384.349999999999</v>
      </c>
      <c r="F98" s="124">
        <f t="shared" si="31"/>
        <v>-11563.730000000003</v>
      </c>
      <c r="G98" s="41">
        <f t="shared" ref="G98:G99" si="32">SUM(B98:F98)</f>
        <v>-27948.080000000002</v>
      </c>
    </row>
    <row r="99" spans="1:7" s="38" customFormat="1" ht="13" x14ac:dyDescent="0.3">
      <c r="A99" s="72" t="str">
        <f t="shared" ref="A99:B102" si="33">+A134</f>
        <v>Organizational Expenses</v>
      </c>
      <c r="B99" s="41">
        <f t="shared" si="33"/>
        <v>-108091.63</v>
      </c>
      <c r="C99" s="124">
        <f t="shared" si="31"/>
        <v>0</v>
      </c>
      <c r="D99" s="124">
        <f t="shared" si="31"/>
        <v>0</v>
      </c>
      <c r="E99" s="124">
        <f t="shared" si="31"/>
        <v>0</v>
      </c>
      <c r="F99" s="124">
        <f t="shared" si="31"/>
        <v>0</v>
      </c>
      <c r="G99" s="41">
        <f t="shared" si="32"/>
        <v>-108091.63</v>
      </c>
    </row>
    <row r="100" spans="1:7" s="80" customFormat="1" ht="10" x14ac:dyDescent="0.2">
      <c r="A100" s="107" t="str">
        <f t="shared" si="33"/>
        <v>Non-legal pre-operational expenses</v>
      </c>
      <c r="B100" s="49">
        <f t="shared" si="33"/>
        <v>-91234.67</v>
      </c>
      <c r="C100" s="49">
        <f t="shared" si="31"/>
        <v>0</v>
      </c>
      <c r="D100" s="49">
        <f t="shared" si="31"/>
        <v>0</v>
      </c>
      <c r="E100" s="49">
        <f t="shared" si="31"/>
        <v>0</v>
      </c>
      <c r="F100" s="49">
        <f t="shared" si="31"/>
        <v>0</v>
      </c>
      <c r="G100" s="49">
        <f>SUM(B100:F100)</f>
        <v>-91234.67</v>
      </c>
    </row>
    <row r="101" spans="1:7" s="80" customFormat="1" ht="10" x14ac:dyDescent="0.2">
      <c r="A101" s="107" t="str">
        <f t="shared" si="33"/>
        <v>Legal expenses</v>
      </c>
      <c r="B101" s="49">
        <f t="shared" si="33"/>
        <v>-16856.96</v>
      </c>
      <c r="C101" s="49">
        <f t="shared" si="31"/>
        <v>0</v>
      </c>
      <c r="D101" s="49">
        <f t="shared" si="31"/>
        <v>0</v>
      </c>
      <c r="E101" s="49">
        <f t="shared" si="31"/>
        <v>0</v>
      </c>
      <c r="F101" s="49">
        <f t="shared" si="31"/>
        <v>0</v>
      </c>
      <c r="G101" s="49">
        <f>SUM(B101:F101)</f>
        <v>-16856.96</v>
      </c>
    </row>
    <row r="102" spans="1:7" s="38" customFormat="1" ht="13" x14ac:dyDescent="0.3">
      <c r="A102" s="72" t="str">
        <f t="shared" si="33"/>
        <v>Legal Expenses</v>
      </c>
      <c r="B102" s="41">
        <v>0</v>
      </c>
      <c r="C102" s="124">
        <v>0</v>
      </c>
      <c r="D102" s="124">
        <f>+D137-C137</f>
        <v>-4785.16</v>
      </c>
      <c r="E102" s="124">
        <f>+E137-D137</f>
        <v>-10227.15</v>
      </c>
      <c r="F102" s="124">
        <f>+F137-E137</f>
        <v>-65758.2</v>
      </c>
      <c r="G102" s="117">
        <f>SUM(B102:F102)</f>
        <v>-80770.509999999995</v>
      </c>
    </row>
    <row r="103" spans="1:7" s="80" customFormat="1" ht="10" x14ac:dyDescent="0.2">
      <c r="A103" s="107" t="str">
        <f t="shared" ref="A103" si="34">+A138</f>
        <v>Operational - Legal Expenses</v>
      </c>
      <c r="B103" s="118">
        <v>0</v>
      </c>
      <c r="C103" s="118">
        <v>0</v>
      </c>
      <c r="D103" s="118">
        <f t="shared" ref="D103:F105" si="35">+D138-C138</f>
        <v>0</v>
      </c>
      <c r="E103" s="118">
        <f t="shared" si="35"/>
        <v>0</v>
      </c>
      <c r="F103" s="118">
        <f t="shared" si="35"/>
        <v>-1459.77</v>
      </c>
      <c r="G103" s="119">
        <f>SUM(B103:F103)</f>
        <v>-1459.77</v>
      </c>
    </row>
    <row r="104" spans="1:7" s="80" customFormat="1" ht="10" x14ac:dyDescent="0.2">
      <c r="A104" s="107" t="str">
        <f t="shared" ref="A104:A106" si="36">+A139</f>
        <v>Senior Loans - Legal Expenses</v>
      </c>
      <c r="B104" s="118">
        <v>0</v>
      </c>
      <c r="C104" s="118">
        <v>0</v>
      </c>
      <c r="D104" s="118">
        <f t="shared" si="35"/>
        <v>-4785.16</v>
      </c>
      <c r="E104" s="118">
        <f t="shared" si="35"/>
        <v>-10227.15</v>
      </c>
      <c r="F104" s="118">
        <f t="shared" si="35"/>
        <v>-64298.429999999993</v>
      </c>
      <c r="G104" s="119">
        <f>SUM(B104:F104)</f>
        <v>-79310.739999999991</v>
      </c>
    </row>
    <row r="105" spans="1:7" s="116" customFormat="1" ht="9" hidden="1" x14ac:dyDescent="0.2">
      <c r="A105" s="114" t="str">
        <f t="shared" si="36"/>
        <v>Davies</v>
      </c>
      <c r="B105" s="120"/>
      <c r="C105" s="120"/>
      <c r="D105" s="120">
        <f t="shared" si="35"/>
        <v>-3710.16</v>
      </c>
      <c r="E105" s="120">
        <f t="shared" si="35"/>
        <v>-9152.15</v>
      </c>
      <c r="F105" s="120">
        <f t="shared" si="35"/>
        <v>-31073.43</v>
      </c>
      <c r="G105" s="122">
        <f>SUM(B105:D105)</f>
        <v>-3710.16</v>
      </c>
    </row>
    <row r="106" spans="1:7" s="116" customFormat="1" ht="9" hidden="1" x14ac:dyDescent="0.2">
      <c r="A106" s="114" t="str">
        <f t="shared" si="36"/>
        <v>Cogency Global</v>
      </c>
      <c r="B106" s="120"/>
      <c r="C106" s="120"/>
      <c r="D106" s="120">
        <f t="shared" ref="D106:F106" si="37">+D141-C141</f>
        <v>-1075</v>
      </c>
      <c r="E106" s="120">
        <f t="shared" si="37"/>
        <v>-1075</v>
      </c>
      <c r="F106" s="120">
        <f t="shared" si="37"/>
        <v>-3225</v>
      </c>
      <c r="G106" s="122">
        <f>SUM(B106:D106)</f>
        <v>-1075</v>
      </c>
    </row>
    <row r="107" spans="1:7" s="38" customFormat="1" ht="13" x14ac:dyDescent="0.3">
      <c r="A107" s="72" t="str">
        <f>+A143</f>
        <v>Bank and Account Charges</v>
      </c>
      <c r="B107" s="41">
        <f>+B143</f>
        <v>-305</v>
      </c>
      <c r="C107" s="124">
        <f>+C143-B143</f>
        <v>0</v>
      </c>
      <c r="D107" s="124">
        <f>+D143-C143</f>
        <v>-175</v>
      </c>
      <c r="E107" s="124">
        <f>+E143-D143</f>
        <v>-75</v>
      </c>
      <c r="F107" s="124">
        <f>+F143-E143</f>
        <v>-600</v>
      </c>
      <c r="G107" s="41">
        <f>SUM(B107:F107)</f>
        <v>-1155</v>
      </c>
    </row>
    <row r="108" spans="1:7" s="38" customFormat="1" ht="13" x14ac:dyDescent="0.3">
      <c r="A108" s="72" t="str">
        <f t="shared" ref="A108:A111" si="38">+A144</f>
        <v>Credit Committe Meetings Costs</v>
      </c>
      <c r="B108" s="41">
        <v>0</v>
      </c>
      <c r="C108" s="124">
        <v>0</v>
      </c>
      <c r="D108" s="124">
        <f t="shared" ref="D108:F108" si="39">+D144-C144</f>
        <v>0</v>
      </c>
      <c r="E108" s="124">
        <f t="shared" si="39"/>
        <v>-2000</v>
      </c>
      <c r="F108" s="124">
        <f t="shared" si="39"/>
        <v>-750</v>
      </c>
      <c r="G108" s="41">
        <f>SUM(B108:F108)</f>
        <v>-2750</v>
      </c>
    </row>
    <row r="109" spans="1:7" s="38" customFormat="1" ht="13" x14ac:dyDescent="0.3">
      <c r="A109" s="72" t="str">
        <f t="shared" si="38"/>
        <v>Advisory Committee Meetings Costs</v>
      </c>
      <c r="B109" s="41">
        <v>0</v>
      </c>
      <c r="C109" s="124">
        <v>0</v>
      </c>
      <c r="D109" s="124">
        <f t="shared" ref="D109:F109" si="40">+D145-C145</f>
        <v>0</v>
      </c>
      <c r="E109" s="124">
        <f t="shared" si="40"/>
        <v>-3750</v>
      </c>
      <c r="F109" s="124">
        <f t="shared" si="40"/>
        <v>3750</v>
      </c>
      <c r="G109" s="41">
        <f>SUM(B109:F109)</f>
        <v>0</v>
      </c>
    </row>
    <row r="110" spans="1:7" s="38" customFormat="1" ht="13" x14ac:dyDescent="0.3">
      <c r="A110" s="72" t="str">
        <f t="shared" si="38"/>
        <v>External Audit and Report Expenses</v>
      </c>
      <c r="B110" s="41">
        <v>0</v>
      </c>
      <c r="C110" s="124">
        <v>0</v>
      </c>
      <c r="D110" s="124">
        <f t="shared" ref="D110" si="41">+D146-C146</f>
        <v>0</v>
      </c>
      <c r="E110" s="124">
        <f t="shared" ref="E110:F110" si="42">+E146-D146</f>
        <v>-10000</v>
      </c>
      <c r="F110" s="124">
        <f t="shared" si="42"/>
        <v>-9800</v>
      </c>
      <c r="G110" s="41">
        <f>SUM(B110:F110)</f>
        <v>-19800</v>
      </c>
    </row>
    <row r="111" spans="1:7" s="38" customFormat="1" ht="13" x14ac:dyDescent="0.3">
      <c r="A111" s="72" t="str">
        <f t="shared" si="38"/>
        <v>Others</v>
      </c>
      <c r="B111" s="41">
        <v>0</v>
      </c>
      <c r="C111" s="124">
        <v>0</v>
      </c>
      <c r="D111" s="124">
        <f t="shared" ref="D111" si="43">+D147-C147</f>
        <v>0</v>
      </c>
      <c r="E111" s="124">
        <f t="shared" ref="E111" si="44">+E147-D147</f>
        <v>0</v>
      </c>
      <c r="F111" s="124">
        <f t="shared" ref="F111" si="45">+F147-E147</f>
        <v>-1359.19</v>
      </c>
      <c r="G111" s="41">
        <f>SUM(B111:F111)</f>
        <v>-1359.19</v>
      </c>
    </row>
    <row r="112" spans="1:7" s="38" customFormat="1" ht="13" x14ac:dyDescent="0.3">
      <c r="A112" s="72" t="str">
        <f>+A148</f>
        <v>TOTAL EXPENSES</v>
      </c>
      <c r="B112" s="41">
        <f t="shared" ref="B112:D112" si="46">+B96+B99+B107+B98+B102</f>
        <v>-135382.97</v>
      </c>
      <c r="C112" s="41">
        <f t="shared" si="46"/>
        <v>-36980.870983606612</v>
      </c>
      <c r="D112" s="41">
        <f t="shared" si="46"/>
        <v>-59949.179999999993</v>
      </c>
      <c r="E112" s="41">
        <f>+E96+E99+E107+E98+E102+E108+E109+E110</f>
        <v>-104724.26000000001</v>
      </c>
      <c r="F112" s="41">
        <f>+F96+F99+F107+F98+F102+F108+F109+F110+F111+F97</f>
        <v>-239782.93901639339</v>
      </c>
      <c r="G112" s="41">
        <f>+G96+G99+G107+G98+G102+G108+G109+G110+G111+G97</f>
        <v>-576820.22</v>
      </c>
    </row>
    <row r="113" spans="1:7" x14ac:dyDescent="0.3">
      <c r="A113" s="23"/>
      <c r="B113" s="71"/>
      <c r="C113" s="71"/>
      <c r="D113" s="71"/>
      <c r="E113" s="71"/>
      <c r="F113" s="71"/>
      <c r="G113" s="71"/>
    </row>
    <row r="114" spans="1:7" x14ac:dyDescent="0.3">
      <c r="A114" s="16" t="s">
        <v>118</v>
      </c>
      <c r="B114" s="13">
        <f t="shared" ref="B114:G114" si="47">+B93+B112</f>
        <v>-135321.38</v>
      </c>
      <c r="C114" s="13">
        <f t="shared" si="47"/>
        <v>-36789.47098360661</v>
      </c>
      <c r="D114" s="13">
        <f t="shared" si="47"/>
        <v>-55144.679999999993</v>
      </c>
      <c r="E114" s="130">
        <f t="shared" si="47"/>
        <v>-63822.460000000006</v>
      </c>
      <c r="F114" s="13">
        <f t="shared" si="47"/>
        <v>-183531.58901639338</v>
      </c>
      <c r="G114" s="13">
        <f t="shared" si="47"/>
        <v>-474609.57999999996</v>
      </c>
    </row>
    <row r="115" spans="1:7" x14ac:dyDescent="0.3">
      <c r="A115" s="77"/>
      <c r="B115" s="40"/>
      <c r="C115" s="40"/>
      <c r="D115" s="40"/>
      <c r="E115" s="40"/>
      <c r="F115" s="40"/>
      <c r="G115" s="25"/>
    </row>
    <row r="116" spans="1:7" x14ac:dyDescent="0.3">
      <c r="A116" s="9" t="s">
        <v>54</v>
      </c>
      <c r="B116" s="137">
        <v>0</v>
      </c>
      <c r="C116" s="137">
        <v>0</v>
      </c>
      <c r="D116" s="137">
        <v>0</v>
      </c>
      <c r="E116" s="137">
        <v>0</v>
      </c>
      <c r="F116" s="137">
        <f>+F152</f>
        <v>-20132.800000000003</v>
      </c>
      <c r="G116" s="137">
        <f>SUM(B116:F116)</f>
        <v>-20132.800000000003</v>
      </c>
    </row>
    <row r="117" spans="1:7" x14ac:dyDescent="0.3">
      <c r="A117" s="39"/>
      <c r="B117" s="140"/>
      <c r="C117" s="139"/>
      <c r="D117" s="140"/>
      <c r="E117" s="139"/>
      <c r="F117" s="135"/>
      <c r="G117" s="5"/>
    </row>
    <row r="118" spans="1:7" x14ac:dyDescent="0.3">
      <c r="A118" s="12" t="s">
        <v>119</v>
      </c>
      <c r="B118" s="138">
        <f t="shared" ref="B118:E118" si="48">+B114+B116</f>
        <v>-135321.38</v>
      </c>
      <c r="C118" s="138">
        <f t="shared" si="48"/>
        <v>-36789.47098360661</v>
      </c>
      <c r="D118" s="138">
        <f t="shared" si="48"/>
        <v>-55144.679999999993</v>
      </c>
      <c r="E118" s="138">
        <f t="shared" si="48"/>
        <v>-63822.460000000006</v>
      </c>
      <c r="F118" s="138">
        <f>+F114+F116</f>
        <v>-203664.3890163934</v>
      </c>
      <c r="G118" s="138">
        <f>+G114+G116</f>
        <v>-494742.37999999995</v>
      </c>
    </row>
    <row r="119" spans="1:7" x14ac:dyDescent="0.3">
      <c r="A119" s="43"/>
      <c r="B119" s="14"/>
      <c r="C119" s="14"/>
      <c r="D119" s="14"/>
      <c r="E119" s="14"/>
      <c r="F119" s="14"/>
      <c r="G119" s="14"/>
    </row>
    <row r="120" spans="1:7" x14ac:dyDescent="0.3">
      <c r="A120" s="43"/>
      <c r="B120" s="14"/>
      <c r="C120" s="128"/>
      <c r="D120" s="128"/>
      <c r="E120" s="128"/>
      <c r="F120" s="128"/>
      <c r="G120" s="84"/>
    </row>
    <row r="121" spans="1:7" x14ac:dyDescent="0.3">
      <c r="A121" s="43"/>
      <c r="B121" s="60"/>
      <c r="C121" s="129"/>
      <c r="D121" s="129"/>
      <c r="E121" s="129"/>
      <c r="F121" s="129"/>
      <c r="G121" s="85"/>
    </row>
    <row r="122" spans="1:7" x14ac:dyDescent="0.3">
      <c r="A122" s="25" t="s">
        <v>81</v>
      </c>
      <c r="B122" s="70"/>
      <c r="C122" s="70"/>
      <c r="D122" s="70"/>
      <c r="E122" s="70"/>
      <c r="F122" s="70"/>
      <c r="G122" s="36"/>
    </row>
    <row r="123" spans="1:7" x14ac:dyDescent="0.3">
      <c r="A123" s="50"/>
      <c r="B123" s="11"/>
      <c r="C123" s="11"/>
      <c r="D123" s="11"/>
      <c r="E123" s="11"/>
      <c r="F123" s="11"/>
      <c r="G123" s="64"/>
    </row>
    <row r="124" spans="1:7" s="38" customFormat="1" x14ac:dyDescent="0.3">
      <c r="A124" s="50" t="s">
        <v>11</v>
      </c>
      <c r="B124" s="11"/>
      <c r="C124" s="11"/>
      <c r="D124" s="11"/>
      <c r="E124" s="11"/>
      <c r="F124" s="11"/>
      <c r="G124" s="64"/>
    </row>
    <row r="125" spans="1:7" s="38" customFormat="1" ht="13" x14ac:dyDescent="0.3">
      <c r="A125" s="72" t="s">
        <v>35</v>
      </c>
      <c r="B125" s="41">
        <v>0</v>
      </c>
      <c r="C125" s="124">
        <v>0</v>
      </c>
      <c r="D125" s="124">
        <v>4500</v>
      </c>
      <c r="E125" s="124">
        <f>4500+35000</f>
        <v>39500</v>
      </c>
      <c r="F125" s="124">
        <v>88843.63</v>
      </c>
      <c r="G125" s="89"/>
    </row>
    <row r="126" spans="1:7" s="38" customFormat="1" ht="13" x14ac:dyDescent="0.3">
      <c r="A126" s="72" t="s">
        <v>102</v>
      </c>
      <c r="B126" s="41">
        <v>0</v>
      </c>
      <c r="C126" s="124">
        <v>0</v>
      </c>
      <c r="D126" s="124">
        <v>112.5</v>
      </c>
      <c r="E126" s="124">
        <f>112.5+875</f>
        <v>987.5</v>
      </c>
      <c r="F126" s="124">
        <v>2410.36</v>
      </c>
      <c r="G126" s="89"/>
    </row>
    <row r="127" spans="1:7" s="38" customFormat="1" ht="13" x14ac:dyDescent="0.3">
      <c r="A127" s="72" t="s">
        <v>89</v>
      </c>
      <c r="B127" s="41">
        <v>61.59</v>
      </c>
      <c r="C127" s="124">
        <v>252.99</v>
      </c>
      <c r="D127" s="124">
        <f>252.99+192</f>
        <v>444.99</v>
      </c>
      <c r="E127" s="152">
        <f>252.99+192+292.1+28058.32-23323.62</f>
        <v>5471.7900000000009</v>
      </c>
      <c r="F127" s="124">
        <f>32965.1+1315.17-23323.62</f>
        <v>10956.649999999998</v>
      </c>
      <c r="G127" s="89"/>
    </row>
    <row r="128" spans="1:7" x14ac:dyDescent="0.3">
      <c r="A128" s="50" t="s">
        <v>8</v>
      </c>
      <c r="B128" s="11">
        <f>SUM(B125:B127)</f>
        <v>61.59</v>
      </c>
      <c r="C128" s="11">
        <f>SUM(C125:C127)</f>
        <v>252.99</v>
      </c>
      <c r="D128" s="11">
        <f>SUM(D125:D127)</f>
        <v>5057.49</v>
      </c>
      <c r="E128" s="11">
        <f>SUM(E125:E127)</f>
        <v>45959.29</v>
      </c>
      <c r="F128" s="11">
        <f>SUM(F125:F127)</f>
        <v>102210.64</v>
      </c>
      <c r="G128" s="36"/>
    </row>
    <row r="129" spans="1:7" x14ac:dyDescent="0.3">
      <c r="A129" s="50"/>
      <c r="B129" s="11"/>
      <c r="C129" s="11"/>
      <c r="D129" s="11"/>
      <c r="E129" s="11"/>
      <c r="F129" s="11"/>
      <c r="G129" s="76"/>
    </row>
    <row r="130" spans="1:7" s="38" customFormat="1" x14ac:dyDescent="0.3">
      <c r="A130" s="50" t="s">
        <v>12</v>
      </c>
      <c r="B130" s="11"/>
      <c r="C130" s="11"/>
      <c r="D130" s="11"/>
      <c r="E130" s="11"/>
      <c r="F130" s="11"/>
      <c r="G130" s="36"/>
    </row>
    <row r="131" spans="1:7" s="38" customFormat="1" ht="13" x14ac:dyDescent="0.3">
      <c r="A131" s="72" t="s">
        <v>13</v>
      </c>
      <c r="B131" s="41">
        <v>-26986.34</v>
      </c>
      <c r="C131" s="124">
        <v>-63133.880983606607</v>
      </c>
      <c r="D131" s="124">
        <f>-63133.8809836066-54292.35+4470</f>
        <v>-112956.2309836066</v>
      </c>
      <c r="E131" s="124">
        <f>-63133.8809836066-54292.35+4470-52540.98-4426.23-15300.55+1980+2000</f>
        <v>-181243.99098360661</v>
      </c>
      <c r="F131" s="124">
        <v>-299634.7</v>
      </c>
      <c r="G131" s="111"/>
    </row>
    <row r="132" spans="1:7" s="38" customFormat="1" ht="13" x14ac:dyDescent="0.3">
      <c r="A132" s="72" t="s">
        <v>62</v>
      </c>
      <c r="B132" s="41">
        <v>0</v>
      </c>
      <c r="C132" s="124">
        <v>0</v>
      </c>
      <c r="D132" s="124">
        <v>0</v>
      </c>
      <c r="E132" s="124">
        <v>0</v>
      </c>
      <c r="F132" s="124">
        <f>-24111.11-11200</f>
        <v>-35311.11</v>
      </c>
      <c r="G132" s="111"/>
    </row>
    <row r="133" spans="1:7" s="38" customFormat="1" ht="13" x14ac:dyDescent="0.3">
      <c r="A133" s="72" t="s">
        <v>120</v>
      </c>
      <c r="B133" s="41">
        <v>0</v>
      </c>
      <c r="C133" s="124">
        <v>-833.33</v>
      </c>
      <c r="D133" s="124">
        <f>-833.33-5166.67</f>
        <v>-6000</v>
      </c>
      <c r="E133" s="124">
        <f>-833.33-5166.67-5000-384.35-5000</f>
        <v>-16384.349999999999</v>
      </c>
      <c r="F133" s="124">
        <v>-27948.080000000002</v>
      </c>
      <c r="G133" s="111"/>
    </row>
    <row r="134" spans="1:7" s="38" customFormat="1" ht="13" x14ac:dyDescent="0.3">
      <c r="A134" s="72" t="s">
        <v>97</v>
      </c>
      <c r="B134" s="41">
        <f>+B135+B136</f>
        <v>-108091.63</v>
      </c>
      <c r="C134" s="124">
        <f>+C135+C136</f>
        <v>-108091.63</v>
      </c>
      <c r="D134" s="124">
        <f>+D135+D136</f>
        <v>-108091.63</v>
      </c>
      <c r="E134" s="124">
        <f>+E135+E136</f>
        <v>-108091.63</v>
      </c>
      <c r="F134" s="124">
        <f>+F135+F136</f>
        <v>-108091.63</v>
      </c>
      <c r="G134" s="87"/>
    </row>
    <row r="135" spans="1:7" s="80" customFormat="1" ht="10" x14ac:dyDescent="0.2">
      <c r="A135" s="107" t="s">
        <v>98</v>
      </c>
      <c r="B135" s="49">
        <v>-91234.67</v>
      </c>
      <c r="C135" s="49">
        <v>-91234.67</v>
      </c>
      <c r="D135" s="49">
        <v>-91234.67</v>
      </c>
      <c r="E135" s="49">
        <v>-91234.67</v>
      </c>
      <c r="F135" s="49">
        <v>-91234.67</v>
      </c>
      <c r="G135" s="108"/>
    </row>
    <row r="136" spans="1:7" s="80" customFormat="1" ht="10" x14ac:dyDescent="0.2">
      <c r="A136" s="107" t="s">
        <v>99</v>
      </c>
      <c r="B136" s="49">
        <v>-16856.96</v>
      </c>
      <c r="C136" s="49">
        <v>-16856.96</v>
      </c>
      <c r="D136" s="49">
        <v>-16856.96</v>
      </c>
      <c r="E136" s="49">
        <v>-16856.96</v>
      </c>
      <c r="F136" s="49">
        <v>-16856.96</v>
      </c>
      <c r="G136" s="108"/>
    </row>
    <row r="137" spans="1:7" s="38" customFormat="1" ht="13" x14ac:dyDescent="0.3">
      <c r="A137" s="72" t="s">
        <v>20</v>
      </c>
      <c r="B137" s="41">
        <f t="shared" ref="B137:C137" si="49">+B138+B139</f>
        <v>0</v>
      </c>
      <c r="C137" s="124">
        <f t="shared" si="49"/>
        <v>0</v>
      </c>
      <c r="D137" s="124">
        <f>+D138+D139</f>
        <v>-4785.16</v>
      </c>
      <c r="E137" s="124">
        <f>+E138+E139</f>
        <v>-15012.31</v>
      </c>
      <c r="F137" s="124">
        <f>+F138+F139</f>
        <v>-80770.509999999995</v>
      </c>
      <c r="G137" s="87"/>
    </row>
    <row r="138" spans="1:7" s="80" customFormat="1" ht="10" x14ac:dyDescent="0.2">
      <c r="A138" s="107" t="s">
        <v>107</v>
      </c>
      <c r="B138" s="118">
        <v>0</v>
      </c>
      <c r="C138" s="118">
        <v>0</v>
      </c>
      <c r="D138" s="118">
        <v>0</v>
      </c>
      <c r="E138" s="118">
        <v>0</v>
      </c>
      <c r="F138" s="118">
        <v>-1459.77</v>
      </c>
      <c r="G138" s="108"/>
    </row>
    <row r="139" spans="1:7" s="80" customFormat="1" ht="10" x14ac:dyDescent="0.2">
      <c r="A139" s="107" t="s">
        <v>106</v>
      </c>
      <c r="B139" s="118">
        <f t="shared" ref="B139:D139" si="50">+SUM(B140:B142)</f>
        <v>0</v>
      </c>
      <c r="C139" s="118">
        <f t="shared" si="50"/>
        <v>0</v>
      </c>
      <c r="D139" s="118">
        <f t="shared" si="50"/>
        <v>-4785.16</v>
      </c>
      <c r="E139" s="118">
        <f>+SUM(E140:E142)</f>
        <v>-15012.31</v>
      </c>
      <c r="F139" s="118">
        <f>+SUM(F140:F142)</f>
        <v>-79310.739999999991</v>
      </c>
      <c r="G139" s="108"/>
    </row>
    <row r="140" spans="1:7" s="116" customFormat="1" ht="9" x14ac:dyDescent="0.2">
      <c r="A140" s="114" t="s">
        <v>104</v>
      </c>
      <c r="B140" s="120">
        <v>0</v>
      </c>
      <c r="C140" s="120">
        <v>0</v>
      </c>
      <c r="D140" s="120">
        <v>-3710.16</v>
      </c>
      <c r="E140" s="120">
        <f>-3710.16-9152.15</f>
        <v>-12862.31</v>
      </c>
      <c r="F140" s="120">
        <f>-3710.16-9152.15-13517.58-3638.68-13917.17</f>
        <v>-43935.74</v>
      </c>
      <c r="G140" s="115"/>
    </row>
    <row r="141" spans="1:7" s="116" customFormat="1" ht="9" x14ac:dyDescent="0.2">
      <c r="A141" s="114" t="s">
        <v>108</v>
      </c>
      <c r="B141" s="120">
        <v>0</v>
      </c>
      <c r="C141" s="120">
        <v>0</v>
      </c>
      <c r="D141" s="120">
        <v>-1075</v>
      </c>
      <c r="E141" s="120">
        <f>-1075-1075</f>
        <v>-2150</v>
      </c>
      <c r="F141" s="120">
        <v>-5375</v>
      </c>
      <c r="G141" s="115"/>
    </row>
    <row r="142" spans="1:7" s="116" customFormat="1" ht="9" x14ac:dyDescent="0.2">
      <c r="A142" s="114" t="s">
        <v>117</v>
      </c>
      <c r="B142" s="120">
        <v>0</v>
      </c>
      <c r="C142" s="120">
        <v>0</v>
      </c>
      <c r="D142" s="120">
        <v>0</v>
      </c>
      <c r="E142" s="120">
        <v>0</v>
      </c>
      <c r="F142" s="120">
        <v>-30000</v>
      </c>
      <c r="G142" s="115"/>
    </row>
    <row r="143" spans="1:7" s="38" customFormat="1" ht="13" x14ac:dyDescent="0.3">
      <c r="A143" s="72" t="s">
        <v>23</v>
      </c>
      <c r="B143" s="41">
        <v>-305</v>
      </c>
      <c r="C143" s="124">
        <v>-305</v>
      </c>
      <c r="D143" s="124">
        <f>-305-35-140</f>
        <v>-480</v>
      </c>
      <c r="E143" s="124">
        <f>-305-35-140-75</f>
        <v>-555</v>
      </c>
      <c r="F143" s="124">
        <v>-1155</v>
      </c>
      <c r="G143" s="86"/>
    </row>
    <row r="144" spans="1:7" s="38" customFormat="1" ht="13" x14ac:dyDescent="0.3">
      <c r="A144" s="72" t="s">
        <v>56</v>
      </c>
      <c r="B144" s="41">
        <v>0</v>
      </c>
      <c r="C144" s="124">
        <v>0</v>
      </c>
      <c r="D144" s="124">
        <v>0</v>
      </c>
      <c r="E144" s="124">
        <v>-2000</v>
      </c>
      <c r="F144" s="124">
        <v>-2750</v>
      </c>
      <c r="G144" s="86"/>
    </row>
    <row r="145" spans="1:8" s="38" customFormat="1" ht="13" x14ac:dyDescent="0.3">
      <c r="A145" s="72" t="s">
        <v>68</v>
      </c>
      <c r="B145" s="41">
        <v>0</v>
      </c>
      <c r="C145" s="124">
        <v>0</v>
      </c>
      <c r="D145" s="124">
        <v>0</v>
      </c>
      <c r="E145" s="124">
        <v>-3750</v>
      </c>
      <c r="F145" s="124">
        <v>0</v>
      </c>
      <c r="G145" s="86"/>
    </row>
    <row r="146" spans="1:8" s="38" customFormat="1" ht="13" x14ac:dyDescent="0.3">
      <c r="A146" s="72" t="s">
        <v>110</v>
      </c>
      <c r="B146" s="41">
        <v>0</v>
      </c>
      <c r="C146" s="124">
        <v>0</v>
      </c>
      <c r="D146" s="124">
        <v>0</v>
      </c>
      <c r="E146" s="124">
        <v>-10000</v>
      </c>
      <c r="F146" s="124">
        <f>-9800-10000</f>
        <v>-19800</v>
      </c>
      <c r="G146" s="86"/>
    </row>
    <row r="147" spans="1:8" s="38" customFormat="1" ht="13" x14ac:dyDescent="0.3">
      <c r="A147" s="72" t="s">
        <v>22</v>
      </c>
      <c r="B147" s="41">
        <v>0</v>
      </c>
      <c r="C147" s="124">
        <v>0</v>
      </c>
      <c r="D147" s="124">
        <v>0</v>
      </c>
      <c r="E147" s="124">
        <v>0</v>
      </c>
      <c r="F147" s="124">
        <v>-1359.19</v>
      </c>
      <c r="G147" s="86"/>
    </row>
    <row r="148" spans="1:8" x14ac:dyDescent="0.3">
      <c r="A148" s="50" t="s">
        <v>14</v>
      </c>
      <c r="B148" s="11">
        <f t="shared" ref="B148:D148" si="51">+B131+B134+B143+B133+B137+B144+B145</f>
        <v>-135382.97</v>
      </c>
      <c r="C148" s="11">
        <f t="shared" si="51"/>
        <v>-172363.84098360661</v>
      </c>
      <c r="D148" s="11">
        <f t="shared" si="51"/>
        <v>-232313.02098360661</v>
      </c>
      <c r="E148" s="11">
        <f>+E131+E134+E143+E133+E137+E144+E145+E146</f>
        <v>-337037.28098360659</v>
      </c>
      <c r="F148" s="11">
        <f>+F131+F134+F143+F133+F137+F144+F145+F146+F132+F147</f>
        <v>-576820.22</v>
      </c>
      <c r="G148" s="36"/>
    </row>
    <row r="149" spans="1:8" x14ac:dyDescent="0.3">
      <c r="A149" s="23"/>
      <c r="B149" s="71"/>
      <c r="C149" s="71"/>
      <c r="D149" s="71"/>
      <c r="E149" s="71"/>
      <c r="F149" s="71"/>
      <c r="G149" s="36"/>
    </row>
    <row r="150" spans="1:8" x14ac:dyDescent="0.3">
      <c r="A150" s="16" t="s">
        <v>118</v>
      </c>
      <c r="B150" s="13">
        <f>+B128+B148</f>
        <v>-135321.38</v>
      </c>
      <c r="C150" s="13">
        <f>+C128+C148</f>
        <v>-172110.85098360662</v>
      </c>
      <c r="D150" s="13">
        <f>+D128+D148</f>
        <v>-227255.53098360662</v>
      </c>
      <c r="E150" s="130">
        <f>+E128+E148</f>
        <v>-291077.99098360661</v>
      </c>
      <c r="F150" s="13">
        <f>+F128+F148</f>
        <v>-474609.57999999996</v>
      </c>
      <c r="G150" s="84"/>
    </row>
    <row r="151" spans="1:8" x14ac:dyDescent="0.3">
      <c r="A151" s="77"/>
      <c r="B151" s="40"/>
      <c r="C151" s="40"/>
      <c r="D151" s="40"/>
      <c r="E151" s="40"/>
      <c r="F151" s="40"/>
      <c r="G151" s="84"/>
    </row>
    <row r="152" spans="1:8" x14ac:dyDescent="0.3">
      <c r="A152" s="9" t="s">
        <v>54</v>
      </c>
      <c r="B152" s="137">
        <v>0</v>
      </c>
      <c r="C152" s="137">
        <v>0</v>
      </c>
      <c r="D152" s="137">
        <v>0</v>
      </c>
      <c r="E152" s="137">
        <v>0</v>
      </c>
      <c r="F152" s="137">
        <f>101045.9-121178.7</f>
        <v>-20132.800000000003</v>
      </c>
      <c r="G152" s="151"/>
    </row>
    <row r="153" spans="1:8" x14ac:dyDescent="0.3">
      <c r="A153" s="39"/>
      <c r="B153" s="140"/>
      <c r="C153" s="139"/>
      <c r="D153" s="140"/>
      <c r="E153" s="139"/>
      <c r="F153" s="135"/>
      <c r="G153" s="84"/>
    </row>
    <row r="154" spans="1:8" x14ac:dyDescent="0.3">
      <c r="A154" s="12" t="s">
        <v>119</v>
      </c>
      <c r="B154" s="138">
        <f t="shared" ref="B154:E154" si="52">+B150+B152</f>
        <v>-135321.38</v>
      </c>
      <c r="C154" s="138">
        <f t="shared" si="52"/>
        <v>-172110.85098360662</v>
      </c>
      <c r="D154" s="138">
        <f t="shared" si="52"/>
        <v>-227255.53098360662</v>
      </c>
      <c r="E154" s="138">
        <f t="shared" si="52"/>
        <v>-291077.99098360661</v>
      </c>
      <c r="F154" s="138">
        <f>+F150+F152</f>
        <v>-494742.37999999995</v>
      </c>
      <c r="G154" s="90"/>
      <c r="H154" s="59"/>
    </row>
    <row r="156" spans="1:8" x14ac:dyDescent="0.3">
      <c r="A156" s="3"/>
      <c r="B156" s="93">
        <f>+B37-B85</f>
        <v>0</v>
      </c>
      <c r="C156" s="93">
        <f>+C37-C85</f>
        <v>2.4590166285634041E-3</v>
      </c>
      <c r="D156" s="93">
        <f>+D37-D85</f>
        <v>9.8360516130924225E-4</v>
      </c>
      <c r="E156" s="93">
        <f>+E37-E85</f>
        <v>-9.0163927525281906E-3</v>
      </c>
      <c r="F156" s="93">
        <f>+F37-F85</f>
        <v>0</v>
      </c>
      <c r="G156" s="90"/>
    </row>
    <row r="159" spans="1:8" x14ac:dyDescent="0.3">
      <c r="A159" s="3"/>
      <c r="B159" s="15"/>
      <c r="C159" s="15"/>
      <c r="D159" s="15"/>
      <c r="E159" s="15"/>
      <c r="F159" s="141"/>
    </row>
    <row r="160" spans="1:8" x14ac:dyDescent="0.3">
      <c r="A160" s="3"/>
      <c r="B160" s="90"/>
      <c r="C160" s="90"/>
      <c r="D160" s="90"/>
      <c r="E160" s="90"/>
      <c r="F160" s="26"/>
    </row>
    <row r="162" spans="1:6" x14ac:dyDescent="0.3">
      <c r="A162" s="3"/>
      <c r="B162" s="93"/>
      <c r="C162" s="93"/>
      <c r="D162" s="93"/>
      <c r="E162" s="93"/>
      <c r="F162" s="93"/>
    </row>
  </sheetData>
  <phoneticPr fontId="2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51A1-BA20-4525-8460-0E38FBABFC84}">
  <dimension ref="A1:M184"/>
  <sheetViews>
    <sheetView showGridLines="0" topLeftCell="A116" workbookViewId="0">
      <selection activeCell="A132" sqref="A132"/>
    </sheetView>
  </sheetViews>
  <sheetFormatPr defaultColWidth="11.453125" defaultRowHeight="14" x14ac:dyDescent="0.3"/>
  <cols>
    <col min="1" max="1" width="39.81640625" style="1" customWidth="1"/>
    <col min="2" max="4" width="18" style="1" customWidth="1"/>
    <col min="5" max="5" width="16.26953125" style="48" customWidth="1"/>
    <col min="6" max="6" width="17.453125" style="3" bestFit="1" customWidth="1"/>
    <col min="7" max="7" width="17.54296875" style="3" bestFit="1" customWidth="1"/>
    <col min="8" max="8" width="14.26953125" style="3" customWidth="1"/>
    <col min="9" max="9" width="16" style="3" bestFit="1" customWidth="1"/>
    <col min="10" max="16384" width="11.453125" style="3"/>
  </cols>
  <sheetData>
    <row r="1" spans="1:7" ht="15.5" x14ac:dyDescent="0.35">
      <c r="A1" s="27" t="s">
        <v>123</v>
      </c>
    </row>
    <row r="3" spans="1:7" ht="28" x14ac:dyDescent="0.3">
      <c r="A3" s="73" t="s">
        <v>124</v>
      </c>
      <c r="B3" s="2" t="s">
        <v>52</v>
      </c>
      <c r="C3" s="2" t="s">
        <v>55</v>
      </c>
      <c r="D3" s="2" t="s">
        <v>57</v>
      </c>
      <c r="E3" s="82" t="s">
        <v>25</v>
      </c>
    </row>
    <row r="4" spans="1:7" x14ac:dyDescent="0.3">
      <c r="A4" s="3"/>
      <c r="E4" s="36"/>
    </row>
    <row r="5" spans="1:7" x14ac:dyDescent="0.3">
      <c r="A5" s="25" t="s">
        <v>2</v>
      </c>
      <c r="B5" s="7"/>
      <c r="C5" s="7"/>
      <c r="D5" s="7"/>
      <c r="E5" s="20"/>
    </row>
    <row r="6" spans="1:7" x14ac:dyDescent="0.3">
      <c r="A6" s="50"/>
      <c r="B6" s="8"/>
      <c r="C6" s="8"/>
      <c r="D6" s="8"/>
      <c r="E6" s="18"/>
    </row>
    <row r="7" spans="1:7" x14ac:dyDescent="0.3">
      <c r="A7" s="50" t="s">
        <v>9</v>
      </c>
      <c r="B7" s="28">
        <f>+B8+B10+B9</f>
        <v>5772836.9100000001</v>
      </c>
      <c r="C7" s="28">
        <f>+C8+C10+C9</f>
        <v>8823443.9699999988</v>
      </c>
      <c r="D7" s="28">
        <f>+D8+D10+D9</f>
        <v>8283696.6600000001</v>
      </c>
      <c r="E7" s="18">
        <f>D7/$D$63</f>
        <v>0.23093834135409691</v>
      </c>
    </row>
    <row r="8" spans="1:7" s="21" customFormat="1" ht="13" x14ac:dyDescent="0.3">
      <c r="A8" s="72" t="s">
        <v>21</v>
      </c>
      <c r="B8" s="112">
        <v>5763609.1600000001</v>
      </c>
      <c r="C8" s="112">
        <v>8014216.2199999997</v>
      </c>
      <c r="D8" s="112">
        <v>8235026.6200000001</v>
      </c>
      <c r="E8" s="113">
        <f>+D8/$D$63</f>
        <v>0.2295814859823265</v>
      </c>
      <c r="F8" s="150"/>
    </row>
    <row r="9" spans="1:7" s="21" customFormat="1" ht="13" x14ac:dyDescent="0.3">
      <c r="A9" s="72" t="s">
        <v>121</v>
      </c>
      <c r="B9" s="112">
        <v>0</v>
      </c>
      <c r="C9" s="112">
        <v>0</v>
      </c>
      <c r="D9" s="112"/>
      <c r="E9" s="113">
        <f t="shared" ref="E9:E10" si="0">+D9/$D$63</f>
        <v>0</v>
      </c>
      <c r="F9" s="105"/>
    </row>
    <row r="10" spans="1:7" s="21" customFormat="1" x14ac:dyDescent="0.3">
      <c r="A10" s="72" t="s">
        <v>105</v>
      </c>
      <c r="B10" s="112">
        <v>9227.75</v>
      </c>
      <c r="C10" s="112">
        <v>809227.75</v>
      </c>
      <c r="D10" s="112">
        <v>48670.04</v>
      </c>
      <c r="E10" s="113">
        <f t="shared" si="0"/>
        <v>1.3568553717704037E-3</v>
      </c>
      <c r="F10" s="148"/>
      <c r="G10" s="76"/>
    </row>
    <row r="11" spans="1:7" x14ac:dyDescent="0.3">
      <c r="A11" s="50" t="s">
        <v>103</v>
      </c>
      <c r="B11" s="28">
        <f>+B21+B12</f>
        <v>18164580.170000002</v>
      </c>
      <c r="C11" s="28">
        <f>+C21+C12</f>
        <v>18983682.469999999</v>
      </c>
      <c r="D11" s="28">
        <f>+D21+D12</f>
        <v>27586036.410000004</v>
      </c>
      <c r="E11" s="18">
        <f>+D11/D63</f>
        <v>0.76906165864590303</v>
      </c>
      <c r="F11" s="76"/>
      <c r="G11" s="38"/>
    </row>
    <row r="12" spans="1:7" x14ac:dyDescent="0.3">
      <c r="A12" s="29" t="s">
        <v>127</v>
      </c>
      <c r="B12" s="28">
        <f>+B13</f>
        <v>4983063.8900000006</v>
      </c>
      <c r="C12" s="28">
        <f>+C13</f>
        <v>5017052.7799999993</v>
      </c>
      <c r="D12" s="28">
        <f>+D13+D17</f>
        <v>9047250</v>
      </c>
      <c r="E12" s="18">
        <f>+D12/D63</f>
        <v>0.25222518334173927</v>
      </c>
      <c r="F12" s="76"/>
      <c r="G12" s="38"/>
    </row>
    <row r="13" spans="1:7" s="38" customFormat="1" ht="13" x14ac:dyDescent="0.3">
      <c r="A13" s="72" t="s">
        <v>125</v>
      </c>
      <c r="B13" s="112">
        <f>SUM(B14:B16)</f>
        <v>4983063.8900000006</v>
      </c>
      <c r="C13" s="112">
        <f>SUM(C14:C16)</f>
        <v>5017052.7799999993</v>
      </c>
      <c r="D13" s="112">
        <f>SUM(D14:D16)</f>
        <v>5054683.34</v>
      </c>
      <c r="E13" s="113">
        <f t="shared" ref="E13:E20" si="1">+D13/$D$63</f>
        <v>0.14091778520168394</v>
      </c>
    </row>
    <row r="14" spans="1:7" s="38" customFormat="1" ht="13" x14ac:dyDescent="0.3">
      <c r="A14" s="72" t="s">
        <v>26</v>
      </c>
      <c r="B14" s="112">
        <v>5000000</v>
      </c>
      <c r="C14" s="112">
        <v>5000000</v>
      </c>
      <c r="D14" s="112">
        <v>5000000</v>
      </c>
      <c r="E14" s="113">
        <f t="shared" si="1"/>
        <v>0.13939328709925075</v>
      </c>
    </row>
    <row r="15" spans="1:7" s="38" customFormat="1" ht="13" x14ac:dyDescent="0.3">
      <c r="A15" s="72" t="s">
        <v>18</v>
      </c>
      <c r="B15" s="112">
        <v>22536.11</v>
      </c>
      <c r="C15" s="112">
        <v>55747.22</v>
      </c>
      <c r="D15" s="112">
        <v>92516.67</v>
      </c>
      <c r="E15" s="113">
        <f t="shared" si="1"/>
        <v>2.5792405485553279E-3</v>
      </c>
      <c r="F15" s="44"/>
    </row>
    <row r="16" spans="1:7" s="38" customFormat="1" ht="13" x14ac:dyDescent="0.3">
      <c r="A16" s="72" t="s">
        <v>101</v>
      </c>
      <c r="B16" s="112">
        <v>-39472.22</v>
      </c>
      <c r="C16" s="112">
        <v>-38694.44</v>
      </c>
      <c r="D16" s="112">
        <v>-37833.33</v>
      </c>
      <c r="E16" s="113">
        <f t="shared" si="1"/>
        <v>-1.0547424461221392E-3</v>
      </c>
      <c r="F16" s="44"/>
    </row>
    <row r="17" spans="1:9" s="38" customFormat="1" ht="13" x14ac:dyDescent="0.3">
      <c r="A17" s="72" t="s">
        <v>149</v>
      </c>
      <c r="B17" s="112">
        <f>SUM(B18:B20)</f>
        <v>0</v>
      </c>
      <c r="C17" s="112">
        <f>SUM(C18:C20)</f>
        <v>0</v>
      </c>
      <c r="D17" s="112">
        <f>SUM(D18:D20)</f>
        <v>3992566.66</v>
      </c>
      <c r="E17" s="113">
        <f t="shared" si="1"/>
        <v>0.11130739814005533</v>
      </c>
      <c r="F17" s="44"/>
    </row>
    <row r="18" spans="1:9" s="38" customFormat="1" ht="13" x14ac:dyDescent="0.3">
      <c r="A18" s="72" t="s">
        <v>26</v>
      </c>
      <c r="B18" s="112">
        <v>0</v>
      </c>
      <c r="C18" s="112">
        <v>0</v>
      </c>
      <c r="D18" s="112">
        <v>4000000</v>
      </c>
      <c r="E18" s="113">
        <f t="shared" si="1"/>
        <v>0.1115146296794006</v>
      </c>
    </row>
    <row r="19" spans="1:9" s="38" customFormat="1" ht="13" x14ac:dyDescent="0.3">
      <c r="A19" s="72" t="s">
        <v>18</v>
      </c>
      <c r="B19" s="112">
        <v>0</v>
      </c>
      <c r="C19" s="112">
        <v>0</v>
      </c>
      <c r="D19" s="112">
        <v>31733.33</v>
      </c>
      <c r="E19" s="113">
        <f t="shared" si="1"/>
        <v>8.846826358610534E-4</v>
      </c>
    </row>
    <row r="20" spans="1:9" s="38" customFormat="1" ht="13" x14ac:dyDescent="0.3">
      <c r="A20" s="72" t="s">
        <v>101</v>
      </c>
      <c r="B20" s="112">
        <v>0</v>
      </c>
      <c r="C20" s="112">
        <v>0</v>
      </c>
      <c r="D20" s="112">
        <v>-39166.67</v>
      </c>
      <c r="E20" s="113">
        <f t="shared" si="1"/>
        <v>-1.0919141752063221E-3</v>
      </c>
    </row>
    <row r="21" spans="1:9" s="38" customFormat="1" ht="13" x14ac:dyDescent="0.3">
      <c r="A21" s="72" t="s">
        <v>100</v>
      </c>
      <c r="B21" s="112">
        <f>+B22+B26+B30+B34+B38+B42+B46</f>
        <v>13181516.280000003</v>
      </c>
      <c r="C21" s="112">
        <f>+C22+C26+C30+C34+C38+C42+C46+C50</f>
        <v>13966629.690000001</v>
      </c>
      <c r="D21" s="112">
        <f>+D22+D26+D30+D34+D38+D42+D46+D50+D54+D58</f>
        <v>18538786.410000004</v>
      </c>
      <c r="E21" s="113">
        <f>+D21/D63</f>
        <v>0.51683647530416377</v>
      </c>
      <c r="F21" s="148"/>
      <c r="G21" s="148"/>
      <c r="I21" s="148"/>
    </row>
    <row r="22" spans="1:9" s="38" customFormat="1" ht="13" x14ac:dyDescent="0.3">
      <c r="A22" s="72" t="s">
        <v>128</v>
      </c>
      <c r="B22" s="112">
        <f>SUM(B23:B25)</f>
        <v>2977854.16</v>
      </c>
      <c r="C22" s="112">
        <f>SUM(C23:C25)</f>
        <v>3001770.83</v>
      </c>
      <c r="D22" s="112">
        <f t="shared" ref="D22" si="2">SUM(D23:D25)</f>
        <v>3028249.99</v>
      </c>
      <c r="E22" s="113">
        <f t="shared" ref="E22:E61" si="3">+D22/$D$63</f>
        <v>8.4423544052874652E-2</v>
      </c>
      <c r="F22" s="148"/>
      <c r="G22" s="148"/>
      <c r="I22" s="148"/>
    </row>
    <row r="23" spans="1:9" s="38" customFormat="1" ht="13" x14ac:dyDescent="0.3">
      <c r="A23" s="72" t="s">
        <v>26</v>
      </c>
      <c r="B23" s="112">
        <v>3000000</v>
      </c>
      <c r="C23" s="112">
        <v>3000000</v>
      </c>
      <c r="D23" s="112">
        <v>3000000</v>
      </c>
      <c r="E23" s="113">
        <f t="shared" si="3"/>
        <v>8.3635972259550453E-2</v>
      </c>
      <c r="F23" s="148"/>
      <c r="G23" s="46"/>
      <c r="I23" s="148"/>
    </row>
    <row r="24" spans="1:9" s="38" customFormat="1" ht="13" x14ac:dyDescent="0.3">
      <c r="A24" s="72" t="s">
        <v>18</v>
      </c>
      <c r="B24" s="112">
        <v>5833.33</v>
      </c>
      <c r="C24" s="112">
        <v>29166.66</v>
      </c>
      <c r="D24" s="112">
        <v>54999.99</v>
      </c>
      <c r="E24" s="113">
        <f t="shared" si="3"/>
        <v>1.5333258793051839E-3</v>
      </c>
      <c r="G24" s="44"/>
      <c r="H24" s="148"/>
      <c r="I24" s="148"/>
    </row>
    <row r="25" spans="1:9" s="38" customFormat="1" ht="13" x14ac:dyDescent="0.3">
      <c r="A25" s="72" t="s">
        <v>101</v>
      </c>
      <c r="B25" s="112">
        <v>-27979.17</v>
      </c>
      <c r="C25" s="112">
        <v>-27395.83</v>
      </c>
      <c r="D25" s="112">
        <v>-26750</v>
      </c>
      <c r="E25" s="113">
        <f t="shared" si="3"/>
        <v>-7.4575408598099148E-4</v>
      </c>
      <c r="G25" s="46"/>
      <c r="H25" s="148"/>
    </row>
    <row r="26" spans="1:9" s="38" customFormat="1" ht="13" x14ac:dyDescent="0.3">
      <c r="A26" s="72" t="s">
        <v>129</v>
      </c>
      <c r="B26" s="112">
        <f>SUM(B27:B29)</f>
        <v>1190441.6499999999</v>
      </c>
      <c r="C26" s="112">
        <f>SUM(C27:C29)</f>
        <v>1200008.32</v>
      </c>
      <c r="D26" s="112">
        <f t="shared" ref="D26" si="4">SUM(D27:D29)</f>
        <v>1210599.99</v>
      </c>
      <c r="E26" s="113">
        <f t="shared" si="3"/>
        <v>3.3749902393684014E-2</v>
      </c>
      <c r="H26" s="148"/>
    </row>
    <row r="27" spans="1:9" s="38" customFormat="1" ht="13" x14ac:dyDescent="0.3">
      <c r="A27" s="72" t="s">
        <v>26</v>
      </c>
      <c r="B27" s="112">
        <v>1200000</v>
      </c>
      <c r="C27" s="112">
        <v>1200000</v>
      </c>
      <c r="D27" s="112">
        <v>1200000</v>
      </c>
      <c r="E27" s="113">
        <f t="shared" si="3"/>
        <v>3.345438890382018E-2</v>
      </c>
      <c r="G27" s="148"/>
      <c r="H27" s="148"/>
    </row>
    <row r="28" spans="1:9" s="38" customFormat="1" ht="13" x14ac:dyDescent="0.3">
      <c r="A28" s="72" t="s">
        <v>18</v>
      </c>
      <c r="B28" s="112">
        <v>1666.66</v>
      </c>
      <c r="C28" s="112">
        <v>10999.99</v>
      </c>
      <c r="D28" s="112">
        <v>21333.32</v>
      </c>
      <c r="E28" s="113">
        <f t="shared" si="3"/>
        <v>5.9474431990803758E-4</v>
      </c>
      <c r="H28" s="148"/>
    </row>
    <row r="29" spans="1:9" s="38" customFormat="1" ht="13" x14ac:dyDescent="0.3">
      <c r="A29" s="72" t="s">
        <v>101</v>
      </c>
      <c r="B29" s="112">
        <v>-11225.01</v>
      </c>
      <c r="C29" s="112">
        <v>-10991.67</v>
      </c>
      <c r="D29" s="112">
        <v>-10733.33</v>
      </c>
      <c r="E29" s="113">
        <f t="shared" si="3"/>
        <v>-2.992308300442002E-4</v>
      </c>
      <c r="F29" s="148"/>
      <c r="H29" s="172"/>
    </row>
    <row r="30" spans="1:9" s="38" customFormat="1" ht="13" x14ac:dyDescent="0.3">
      <c r="A30" s="72" t="s">
        <v>111</v>
      </c>
      <c r="B30" s="112">
        <f>SUM(B31:B33)</f>
        <v>754227.88</v>
      </c>
      <c r="C30" s="112">
        <f>SUM(C31:C33)</f>
        <v>759631.34</v>
      </c>
      <c r="D30" s="112">
        <f t="shared" ref="D30" si="5">SUM(D31:D33)</f>
        <v>765326.02999999991</v>
      </c>
      <c r="E30" s="113">
        <f t="shared" si="3"/>
        <v>2.1336262204863957E-2</v>
      </c>
      <c r="F30" s="148"/>
      <c r="H30" s="148"/>
    </row>
    <row r="31" spans="1:9" s="38" customFormat="1" ht="13" x14ac:dyDescent="0.3">
      <c r="A31" s="72" t="s">
        <v>26</v>
      </c>
      <c r="B31" s="112">
        <v>750000</v>
      </c>
      <c r="C31" s="112">
        <v>750000</v>
      </c>
      <c r="D31" s="112">
        <v>750000</v>
      </c>
      <c r="E31" s="113">
        <f t="shared" si="3"/>
        <v>2.0908993064887613E-2</v>
      </c>
      <c r="F31" s="148"/>
      <c r="H31" s="172"/>
    </row>
    <row r="32" spans="1:9" s="38" customFormat="1" ht="13" x14ac:dyDescent="0.3">
      <c r="A32" s="72" t="s">
        <v>18</v>
      </c>
      <c r="B32" s="112">
        <v>9937.5</v>
      </c>
      <c r="C32" s="112">
        <v>15187.5</v>
      </c>
      <c r="D32" s="112">
        <v>20712.330000000002</v>
      </c>
      <c r="E32" s="113">
        <f t="shared" si="3"/>
        <v>5.7743195243688489E-4</v>
      </c>
      <c r="F32" s="148"/>
      <c r="H32" s="148"/>
    </row>
    <row r="33" spans="1:7" s="38" customFormat="1" ht="13" x14ac:dyDescent="0.3">
      <c r="A33" s="72" t="s">
        <v>101</v>
      </c>
      <c r="B33" s="112">
        <v>-5709.62</v>
      </c>
      <c r="C33" s="112">
        <v>-5556.16</v>
      </c>
      <c r="D33" s="112">
        <v>-5386.3</v>
      </c>
      <c r="E33" s="113">
        <f t="shared" si="3"/>
        <v>-1.5016281246053886E-4</v>
      </c>
    </row>
    <row r="34" spans="1:7" s="38" customFormat="1" ht="13" x14ac:dyDescent="0.3">
      <c r="A34" s="72" t="s">
        <v>112</v>
      </c>
      <c r="B34" s="112">
        <f>SUM(B35:B37)</f>
        <v>4801158.1999999993</v>
      </c>
      <c r="C34" s="112">
        <f>SUM(C35:C37)</f>
        <v>4740583.6199999992</v>
      </c>
      <c r="D34" s="112">
        <f t="shared" ref="D34" si="6">SUM(D35:D37)</f>
        <v>4546765.0200000005</v>
      </c>
      <c r="E34" s="113">
        <f t="shared" si="3"/>
        <v>0.12675770436113812</v>
      </c>
    </row>
    <row r="35" spans="1:7" s="38" customFormat="1" ht="13" x14ac:dyDescent="0.3">
      <c r="A35" s="72" t="s">
        <v>26</v>
      </c>
      <c r="B35" s="112">
        <v>4813890.3099999996</v>
      </c>
      <c r="C35" s="112">
        <v>4727650.72</v>
      </c>
      <c r="D35" s="112">
        <v>4585299.08</v>
      </c>
      <c r="E35" s="113">
        <f t="shared" si="3"/>
        <v>0.12783198221887407</v>
      </c>
    </row>
    <row r="36" spans="1:7" s="38" customFormat="1" ht="13" x14ac:dyDescent="0.3">
      <c r="A36" s="72" t="s">
        <v>18</v>
      </c>
      <c r="B36" s="112">
        <v>35462.33</v>
      </c>
      <c r="C36" s="112">
        <v>59831.05</v>
      </c>
      <c r="D36" s="112">
        <v>6928.9</v>
      </c>
      <c r="E36" s="113">
        <f t="shared" si="3"/>
        <v>1.9316842939639969E-4</v>
      </c>
      <c r="G36" s="148"/>
    </row>
    <row r="37" spans="1:7" s="38" customFormat="1" ht="13" x14ac:dyDescent="0.3">
      <c r="A37" s="72" t="s">
        <v>101</v>
      </c>
      <c r="B37" s="112">
        <v>-48194.44</v>
      </c>
      <c r="C37" s="112">
        <v>-46898.15</v>
      </c>
      <c r="D37" s="112">
        <v>-45462.96</v>
      </c>
      <c r="E37" s="113">
        <f t="shared" si="3"/>
        <v>-1.2674462871323504E-3</v>
      </c>
    </row>
    <row r="38" spans="1:7" s="38" customFormat="1" ht="13" x14ac:dyDescent="0.3">
      <c r="A38" s="72" t="s">
        <v>113</v>
      </c>
      <c r="B38" s="112">
        <f>SUM(B39:B41)</f>
        <v>1959959.6300000001</v>
      </c>
      <c r="C38" s="112">
        <f>SUM(C39:C41)</f>
        <v>1924952.14</v>
      </c>
      <c r="D38" s="112">
        <f t="shared" ref="D38" si="7">SUM(D39:D41)</f>
        <v>1973882.46</v>
      </c>
      <c r="E38" s="113">
        <f t="shared" si="3"/>
        <v>5.5029192889391065E-2</v>
      </c>
    </row>
    <row r="39" spans="1:7" s="38" customFormat="1" ht="13" x14ac:dyDescent="0.3">
      <c r="A39" s="72" t="s">
        <v>26</v>
      </c>
      <c r="B39" s="112">
        <v>1955361.94</v>
      </c>
      <c r="C39" s="112">
        <v>1900730.38</v>
      </c>
      <c r="D39" s="112">
        <v>1923776.24</v>
      </c>
      <c r="E39" s="113">
        <f t="shared" si="3"/>
        <v>5.3632298747407423E-2</v>
      </c>
    </row>
    <row r="40" spans="1:7" s="38" customFormat="1" ht="13" x14ac:dyDescent="0.3">
      <c r="A40" s="72" t="s">
        <v>18</v>
      </c>
      <c r="B40" s="112">
        <v>24139.35</v>
      </c>
      <c r="C40" s="112">
        <v>43374.54</v>
      </c>
      <c r="D40" s="112">
        <v>68828.44</v>
      </c>
      <c r="E40" s="113">
        <f t="shared" si="3"/>
        <v>1.918844499502711E-3</v>
      </c>
    </row>
    <row r="41" spans="1:7" s="38" customFormat="1" ht="13" x14ac:dyDescent="0.3">
      <c r="A41" s="72" t="s">
        <v>101</v>
      </c>
      <c r="B41" s="112">
        <v>-19541.66</v>
      </c>
      <c r="C41" s="112">
        <v>-19152.78</v>
      </c>
      <c r="D41" s="112">
        <v>-18722.22</v>
      </c>
      <c r="E41" s="113">
        <f t="shared" si="3"/>
        <v>-5.2195035751906695E-4</v>
      </c>
    </row>
    <row r="42" spans="1:7" s="38" customFormat="1" ht="13" x14ac:dyDescent="0.3">
      <c r="A42" s="72" t="s">
        <v>114</v>
      </c>
      <c r="B42" s="112">
        <f>SUM(B43:B45)</f>
        <v>500703.63</v>
      </c>
      <c r="C42" s="112">
        <f>SUM(C43:C45)</f>
        <v>505077.39999999997</v>
      </c>
      <c r="D42" s="112">
        <f t="shared" ref="D42" si="8">SUM(D43:D45)</f>
        <v>513530.51</v>
      </c>
      <c r="E42" s="113">
        <f t="shared" si="3"/>
        <v>1.4316541162930931E-2</v>
      </c>
    </row>
    <row r="43" spans="1:7" s="38" customFormat="1" ht="13" x14ac:dyDescent="0.3">
      <c r="A43" s="72" t="s">
        <v>26</v>
      </c>
      <c r="B43" s="112">
        <v>500321.74</v>
      </c>
      <c r="C43" s="112">
        <v>500506.67</v>
      </c>
      <c r="D43" s="112">
        <v>501573.2</v>
      </c>
      <c r="E43" s="113">
        <f t="shared" si="3"/>
        <v>1.3983187413777983E-2</v>
      </c>
    </row>
    <row r="44" spans="1:7" s="38" customFormat="1" ht="13" x14ac:dyDescent="0.3">
      <c r="A44" s="72" t="s">
        <v>18</v>
      </c>
      <c r="B44" s="112">
        <v>5238.37</v>
      </c>
      <c r="C44" s="112">
        <v>9316.1</v>
      </c>
      <c r="D44" s="112">
        <v>16559.16</v>
      </c>
      <c r="E44" s="113">
        <f t="shared" si="3"/>
        <v>4.616471488004858E-4</v>
      </c>
    </row>
    <row r="45" spans="1:7" s="38" customFormat="1" ht="13" x14ac:dyDescent="0.3">
      <c r="A45" s="72" t="s">
        <v>101</v>
      </c>
      <c r="B45" s="112">
        <v>-4856.4799999999996</v>
      </c>
      <c r="C45" s="112">
        <v>-4745.37</v>
      </c>
      <c r="D45" s="112">
        <v>-4601.8500000000004</v>
      </c>
      <c r="E45" s="113">
        <f t="shared" si="3"/>
        <v>-1.2829339964753742E-4</v>
      </c>
    </row>
    <row r="46" spans="1:7" s="38" customFormat="1" ht="13" x14ac:dyDescent="0.3">
      <c r="A46" s="72" t="s">
        <v>126</v>
      </c>
      <c r="B46" s="112">
        <f>SUM(B47:B49)</f>
        <v>997171.13</v>
      </c>
      <c r="C46" s="112">
        <f>SUM(C47:C49)</f>
        <v>1001021.65</v>
      </c>
      <c r="D46" s="112">
        <f t="shared" ref="D46" si="9">SUM(D47:D49)</f>
        <v>977467.05</v>
      </c>
      <c r="E46" s="113">
        <f t="shared" si="3"/>
        <v>2.725046902614154E-2</v>
      </c>
    </row>
    <row r="47" spans="1:7" s="38" customFormat="1" ht="13" x14ac:dyDescent="0.3">
      <c r="A47" s="72" t="s">
        <v>26</v>
      </c>
      <c r="B47" s="112">
        <v>994499.45</v>
      </c>
      <c r="C47" s="112">
        <v>991499.86</v>
      </c>
      <c r="D47" s="112">
        <v>963239.21</v>
      </c>
      <c r="E47" s="113">
        <f t="shared" si="3"/>
        <v>2.6853815948957097E-2</v>
      </c>
    </row>
    <row r="48" spans="1:7" s="38" customFormat="1" ht="13" x14ac:dyDescent="0.3">
      <c r="A48" s="72" t="s">
        <v>18</v>
      </c>
      <c r="B48" s="112">
        <v>4618.8999999999996</v>
      </c>
      <c r="C48" s="112">
        <v>11391.23</v>
      </c>
      <c r="D48" s="112">
        <v>16011.17</v>
      </c>
      <c r="E48" s="113">
        <f t="shared" si="3"/>
        <v>4.4636992332098213E-4</v>
      </c>
    </row>
    <row r="49" spans="1:7" s="38" customFormat="1" ht="13" x14ac:dyDescent="0.3">
      <c r="A49" s="72" t="s">
        <v>101</v>
      </c>
      <c r="B49" s="112">
        <v>-1947.22</v>
      </c>
      <c r="C49" s="112">
        <v>-1869.44</v>
      </c>
      <c r="D49" s="112">
        <v>-1783.33</v>
      </c>
      <c r="E49" s="113">
        <f t="shared" si="3"/>
        <v>-4.9716846136541363E-5</v>
      </c>
    </row>
    <row r="50" spans="1:7" s="38" customFormat="1" ht="13" x14ac:dyDescent="0.3">
      <c r="A50" s="72" t="s">
        <v>134</v>
      </c>
      <c r="B50" s="112">
        <f>SUM(B51:B53)</f>
        <v>0</v>
      </c>
      <c r="C50" s="112">
        <f>SUM(C51:C53)</f>
        <v>833584.39</v>
      </c>
      <c r="D50" s="112">
        <f t="shared" ref="D50" si="10">SUM(D51:D53)</f>
        <v>841166.17999999993</v>
      </c>
      <c r="E50" s="113">
        <f t="shared" si="3"/>
        <v>2.3450583765384003E-2</v>
      </c>
    </row>
    <row r="51" spans="1:7" s="38" customFormat="1" ht="13" x14ac:dyDescent="0.3">
      <c r="A51" s="72" t="s">
        <v>26</v>
      </c>
      <c r="B51" s="112">
        <v>0</v>
      </c>
      <c r="C51" s="112">
        <v>840000</v>
      </c>
      <c r="D51" s="112">
        <v>840000</v>
      </c>
      <c r="E51" s="113">
        <f t="shared" si="3"/>
        <v>2.3418072232674125E-2</v>
      </c>
    </row>
    <row r="52" spans="1:7" s="38" customFormat="1" ht="13" x14ac:dyDescent="0.3">
      <c r="A52" s="72" t="s">
        <v>18</v>
      </c>
      <c r="B52" s="112">
        <v>0</v>
      </c>
      <c r="C52" s="112">
        <v>1932</v>
      </c>
      <c r="D52" s="112">
        <v>9333.33</v>
      </c>
      <c r="E52" s="113">
        <f t="shared" si="3"/>
        <v>2.6020070965641001E-4</v>
      </c>
    </row>
    <row r="53" spans="1:7" s="38" customFormat="1" ht="13" x14ac:dyDescent="0.3">
      <c r="A53" s="72" t="s">
        <v>101</v>
      </c>
      <c r="B53" s="112">
        <v>0</v>
      </c>
      <c r="C53" s="112">
        <v>-8347.61</v>
      </c>
      <c r="D53" s="112">
        <v>-8167.15</v>
      </c>
      <c r="E53" s="113">
        <f t="shared" si="3"/>
        <v>-2.2768917694652915E-4</v>
      </c>
    </row>
    <row r="54" spans="1:7" s="38" customFormat="1" ht="13" x14ac:dyDescent="0.3">
      <c r="A54" s="72" t="s">
        <v>150</v>
      </c>
      <c r="B54" s="112">
        <f>SUM(B55:B57)</f>
        <v>0</v>
      </c>
      <c r="C54" s="112">
        <f>SUM(C55:C57)</f>
        <v>0</v>
      </c>
      <c r="D54" s="112">
        <f t="shared" ref="D54" si="11">SUM(D55:D57)</f>
        <v>1885439.9300000002</v>
      </c>
      <c r="E54" s="113">
        <f t="shared" si="3"/>
        <v>5.2563533894176249E-2</v>
      </c>
    </row>
    <row r="55" spans="1:7" s="38" customFormat="1" ht="13" x14ac:dyDescent="0.3">
      <c r="A55" s="72" t="s">
        <v>26</v>
      </c>
      <c r="B55" s="112">
        <v>0</v>
      </c>
      <c r="C55" s="112">
        <v>0</v>
      </c>
      <c r="D55" s="112">
        <v>1900000</v>
      </c>
      <c r="E55" s="113">
        <f t="shared" si="3"/>
        <v>5.2969449097715282E-2</v>
      </c>
    </row>
    <row r="56" spans="1:7" s="38" customFormat="1" ht="13" x14ac:dyDescent="0.3">
      <c r="A56" s="72" t="s">
        <v>18</v>
      </c>
      <c r="B56" s="112">
        <v>0</v>
      </c>
      <c r="C56" s="112">
        <v>0</v>
      </c>
      <c r="D56" s="112">
        <v>2480.56</v>
      </c>
      <c r="E56" s="113">
        <f t="shared" si="3"/>
        <v>6.9154682449383485E-5</v>
      </c>
    </row>
    <row r="57" spans="1:7" s="38" customFormat="1" ht="13" x14ac:dyDescent="0.3">
      <c r="A57" s="72" t="s">
        <v>101</v>
      </c>
      <c r="B57" s="112">
        <v>0</v>
      </c>
      <c r="C57" s="112">
        <v>0</v>
      </c>
      <c r="D57" s="112">
        <v>-17040.63</v>
      </c>
      <c r="E57" s="113">
        <f t="shared" si="3"/>
        <v>-4.7506988598842108E-4</v>
      </c>
    </row>
    <row r="58" spans="1:7" s="38" customFormat="1" ht="13" x14ac:dyDescent="0.3">
      <c r="A58" s="72" t="s">
        <v>151</v>
      </c>
      <c r="B58" s="112">
        <f>SUM(B59:B61)</f>
        <v>0</v>
      </c>
      <c r="C58" s="112">
        <f>SUM(C59:C61)</f>
        <v>0</v>
      </c>
      <c r="D58" s="112">
        <f t="shared" ref="D58" si="12">SUM(D59:D61)</f>
        <v>2796359.25</v>
      </c>
      <c r="E58" s="113">
        <f t="shared" si="3"/>
        <v>7.7958741553579097E-2</v>
      </c>
    </row>
    <row r="59" spans="1:7" s="38" customFormat="1" ht="13" x14ac:dyDescent="0.3">
      <c r="A59" s="72" t="s">
        <v>26</v>
      </c>
      <c r="B59" s="112">
        <v>0</v>
      </c>
      <c r="C59" s="112">
        <v>0</v>
      </c>
      <c r="D59" s="112">
        <v>2799126</v>
      </c>
      <c r="E59" s="113">
        <f>+D59/$D$63</f>
        <v>7.8035874828995475E-2</v>
      </c>
    </row>
    <row r="60" spans="1:7" s="38" customFormat="1" ht="13" x14ac:dyDescent="0.3">
      <c r="A60" s="72" t="s">
        <v>18</v>
      </c>
      <c r="B60" s="112">
        <v>0</v>
      </c>
      <c r="C60" s="112">
        <v>0</v>
      </c>
      <c r="D60" s="112">
        <v>5598.25</v>
      </c>
      <c r="E60" s="113">
        <f t="shared" si="3"/>
        <v>1.560716939006761E-4</v>
      </c>
    </row>
    <row r="61" spans="1:7" s="38" customFormat="1" ht="13" x14ac:dyDescent="0.3">
      <c r="A61" s="72" t="s">
        <v>101</v>
      </c>
      <c r="B61" s="112">
        <v>0</v>
      </c>
      <c r="C61" s="112">
        <v>0</v>
      </c>
      <c r="D61" s="112">
        <v>-8365</v>
      </c>
      <c r="E61" s="113">
        <f t="shared" si="3"/>
        <v>-2.3320496931704651E-4</v>
      </c>
    </row>
    <row r="62" spans="1:7" s="22" customFormat="1" x14ac:dyDescent="0.3">
      <c r="A62" s="50" t="s">
        <v>16</v>
      </c>
      <c r="B62" s="11">
        <v>236790</v>
      </c>
      <c r="C62" s="11">
        <v>111984.51999999999</v>
      </c>
      <c r="D62" s="11">
        <v>0</v>
      </c>
      <c r="E62" s="18">
        <f>+D62/$D$63</f>
        <v>0</v>
      </c>
      <c r="F62" s="38"/>
      <c r="G62" s="109"/>
    </row>
    <row r="63" spans="1:7" x14ac:dyDescent="0.3">
      <c r="A63" s="16" t="s">
        <v>3</v>
      </c>
      <c r="B63" s="126">
        <f>+B62+B7+B11</f>
        <v>24174207.080000002</v>
      </c>
      <c r="C63" s="126">
        <f>+C62+C7+C11</f>
        <v>27919110.959999997</v>
      </c>
      <c r="D63" s="126">
        <f>+D62+D7+D11</f>
        <v>35869733.070000008</v>
      </c>
      <c r="E63" s="17">
        <f>+D63/D63</f>
        <v>1</v>
      </c>
      <c r="F63" s="76"/>
    </row>
    <row r="64" spans="1:7" x14ac:dyDescent="0.3">
      <c r="A64" s="3"/>
      <c r="B64" s="65"/>
      <c r="C64" s="65"/>
      <c r="D64" s="65"/>
      <c r="E64" s="95"/>
      <c r="F64" s="76"/>
    </row>
    <row r="65" spans="1:8" x14ac:dyDescent="0.3">
      <c r="A65" s="77" t="s">
        <v>4</v>
      </c>
      <c r="B65" s="11"/>
      <c r="C65" s="11"/>
      <c r="D65" s="11"/>
      <c r="E65" s="18"/>
    </row>
    <row r="66" spans="1:8" x14ac:dyDescent="0.3">
      <c r="A66" s="78"/>
      <c r="B66" s="11"/>
      <c r="C66" s="11"/>
      <c r="D66" s="11"/>
      <c r="E66" s="18"/>
      <c r="F66" s="59"/>
    </row>
    <row r="67" spans="1:8" x14ac:dyDescent="0.3">
      <c r="A67" s="79" t="s">
        <v>19</v>
      </c>
      <c r="B67" s="11"/>
      <c r="C67" s="11"/>
      <c r="D67" s="11"/>
      <c r="E67" s="18"/>
    </row>
    <row r="68" spans="1:8" s="38" customFormat="1" x14ac:dyDescent="0.3">
      <c r="A68" s="78" t="s">
        <v>17</v>
      </c>
      <c r="B68" s="11">
        <f>+SUM(B69:B77)</f>
        <v>44126.15</v>
      </c>
      <c r="C68" s="11">
        <f>+SUM(C69:C77)</f>
        <v>56783.92</v>
      </c>
      <c r="D68" s="11">
        <f>+SUM(D69:D77)</f>
        <v>62965.65</v>
      </c>
      <c r="E68" s="18">
        <f>+D68/D114</f>
        <v>1.7553977855681879E-3</v>
      </c>
    </row>
    <row r="69" spans="1:8" s="38" customFormat="1" ht="13" x14ac:dyDescent="0.3">
      <c r="A69" s="10" t="s">
        <v>77</v>
      </c>
      <c r="B69" s="124">
        <f>14900+2686.67</f>
        <v>17586.669999999998</v>
      </c>
      <c r="C69" s="124">
        <v>20273.34</v>
      </c>
      <c r="D69" s="124">
        <v>21000.01</v>
      </c>
      <c r="E69" s="61">
        <f>D69/$D$114</f>
        <v>5.8545208460342743E-4</v>
      </c>
      <c r="G69" s="148"/>
    </row>
    <row r="70" spans="1:8" s="38" customFormat="1" ht="13" x14ac:dyDescent="0.3">
      <c r="A70" s="72" t="s">
        <v>51</v>
      </c>
      <c r="B70" s="124">
        <v>0</v>
      </c>
      <c r="C70" s="124">
        <v>750</v>
      </c>
      <c r="D70" s="124">
        <v>2250</v>
      </c>
      <c r="E70" s="61">
        <f t="shared" ref="E70:E74" si="13">D70/$D$114</f>
        <v>6.2726979194662849E-5</v>
      </c>
    </row>
    <row r="71" spans="1:8" s="38" customFormat="1" ht="13" x14ac:dyDescent="0.3">
      <c r="A71" s="72" t="s">
        <v>66</v>
      </c>
      <c r="B71" s="124">
        <v>0</v>
      </c>
      <c r="C71" s="124">
        <v>0</v>
      </c>
      <c r="D71" s="124"/>
      <c r="E71" s="61">
        <f t="shared" si="13"/>
        <v>0</v>
      </c>
    </row>
    <row r="72" spans="1:8" s="38" customFormat="1" ht="13" x14ac:dyDescent="0.3">
      <c r="A72" s="72" t="s">
        <v>122</v>
      </c>
      <c r="B72" s="124">
        <f>20555.56+430.56+430.56+8611.11-6708.33-0.29</f>
        <v>23319.170000000006</v>
      </c>
      <c r="C72" s="124">
        <v>27305.58</v>
      </c>
      <c r="D72" s="124">
        <v>7058.37</v>
      </c>
      <c r="E72" s="61">
        <f t="shared" si="13"/>
        <v>1.9677787917254773E-4</v>
      </c>
    </row>
    <row r="73" spans="1:8" s="38" customFormat="1" ht="13" x14ac:dyDescent="0.3">
      <c r="A73" s="10" t="s">
        <v>67</v>
      </c>
      <c r="B73" s="124">
        <v>1553.64</v>
      </c>
      <c r="C73" s="124">
        <f>5297.66-176</f>
        <v>5121.66</v>
      </c>
      <c r="D73" s="124">
        <v>0</v>
      </c>
      <c r="E73" s="61">
        <f t="shared" si="13"/>
        <v>0</v>
      </c>
    </row>
    <row r="74" spans="1:8" s="38" customFormat="1" ht="13" x14ac:dyDescent="0.3">
      <c r="A74" s="10" t="s">
        <v>78</v>
      </c>
      <c r="B74" s="124">
        <v>0</v>
      </c>
      <c r="C74" s="124">
        <v>0</v>
      </c>
      <c r="D74" s="124">
        <f>35397.26-6990</f>
        <v>28407.260000000002</v>
      </c>
      <c r="E74" s="61">
        <f t="shared" si="13"/>
        <v>7.9195626977661263E-4</v>
      </c>
      <c r="F74" s="46"/>
      <c r="G74" s="104"/>
    </row>
    <row r="75" spans="1:8" s="38" customFormat="1" ht="13" x14ac:dyDescent="0.3">
      <c r="A75" s="10" t="s">
        <v>132</v>
      </c>
      <c r="B75" s="124">
        <v>1666.67</v>
      </c>
      <c r="C75" s="124">
        <v>3333.34</v>
      </c>
      <c r="D75" s="124">
        <v>4250.01</v>
      </c>
      <c r="E75" s="61">
        <f>D75/$D$114</f>
        <v>1.1848457282093737E-4</v>
      </c>
    </row>
    <row r="76" spans="1:8" s="38" customFormat="1" ht="13" x14ac:dyDescent="0.3">
      <c r="A76" s="10" t="s">
        <v>84</v>
      </c>
      <c r="B76" s="124">
        <v>0</v>
      </c>
      <c r="C76" s="124">
        <v>0</v>
      </c>
      <c r="D76" s="124">
        <v>0</v>
      </c>
      <c r="E76" s="61">
        <f>B76/$B$114</f>
        <v>0</v>
      </c>
      <c r="F76" s="44"/>
    </row>
    <row r="77" spans="1:8" s="38" customFormat="1" ht="13" x14ac:dyDescent="0.3">
      <c r="A77" s="10" t="s">
        <v>75</v>
      </c>
      <c r="B77" s="124">
        <v>0</v>
      </c>
      <c r="C77" s="124">
        <v>0</v>
      </c>
      <c r="D77" s="124">
        <v>0</v>
      </c>
      <c r="E77" s="61">
        <f>B77/$B$114</f>
        <v>0</v>
      </c>
      <c r="H77" s="96"/>
    </row>
    <row r="78" spans="1:8" s="38" customFormat="1" ht="13" x14ac:dyDescent="0.3">
      <c r="B78" s="124"/>
      <c r="C78" s="124"/>
      <c r="D78" s="124"/>
      <c r="E78" s="61"/>
      <c r="H78" s="96"/>
    </row>
    <row r="79" spans="1:8" s="38" customFormat="1" x14ac:dyDescent="0.3">
      <c r="A79" s="155" t="s">
        <v>115</v>
      </c>
      <c r="B79" s="124"/>
      <c r="C79" s="124"/>
      <c r="D79" s="124"/>
      <c r="E79" s="61"/>
      <c r="G79" s="148"/>
      <c r="H79" s="96"/>
    </row>
    <row r="80" spans="1:8" s="38" customFormat="1" ht="13" x14ac:dyDescent="0.3">
      <c r="B80" s="124"/>
      <c r="C80" s="124"/>
      <c r="D80" s="124"/>
      <c r="E80" s="61"/>
      <c r="H80" s="96"/>
    </row>
    <row r="81" spans="1:13" s="160" customFormat="1" ht="14.5" x14ac:dyDescent="0.35">
      <c r="A81" s="156" t="s">
        <v>61</v>
      </c>
      <c r="B81" s="41">
        <f>+B82+B88+B85</f>
        <v>13094888.890000001</v>
      </c>
      <c r="C81" s="41">
        <f>+C82+C88+C85</f>
        <v>13090066.84</v>
      </c>
      <c r="D81" s="41">
        <f>+D82+D88+D85+D91</f>
        <v>21219420.84</v>
      </c>
      <c r="E81" s="157">
        <f>+D81/D114</f>
        <v>0.59156896424598904</v>
      </c>
      <c r="F81" s="158"/>
      <c r="G81" s="159"/>
      <c r="H81" s="159"/>
      <c r="I81" s="159"/>
      <c r="J81" s="149"/>
      <c r="K81" s="38"/>
      <c r="L81" s="38"/>
      <c r="M81" s="96"/>
    </row>
    <row r="82" spans="1:13" s="160" customFormat="1" ht="13" x14ac:dyDescent="0.3">
      <c r="A82" s="160" t="s">
        <v>60</v>
      </c>
      <c r="B82" s="41">
        <f>+B83+B84</f>
        <v>5036555.5544444444</v>
      </c>
      <c r="C82" s="41">
        <f>+C83+C84</f>
        <v>5058333.4400000004</v>
      </c>
      <c r="D82" s="41">
        <f>+D83+D84</f>
        <v>5082444.4400000004</v>
      </c>
      <c r="E82" s="157">
        <f t="shared" ref="E82:E93" si="14">+D82/$D$114</f>
        <v>0.14169172739818217</v>
      </c>
      <c r="F82" s="158"/>
      <c r="G82" s="159"/>
      <c r="H82" s="159"/>
      <c r="I82" s="159"/>
      <c r="J82" s="149"/>
      <c r="K82" s="38"/>
      <c r="L82" s="38"/>
    </row>
    <row r="83" spans="1:13" s="160" customFormat="1" ht="13" x14ac:dyDescent="0.3">
      <c r="A83" s="161" t="s">
        <v>26</v>
      </c>
      <c r="B83" s="49">
        <v>5000000</v>
      </c>
      <c r="C83" s="49">
        <v>5000000</v>
      </c>
      <c r="D83" s="49">
        <v>5000000</v>
      </c>
      <c r="E83" s="52">
        <f t="shared" si="14"/>
        <v>0.13939328709925078</v>
      </c>
      <c r="F83" s="162"/>
      <c r="G83" s="47"/>
      <c r="H83" s="47"/>
      <c r="I83" s="47"/>
      <c r="J83" s="108"/>
      <c r="K83" s="38"/>
      <c r="L83" s="38"/>
    </row>
    <row r="84" spans="1:13" s="160" customFormat="1" ht="13" x14ac:dyDescent="0.3">
      <c r="A84" s="161" t="s">
        <v>18</v>
      </c>
      <c r="B84" s="49">
        <f>12444.4444444444+24111.11</f>
        <v>36555.554444444402</v>
      </c>
      <c r="C84" s="49">
        <v>58333.440000000002</v>
      </c>
      <c r="D84" s="49">
        <v>82444.44</v>
      </c>
      <c r="E84" s="52">
        <f t="shared" si="14"/>
        <v>2.298440298931391E-3</v>
      </c>
      <c r="F84" s="162"/>
      <c r="G84" s="47"/>
      <c r="H84" s="47"/>
      <c r="I84" s="47"/>
      <c r="J84" s="108"/>
      <c r="K84" s="38"/>
      <c r="L84" s="38"/>
    </row>
    <row r="85" spans="1:13" s="160" customFormat="1" ht="13" x14ac:dyDescent="0.3">
      <c r="A85" s="160" t="s">
        <v>28</v>
      </c>
      <c r="B85" s="41">
        <f>+B86+B87</f>
        <v>5039666.6655555554</v>
      </c>
      <c r="C85" s="41">
        <f>+C86+C87</f>
        <v>5000000</v>
      </c>
      <c r="D85" s="41">
        <f>+D86+D87</f>
        <v>5023333.5</v>
      </c>
      <c r="E85" s="157">
        <f t="shared" si="14"/>
        <v>0.14004379375215684</v>
      </c>
      <c r="F85" s="158"/>
      <c r="G85" s="159"/>
      <c r="H85" s="159"/>
      <c r="I85" s="159"/>
      <c r="J85" s="149"/>
      <c r="K85" s="38"/>
      <c r="L85" s="38"/>
    </row>
    <row r="86" spans="1:13" s="160" customFormat="1" ht="13" x14ac:dyDescent="0.3">
      <c r="A86" s="161" t="s">
        <v>26</v>
      </c>
      <c r="B86" s="49">
        <v>5000000</v>
      </c>
      <c r="C86" s="49">
        <v>5000000</v>
      </c>
      <c r="D86" s="49">
        <v>5000000</v>
      </c>
      <c r="E86" s="52">
        <f t="shared" si="14"/>
        <v>0.13939328709925078</v>
      </c>
      <c r="F86" s="162"/>
      <c r="G86" s="47"/>
      <c r="H86" s="47"/>
      <c r="I86" s="47"/>
      <c r="J86" s="108"/>
      <c r="K86" s="38"/>
      <c r="L86" s="38"/>
    </row>
    <row r="87" spans="1:13" s="160" customFormat="1" ht="13" x14ac:dyDescent="0.3">
      <c r="A87" s="161" t="s">
        <v>18</v>
      </c>
      <c r="B87" s="49">
        <f>15555.5555555556+24111.11</f>
        <v>39666.665555555599</v>
      </c>
      <c r="C87" s="49">
        <v>0</v>
      </c>
      <c r="D87" s="49">
        <v>23333.5</v>
      </c>
      <c r="E87" s="52">
        <f t="shared" si="14"/>
        <v>6.5050665290607363E-4</v>
      </c>
      <c r="F87" s="162"/>
      <c r="G87" s="47"/>
      <c r="H87" s="47"/>
      <c r="I87" s="47"/>
      <c r="J87" s="108"/>
      <c r="K87" s="38"/>
      <c r="L87" s="38"/>
    </row>
    <row r="88" spans="1:13" s="160" customFormat="1" ht="13" x14ac:dyDescent="0.3">
      <c r="A88" s="160" t="s">
        <v>116</v>
      </c>
      <c r="B88" s="41">
        <f>+B89+B90</f>
        <v>3018666.67</v>
      </c>
      <c r="C88" s="41">
        <f>+C89+C90</f>
        <v>3031733.4</v>
      </c>
      <c r="D88" s="41">
        <f>+D89+D90</f>
        <v>3009800.1</v>
      </c>
      <c r="E88" s="157">
        <f t="shared" si="14"/>
        <v>8.3909185890130744E-2</v>
      </c>
      <c r="F88" s="158"/>
      <c r="G88" s="159"/>
      <c r="H88" s="159"/>
      <c r="I88" s="159"/>
      <c r="J88" s="149"/>
      <c r="K88" s="38"/>
      <c r="L88" s="38"/>
    </row>
    <row r="89" spans="1:13" s="160" customFormat="1" ht="13" x14ac:dyDescent="0.3">
      <c r="A89" s="161" t="s">
        <v>26</v>
      </c>
      <c r="B89" s="49">
        <v>3000000</v>
      </c>
      <c r="C89" s="49">
        <v>3000000</v>
      </c>
      <c r="D89" s="49">
        <v>3000000</v>
      </c>
      <c r="E89" s="52">
        <f t="shared" si="14"/>
        <v>8.3635972259550467E-2</v>
      </c>
      <c r="F89" s="162"/>
      <c r="G89" s="47"/>
      <c r="H89" s="47"/>
      <c r="I89" s="47"/>
      <c r="J89" s="108"/>
      <c r="K89" s="38"/>
      <c r="L89" s="38"/>
    </row>
    <row r="90" spans="1:13" s="160" customFormat="1" ht="13" x14ac:dyDescent="0.3">
      <c r="A90" s="161" t="s">
        <v>18</v>
      </c>
      <c r="B90" s="49">
        <f>4200+14466.67</f>
        <v>18666.669999999998</v>
      </c>
      <c r="C90" s="49">
        <v>31733.4</v>
      </c>
      <c r="D90" s="49">
        <v>9800.1</v>
      </c>
      <c r="E90" s="52">
        <f t="shared" si="14"/>
        <v>2.732136305802735E-4</v>
      </c>
      <c r="F90" s="162"/>
      <c r="G90" s="47"/>
      <c r="H90" s="47"/>
      <c r="I90" s="47"/>
      <c r="J90" s="108"/>
      <c r="K90" s="38"/>
      <c r="L90" s="38"/>
    </row>
    <row r="91" spans="1:13" s="160" customFormat="1" ht="13" x14ac:dyDescent="0.3">
      <c r="A91" s="160" t="s">
        <v>15</v>
      </c>
      <c r="B91" s="41">
        <f>+B92+B93</f>
        <v>0</v>
      </c>
      <c r="C91" s="41">
        <f>+C92+C93</f>
        <v>0</v>
      </c>
      <c r="D91" s="41">
        <f>+D92+D93</f>
        <v>8103842.7999999998</v>
      </c>
      <c r="E91" s="157">
        <f t="shared" si="14"/>
        <v>0.22592425720551926</v>
      </c>
      <c r="F91" s="158"/>
      <c r="G91" s="159"/>
      <c r="H91" s="159"/>
      <c r="I91" s="159"/>
      <c r="J91" s="149"/>
      <c r="K91" s="38"/>
      <c r="L91" s="38"/>
    </row>
    <row r="92" spans="1:13" s="160" customFormat="1" ht="13" x14ac:dyDescent="0.3">
      <c r="A92" s="161" t="s">
        <v>26</v>
      </c>
      <c r="B92" s="49">
        <v>0</v>
      </c>
      <c r="C92" s="49">
        <v>0</v>
      </c>
      <c r="D92" s="49">
        <v>8090000</v>
      </c>
      <c r="E92" s="52">
        <f t="shared" si="14"/>
        <v>0.22553833852658775</v>
      </c>
      <c r="F92" s="162"/>
      <c r="G92" s="47"/>
      <c r="H92" s="47"/>
      <c r="I92" s="47"/>
      <c r="J92" s="108"/>
      <c r="K92" s="38"/>
      <c r="L92" s="38"/>
    </row>
    <row r="93" spans="1:13" s="160" customFormat="1" ht="13" x14ac:dyDescent="0.3">
      <c r="A93" s="161" t="s">
        <v>18</v>
      </c>
      <c r="B93" s="49">
        <v>0</v>
      </c>
      <c r="C93" s="49">
        <v>0</v>
      </c>
      <c r="D93" s="49">
        <v>13842.8</v>
      </c>
      <c r="E93" s="52">
        <f t="shared" si="14"/>
        <v>3.8591867893150169E-4</v>
      </c>
      <c r="F93" s="162"/>
      <c r="G93" s="47"/>
      <c r="H93" s="47"/>
      <c r="I93" s="47"/>
      <c r="J93" s="108"/>
      <c r="K93" s="38"/>
      <c r="L93" s="38"/>
    </row>
    <row r="94" spans="1:13" s="38" customFormat="1" ht="14.5" x14ac:dyDescent="0.35">
      <c r="A94" s="156" t="s">
        <v>109</v>
      </c>
      <c r="B94" s="28">
        <f>-220156.09</f>
        <v>-220156.09</v>
      </c>
      <c r="C94" s="28">
        <v>-265580.57</v>
      </c>
      <c r="D94" s="28">
        <v>-262591.99</v>
      </c>
      <c r="E94" s="52">
        <f>+D94/D114</f>
        <v>-7.3207121304067176E-3</v>
      </c>
    </row>
    <row r="95" spans="1:13" x14ac:dyDescent="0.3">
      <c r="A95" s="42" t="s">
        <v>5</v>
      </c>
      <c r="B95" s="13">
        <f>+B68+B81+B94</f>
        <v>12918858.950000001</v>
      </c>
      <c r="C95" s="13">
        <f>+C68+C81+C94</f>
        <v>12881270.189999999</v>
      </c>
      <c r="D95" s="13">
        <f>+D68+D81+D94</f>
        <v>21019794.5</v>
      </c>
      <c r="E95" s="17">
        <f>+D95/D114</f>
        <v>0.5860036499011505</v>
      </c>
    </row>
    <row r="96" spans="1:13" x14ac:dyDescent="0.3">
      <c r="A96" s="3"/>
      <c r="B96" s="15"/>
      <c r="C96" s="15"/>
      <c r="D96" s="15"/>
      <c r="E96" s="76"/>
    </row>
    <row r="97" spans="1:9" x14ac:dyDescent="0.3">
      <c r="A97" s="25" t="s">
        <v>6</v>
      </c>
      <c r="B97" s="66"/>
      <c r="C97" s="66"/>
      <c r="D97" s="66"/>
      <c r="E97" s="53"/>
      <c r="G97" s="59"/>
    </row>
    <row r="98" spans="1:9" x14ac:dyDescent="0.3">
      <c r="A98" s="50"/>
      <c r="B98" s="4"/>
      <c r="C98" s="4"/>
      <c r="D98" s="4"/>
      <c r="E98" s="54"/>
      <c r="H98" s="125"/>
    </row>
    <row r="99" spans="1:9" s="21" customFormat="1" x14ac:dyDescent="0.3">
      <c r="A99" s="50" t="s">
        <v>32</v>
      </c>
      <c r="B99" s="4">
        <f>SUM(B100:B106)</f>
        <v>12050000</v>
      </c>
      <c r="C99" s="4">
        <f>SUM(C100:C106)</f>
        <v>16050000</v>
      </c>
      <c r="D99" s="4">
        <f>SUM(D100:D106)</f>
        <v>16050000</v>
      </c>
      <c r="E99" s="54">
        <f>+D99/$D$114</f>
        <v>0.44745245158859498</v>
      </c>
      <c r="F99" s="86"/>
      <c r="G99" s="86"/>
      <c r="H99" s="110"/>
    </row>
    <row r="100" spans="1:9" s="21" customFormat="1" ht="13" x14ac:dyDescent="0.3">
      <c r="A100" s="72" t="s">
        <v>90</v>
      </c>
      <c r="B100" s="127">
        <f>1200000+2400000</f>
        <v>3600000</v>
      </c>
      <c r="C100" s="127">
        <v>4800000</v>
      </c>
      <c r="D100" s="127">
        <v>4800000</v>
      </c>
      <c r="E100" s="63">
        <f>+D100/$D$114</f>
        <v>0.13381755561528075</v>
      </c>
      <c r="F100" s="153"/>
      <c r="G100" s="153"/>
    </row>
    <row r="101" spans="1:9" s="21" customFormat="1" x14ac:dyDescent="0.3">
      <c r="A101" s="72" t="s">
        <v>96</v>
      </c>
      <c r="B101" s="127">
        <f t="shared" ref="B101:B103" si="15">800000+1600000</f>
        <v>2400000</v>
      </c>
      <c r="C101" s="127">
        <v>3200000</v>
      </c>
      <c r="D101" s="127">
        <v>3200000</v>
      </c>
      <c r="E101" s="63">
        <f>+D101/$D$114</f>
        <v>8.9211703743520498E-2</v>
      </c>
      <c r="F101" s="106"/>
      <c r="G101" s="106"/>
      <c r="H101" s="106"/>
      <c r="I101" s="121"/>
    </row>
    <row r="102" spans="1:9" s="21" customFormat="1" ht="13" x14ac:dyDescent="0.3">
      <c r="A102" s="72" t="s">
        <v>95</v>
      </c>
      <c r="B102" s="127">
        <f t="shared" si="15"/>
        <v>2400000</v>
      </c>
      <c r="C102" s="127">
        <v>3200000</v>
      </c>
      <c r="D102" s="127">
        <v>3200000</v>
      </c>
      <c r="E102" s="63">
        <f t="shared" ref="E102:E106" si="16">+D102/$D$114</f>
        <v>8.9211703743520498E-2</v>
      </c>
      <c r="F102" s="110"/>
      <c r="G102" s="110"/>
      <c r="H102" s="75"/>
      <c r="I102" s="75"/>
    </row>
    <row r="103" spans="1:9" s="21" customFormat="1" ht="13" x14ac:dyDescent="0.3">
      <c r="A103" s="72" t="s">
        <v>91</v>
      </c>
      <c r="B103" s="127">
        <f t="shared" si="15"/>
        <v>2400000</v>
      </c>
      <c r="C103" s="127">
        <v>3200000</v>
      </c>
      <c r="D103" s="127">
        <v>3200000</v>
      </c>
      <c r="E103" s="63">
        <f t="shared" si="16"/>
        <v>8.9211703743520498E-2</v>
      </c>
      <c r="F103" s="105"/>
    </row>
    <row r="104" spans="1:9" s="21" customFormat="1" ht="13" x14ac:dyDescent="0.3">
      <c r="A104" s="72" t="s">
        <v>92</v>
      </c>
      <c r="B104" s="127">
        <f t="shared" ref="B104:B105" si="17">200000+400000</f>
        <v>600000</v>
      </c>
      <c r="C104" s="127">
        <v>800000</v>
      </c>
      <c r="D104" s="127">
        <v>800000</v>
      </c>
      <c r="E104" s="63">
        <f t="shared" si="16"/>
        <v>2.2302925935880125E-2</v>
      </c>
      <c r="F104" s="86"/>
      <c r="G104" s="110"/>
    </row>
    <row r="105" spans="1:9" s="21" customFormat="1" ht="13" x14ac:dyDescent="0.3">
      <c r="A105" s="72" t="s">
        <v>93</v>
      </c>
      <c r="B105" s="127">
        <f t="shared" si="17"/>
        <v>600000</v>
      </c>
      <c r="C105" s="127">
        <v>800000</v>
      </c>
      <c r="D105" s="127">
        <v>800000</v>
      </c>
      <c r="E105" s="63">
        <f t="shared" si="16"/>
        <v>2.2302925935880125E-2</v>
      </c>
      <c r="F105" s="123"/>
      <c r="G105" s="123"/>
      <c r="H105" s="86"/>
    </row>
    <row r="106" spans="1:9" s="21" customFormat="1" ht="13" x14ac:dyDescent="0.3">
      <c r="A106" s="72" t="s">
        <v>94</v>
      </c>
      <c r="B106" s="127">
        <v>50000</v>
      </c>
      <c r="C106" s="127">
        <v>50000</v>
      </c>
      <c r="D106" s="127">
        <v>50000</v>
      </c>
      <c r="E106" s="63">
        <f t="shared" si="16"/>
        <v>1.3939328709925078E-3</v>
      </c>
      <c r="F106" s="123"/>
      <c r="G106" s="110"/>
      <c r="H106" s="110"/>
      <c r="I106" s="75"/>
    </row>
    <row r="107" spans="1:9" ht="14.5" x14ac:dyDescent="0.35">
      <c r="A107" s="97" t="s">
        <v>53</v>
      </c>
      <c r="B107" s="4">
        <v>-494742.37999999995</v>
      </c>
      <c r="C107" s="4">
        <v>-494742.37999999995</v>
      </c>
      <c r="D107" s="4">
        <v>-494742.37999999995</v>
      </c>
      <c r="E107" s="54">
        <f>+D107/D114</f>
        <v>-1.3792753323101323E-2</v>
      </c>
      <c r="F107" s="76"/>
      <c r="G107" s="59"/>
    </row>
    <row r="108" spans="1:9" ht="14.5" x14ac:dyDescent="0.35">
      <c r="A108" s="97" t="s">
        <v>58</v>
      </c>
      <c r="B108" s="4">
        <f>+B109+B110</f>
        <v>0</v>
      </c>
      <c r="C108" s="4">
        <f>+C109+C110</f>
        <v>0</v>
      </c>
      <c r="D108" s="4">
        <f>+D109+D110</f>
        <v>0</v>
      </c>
      <c r="E108" s="54" t="e">
        <f>+#REF!/#REF!</f>
        <v>#REF!</v>
      </c>
      <c r="F108" s="121"/>
      <c r="G108" s="59"/>
    </row>
    <row r="109" spans="1:9" s="21" customFormat="1" ht="13" x14ac:dyDescent="0.3">
      <c r="A109" s="72" t="s">
        <v>76</v>
      </c>
      <c r="B109" s="127">
        <v>0</v>
      </c>
      <c r="C109" s="127">
        <v>0</v>
      </c>
      <c r="D109" s="127">
        <v>0</v>
      </c>
      <c r="E109" s="63" t="e">
        <f>+#REF!/#REF!</f>
        <v>#REF!</v>
      </c>
      <c r="F109" s="103"/>
    </row>
    <row r="110" spans="1:9" s="21" customFormat="1" ht="13" x14ac:dyDescent="0.3">
      <c r="A110" s="72" t="s">
        <v>59</v>
      </c>
      <c r="B110" s="127">
        <v>0</v>
      </c>
      <c r="C110" s="127">
        <v>0</v>
      </c>
      <c r="D110" s="127">
        <v>0</v>
      </c>
      <c r="E110" s="63" t="e">
        <f>+#REF!/#REF!</f>
        <v>#REF!</v>
      </c>
      <c r="F110" s="103"/>
    </row>
    <row r="111" spans="1:9" x14ac:dyDescent="0.3">
      <c r="A111" s="50" t="s">
        <v>88</v>
      </c>
      <c r="B111" s="4">
        <f>+B176</f>
        <v>-299909.48666666663</v>
      </c>
      <c r="C111" s="4">
        <f>+C176</f>
        <v>-517416.85000000003</v>
      </c>
      <c r="D111" s="4">
        <f>+D176</f>
        <v>-705319.05</v>
      </c>
      <c r="E111" s="54">
        <f>+D111/$D$114</f>
        <v>-1.9663348166644164E-2</v>
      </c>
      <c r="F111" s="121"/>
      <c r="G111" s="121"/>
    </row>
    <row r="112" spans="1:9" x14ac:dyDescent="0.3">
      <c r="A112" s="50"/>
      <c r="B112" s="4"/>
      <c r="C112" s="4"/>
      <c r="D112" s="4"/>
      <c r="E112" s="54"/>
      <c r="F112" s="76"/>
      <c r="G112" s="76"/>
      <c r="H112" s="59"/>
    </row>
    <row r="113" spans="1:8" x14ac:dyDescent="0.3">
      <c r="A113" s="81" t="s">
        <v>7</v>
      </c>
      <c r="B113" s="13">
        <f>+B99+B107+B108+B111</f>
        <v>11255348.133333333</v>
      </c>
      <c r="C113" s="13">
        <f>+C99+C107+C108+C111</f>
        <v>15037840.77</v>
      </c>
      <c r="D113" s="13">
        <f>+D99+D107+D108+D111</f>
        <v>14849938.569999998</v>
      </c>
      <c r="E113" s="17">
        <f>+D113/D114</f>
        <v>0.41399635009884944</v>
      </c>
      <c r="G113" s="59"/>
      <c r="H113" s="59"/>
    </row>
    <row r="114" spans="1:8" x14ac:dyDescent="0.3">
      <c r="A114" s="16" t="s">
        <v>10</v>
      </c>
      <c r="B114" s="13">
        <f>+B95+B113</f>
        <v>24174207.083333336</v>
      </c>
      <c r="C114" s="13">
        <f>+C95+C113</f>
        <v>27919110.960000001</v>
      </c>
      <c r="D114" s="13">
        <f>+D95+D113</f>
        <v>35869733.07</v>
      </c>
      <c r="E114" s="17">
        <f>+D114/D114</f>
        <v>1</v>
      </c>
      <c r="G114" s="59"/>
      <c r="H114" s="59"/>
    </row>
    <row r="115" spans="1:8" x14ac:dyDescent="0.3">
      <c r="A115" s="43"/>
      <c r="B115" s="67"/>
      <c r="C115" s="67"/>
      <c r="D115" s="67"/>
      <c r="E115" s="83"/>
      <c r="G115" s="59"/>
      <c r="H115" s="59"/>
    </row>
    <row r="116" spans="1:8" x14ac:dyDescent="0.3">
      <c r="A116" s="81" t="s">
        <v>80</v>
      </c>
      <c r="B116" s="68" t="str">
        <f>+B3</f>
        <v>January</v>
      </c>
      <c r="C116" s="68" t="str">
        <f>+C3</f>
        <v>February</v>
      </c>
      <c r="D116" s="68" t="str">
        <f>+D3</f>
        <v>March</v>
      </c>
      <c r="E116" s="68" t="str">
        <f>+D116</f>
        <v>March</v>
      </c>
    </row>
    <row r="117" spans="1:8" x14ac:dyDescent="0.3">
      <c r="A117" s="24"/>
      <c r="B117" s="69"/>
      <c r="C117" s="69"/>
      <c r="D117" s="69"/>
      <c r="E117" s="31" t="s">
        <v>24</v>
      </c>
    </row>
    <row r="118" spans="1:8" s="38" customFormat="1" x14ac:dyDescent="0.3">
      <c r="A118" s="50" t="s">
        <v>11</v>
      </c>
      <c r="B118" s="70"/>
      <c r="C118" s="70"/>
      <c r="D118" s="70"/>
      <c r="E118" s="25"/>
    </row>
    <row r="119" spans="1:8" s="38" customFormat="1" ht="13" x14ac:dyDescent="0.3">
      <c r="A119" s="72" t="str">
        <f t="shared" ref="A119:B121" si="18">+A149</f>
        <v xml:space="preserve">Loans Interests </v>
      </c>
      <c r="B119" s="124">
        <f t="shared" si="18"/>
        <v>125236.9</v>
      </c>
      <c r="C119" s="124">
        <f t="shared" ref="C119:D121" si="19">+C149-B149</f>
        <v>128835.47</v>
      </c>
      <c r="D119" s="124">
        <f t="shared" si="19"/>
        <v>191481.99</v>
      </c>
      <c r="E119" s="41">
        <f>SUM(B119:D119)</f>
        <v>445554.36</v>
      </c>
    </row>
    <row r="120" spans="1:8" s="38" customFormat="1" ht="13" x14ac:dyDescent="0.3">
      <c r="A120" s="72" t="str">
        <f t="shared" si="18"/>
        <v>Disbursement Fee</v>
      </c>
      <c r="B120" s="124">
        <f t="shared" si="18"/>
        <v>3663.82</v>
      </c>
      <c r="C120" s="124">
        <f t="shared" si="19"/>
        <v>3674.3699999999994</v>
      </c>
      <c r="D120" s="124">
        <f t="shared" si="19"/>
        <v>4210.9800000000005</v>
      </c>
      <c r="E120" s="41">
        <f t="shared" ref="E120:E121" si="20">SUM(B120:D120)</f>
        <v>11549.17</v>
      </c>
    </row>
    <row r="121" spans="1:8" s="38" customFormat="1" ht="13" x14ac:dyDescent="0.3">
      <c r="A121" s="72" t="str">
        <f t="shared" si="18"/>
        <v>Other Income</v>
      </c>
      <c r="B121" s="124">
        <f t="shared" si="18"/>
        <v>2329.35</v>
      </c>
      <c r="C121" s="124">
        <f t="shared" si="19"/>
        <v>308.05999999999995</v>
      </c>
      <c r="D121" s="124">
        <f t="shared" si="19"/>
        <v>349.32000000000016</v>
      </c>
      <c r="E121" s="41">
        <f t="shared" si="20"/>
        <v>2986.73</v>
      </c>
    </row>
    <row r="122" spans="1:8" s="38" customFormat="1" ht="13" x14ac:dyDescent="0.3">
      <c r="A122" s="72" t="s">
        <v>8</v>
      </c>
      <c r="B122" s="124">
        <f>SUM(B119:B121)</f>
        <v>131230.07</v>
      </c>
      <c r="C122" s="124">
        <f>SUM(C119:C121)</f>
        <v>132817.9</v>
      </c>
      <c r="D122" s="124">
        <f>SUM(D119:D121)</f>
        <v>196042.29</v>
      </c>
      <c r="E122" s="41">
        <f>SUM(E119:E121)</f>
        <v>460090.25999999995</v>
      </c>
    </row>
    <row r="123" spans="1:8" x14ac:dyDescent="0.3">
      <c r="A123" s="50"/>
      <c r="B123" s="11"/>
      <c r="C123" s="11"/>
      <c r="D123" s="11"/>
      <c r="E123" s="11"/>
    </row>
    <row r="124" spans="1:8" s="38" customFormat="1" x14ac:dyDescent="0.3">
      <c r="A124" s="50" t="s">
        <v>12</v>
      </c>
      <c r="B124" s="11"/>
      <c r="C124" s="11"/>
      <c r="D124" s="11"/>
      <c r="E124" s="11"/>
    </row>
    <row r="125" spans="1:8" s="38" customFormat="1" ht="13" x14ac:dyDescent="0.3">
      <c r="A125" s="72" t="str">
        <f t="shared" ref="A125:A126" si="21">+A155</f>
        <v>Management Fees</v>
      </c>
      <c r="B125" s="124">
        <f>+B155</f>
        <v>-133319.59</v>
      </c>
      <c r="C125" s="124">
        <f t="shared" ref="C125:D129" si="22">+C155-B155</f>
        <v>-124805.48000000001</v>
      </c>
      <c r="D125" s="124">
        <f t="shared" si="22"/>
        <v>-140391.77999999997</v>
      </c>
      <c r="E125" s="41">
        <f>SUM(B125:D125)</f>
        <v>-398516.85</v>
      </c>
    </row>
    <row r="126" spans="1:8" s="38" customFormat="1" ht="13" x14ac:dyDescent="0.3">
      <c r="A126" s="72" t="str">
        <f t="shared" si="21"/>
        <v>Senior Loans Interests</v>
      </c>
      <c r="B126" s="124">
        <f>+B156</f>
        <v>-62688.6</v>
      </c>
      <c r="C126" s="124">
        <f t="shared" si="22"/>
        <v>-57400.46</v>
      </c>
      <c r="D126" s="124">
        <f t="shared" si="22"/>
        <v>-75754</v>
      </c>
      <c r="E126" s="41">
        <f t="shared" ref="E126:E128" si="23">SUM(B126:D126)</f>
        <v>-195843.06</v>
      </c>
    </row>
    <row r="127" spans="1:8" s="38" customFormat="1" ht="13" x14ac:dyDescent="0.3">
      <c r="A127" s="72" t="str">
        <f t="shared" ref="A127:A129" si="24">+A157</f>
        <v>Senior Loans Fees</v>
      </c>
      <c r="B127" s="124">
        <f>+B157</f>
        <v>-11923.62</v>
      </c>
      <c r="C127" s="124">
        <f t="shared" si="22"/>
        <v>-14089.42</v>
      </c>
      <c r="D127" s="124">
        <f t="shared" si="22"/>
        <v>-15733.04</v>
      </c>
      <c r="E127" s="41">
        <f t="shared" si="23"/>
        <v>-41746.080000000002</v>
      </c>
    </row>
    <row r="128" spans="1:8" s="38" customFormat="1" ht="13" x14ac:dyDescent="0.3">
      <c r="A128" s="72" t="str">
        <f t="shared" si="24"/>
        <v>Legal Expenses</v>
      </c>
      <c r="B128" s="124">
        <f>+B158</f>
        <v>-278.64</v>
      </c>
      <c r="C128" s="124">
        <f t="shared" si="22"/>
        <v>-3744.02</v>
      </c>
      <c r="D128" s="124">
        <f t="shared" si="22"/>
        <v>-11094.64</v>
      </c>
      <c r="E128" s="41">
        <f t="shared" si="23"/>
        <v>-15117.3</v>
      </c>
    </row>
    <row r="129" spans="1:7" s="80" customFormat="1" ht="10" x14ac:dyDescent="0.2">
      <c r="A129" s="107" t="str">
        <f t="shared" si="24"/>
        <v>Operational - Legal Expenses</v>
      </c>
      <c r="B129" s="118">
        <f>+B159</f>
        <v>-278.64</v>
      </c>
      <c r="C129" s="118">
        <f t="shared" si="22"/>
        <v>0</v>
      </c>
      <c r="D129" s="118">
        <f t="shared" si="22"/>
        <v>0</v>
      </c>
      <c r="E129" s="49">
        <f>SUM(B129:D129)</f>
        <v>-278.64</v>
      </c>
    </row>
    <row r="130" spans="1:7" s="80" customFormat="1" ht="10" x14ac:dyDescent="0.2">
      <c r="A130" s="107" t="str">
        <f>+A162</f>
        <v>Senior Loans - Legal Expenses</v>
      </c>
      <c r="B130" s="118">
        <f>+B162</f>
        <v>0</v>
      </c>
      <c r="C130" s="118">
        <f>+C162</f>
        <v>-3744.02</v>
      </c>
      <c r="D130" s="118">
        <f>+D162</f>
        <v>-14838.66</v>
      </c>
      <c r="E130" s="49">
        <f>SUM(B130:D130)</f>
        <v>-18582.68</v>
      </c>
    </row>
    <row r="131" spans="1:7" s="38" customFormat="1" ht="13" x14ac:dyDescent="0.3">
      <c r="A131" s="72" t="str">
        <f>+A165</f>
        <v>Bank and Account Charges</v>
      </c>
      <c r="B131" s="124">
        <f>+B165</f>
        <v>-135</v>
      </c>
      <c r="C131" s="124">
        <f>+C165-B165</f>
        <v>-175</v>
      </c>
      <c r="D131" s="124">
        <f>+D165-C165</f>
        <v>-390</v>
      </c>
      <c r="E131" s="41">
        <f>SUM(B131:D131)</f>
        <v>-700</v>
      </c>
    </row>
    <row r="132" spans="1:7" s="38" customFormat="1" ht="13" x14ac:dyDescent="0.3">
      <c r="A132" s="72" t="str">
        <f t="shared" ref="A132:A135" si="25">+A166</f>
        <v>Credit Committe Meetings Costs</v>
      </c>
      <c r="B132" s="124">
        <f>+B166</f>
        <v>0</v>
      </c>
      <c r="C132" s="124">
        <f>+C166</f>
        <v>-750</v>
      </c>
      <c r="D132" s="124">
        <f>+D166-C166</f>
        <v>-1500</v>
      </c>
      <c r="E132" s="41">
        <f t="shared" ref="E132:E135" si="26">SUM(B132:D132)</f>
        <v>-2250</v>
      </c>
    </row>
    <row r="133" spans="1:7" s="38" customFormat="1" ht="13" x14ac:dyDescent="0.3">
      <c r="A133" s="72" t="str">
        <f t="shared" si="25"/>
        <v>Advisory Committee Meetings Costs</v>
      </c>
      <c r="B133" s="124">
        <f>+B167</f>
        <v>0</v>
      </c>
      <c r="C133" s="124">
        <f>+C167</f>
        <v>0</v>
      </c>
      <c r="D133" s="124">
        <f>+D167</f>
        <v>0</v>
      </c>
      <c r="E133" s="41">
        <f t="shared" si="26"/>
        <v>0</v>
      </c>
    </row>
    <row r="134" spans="1:7" s="38" customFormat="1" ht="13" x14ac:dyDescent="0.3">
      <c r="A134" s="72" t="str">
        <f t="shared" si="25"/>
        <v>External Audit and Report Expenses</v>
      </c>
      <c r="B134" s="124">
        <f>+B168</f>
        <v>-2686.6666666666702</v>
      </c>
      <c r="C134" s="124">
        <f>+C168-B168</f>
        <v>-2686.67333333333</v>
      </c>
      <c r="D134" s="124">
        <f>+D168-C168</f>
        <v>-2686.67</v>
      </c>
      <c r="E134" s="41">
        <f t="shared" si="26"/>
        <v>-8060.01</v>
      </c>
    </row>
    <row r="135" spans="1:7" s="38" customFormat="1" ht="13" x14ac:dyDescent="0.3">
      <c r="A135" s="72" t="str">
        <f t="shared" si="25"/>
        <v>Insurance - D&amp;O</v>
      </c>
      <c r="B135" s="124">
        <f>+B169</f>
        <v>-1666.67</v>
      </c>
      <c r="C135" s="124">
        <f>+C169-B169</f>
        <v>-1666.67</v>
      </c>
      <c r="D135" s="124">
        <f>+D169-C169</f>
        <v>-916.67000000000007</v>
      </c>
      <c r="E135" s="41">
        <f t="shared" si="26"/>
        <v>-4250.01</v>
      </c>
    </row>
    <row r="136" spans="1:7" s="38" customFormat="1" ht="13" x14ac:dyDescent="0.3">
      <c r="A136" s="72" t="str">
        <f>+A170</f>
        <v>TOTAL EXPENSES</v>
      </c>
      <c r="B136" s="41">
        <f>+B125+B131+B127+B128+B132+B133+B134+B126+B135</f>
        <v>-212698.78666666668</v>
      </c>
      <c r="C136" s="41">
        <f>+C125+C131+C127+C128+C132+C133+C134+C126+C135</f>
        <v>-205317.72333333336</v>
      </c>
      <c r="D136" s="41">
        <f>+D125+D131+D127+D128+D132+D133+D134+D126+D135</f>
        <v>-248466.8</v>
      </c>
      <c r="E136" s="41">
        <f>+E125+E131+E127+E128+E132+E133+E134+E126+E135</f>
        <v>-666483.31000000006</v>
      </c>
    </row>
    <row r="137" spans="1:7" x14ac:dyDescent="0.3">
      <c r="A137" s="23"/>
      <c r="B137" s="71"/>
      <c r="C137" s="71"/>
      <c r="D137" s="71"/>
      <c r="E137" s="71"/>
    </row>
    <row r="138" spans="1:7" x14ac:dyDescent="0.3">
      <c r="A138" s="16" t="s">
        <v>118</v>
      </c>
      <c r="B138" s="13">
        <f>+B122+B136</f>
        <v>-81468.716666666674</v>
      </c>
      <c r="C138" s="13">
        <f>+C122+C136</f>
        <v>-72499.823333333363</v>
      </c>
      <c r="D138" s="13">
        <f>+D122+D136</f>
        <v>-52424.50999999998</v>
      </c>
      <c r="E138" s="13">
        <f>+E122+E136</f>
        <v>-206393.0500000001</v>
      </c>
    </row>
    <row r="139" spans="1:7" x14ac:dyDescent="0.3">
      <c r="A139" s="77"/>
      <c r="B139" s="40"/>
      <c r="C139" s="40"/>
      <c r="D139" s="40"/>
      <c r="E139" s="25"/>
      <c r="G139" s="51"/>
    </row>
    <row r="140" spans="1:7" x14ac:dyDescent="0.3">
      <c r="A140" s="78" t="s">
        <v>54</v>
      </c>
      <c r="B140" s="11">
        <f>+B174</f>
        <v>-218440.76999999996</v>
      </c>
      <c r="C140" s="11">
        <f>+C174-B174</f>
        <v>-145007.54000000004</v>
      </c>
      <c r="D140" s="11">
        <f>+D174-C174</f>
        <v>-135477.69</v>
      </c>
      <c r="E140" s="11">
        <f>SUM(B140:D140)</f>
        <v>-498926</v>
      </c>
      <c r="G140" s="51"/>
    </row>
    <row r="141" spans="1:7" x14ac:dyDescent="0.3">
      <c r="A141" s="10"/>
      <c r="B141" s="41"/>
      <c r="C141" s="41"/>
      <c r="D141" s="41"/>
      <c r="E141" s="72"/>
    </row>
    <row r="142" spans="1:7" x14ac:dyDescent="0.3">
      <c r="A142" s="42" t="s">
        <v>119</v>
      </c>
      <c r="B142" s="13">
        <f>+B138+B140</f>
        <v>-299909.48666666663</v>
      </c>
      <c r="C142" s="13">
        <f>+C138+C140</f>
        <v>-217507.3633333334</v>
      </c>
      <c r="D142" s="13">
        <f>+D138+D140</f>
        <v>-187902.19999999998</v>
      </c>
      <c r="E142" s="13">
        <f>+E138+E140</f>
        <v>-705319.05</v>
      </c>
      <c r="F142" s="51"/>
    </row>
    <row r="143" spans="1:7" x14ac:dyDescent="0.3">
      <c r="A143" s="43"/>
      <c r="B143" s="14"/>
      <c r="C143" s="14"/>
      <c r="D143" s="14"/>
      <c r="E143" s="14"/>
    </row>
    <row r="144" spans="1:7" x14ac:dyDescent="0.3">
      <c r="A144" s="43"/>
      <c r="B144" s="128"/>
      <c r="C144" s="128"/>
      <c r="D144" s="128"/>
      <c r="E144" s="84"/>
    </row>
    <row r="145" spans="1:5" x14ac:dyDescent="0.3">
      <c r="A145" s="43"/>
      <c r="B145" s="129"/>
      <c r="C145" s="129"/>
      <c r="D145" s="129"/>
      <c r="E145" s="85"/>
    </row>
    <row r="146" spans="1:5" x14ac:dyDescent="0.3">
      <c r="A146" s="25" t="s">
        <v>81</v>
      </c>
      <c r="B146" s="70"/>
      <c r="C146" s="70"/>
      <c r="D146" s="70"/>
      <c r="E146" s="36"/>
    </row>
    <row r="147" spans="1:5" x14ac:dyDescent="0.3">
      <c r="A147" s="50"/>
      <c r="B147" s="11"/>
      <c r="C147" s="11"/>
      <c r="D147" s="11"/>
      <c r="E147" s="64"/>
    </row>
    <row r="148" spans="1:5" s="38" customFormat="1" x14ac:dyDescent="0.3">
      <c r="A148" s="50" t="s">
        <v>11</v>
      </c>
      <c r="B148" s="11"/>
      <c r="C148" s="11"/>
      <c r="D148" s="11"/>
      <c r="E148" s="64"/>
    </row>
    <row r="149" spans="1:5" s="38" customFormat="1" ht="13" x14ac:dyDescent="0.3">
      <c r="A149" s="72" t="s">
        <v>35</v>
      </c>
      <c r="B149" s="124">
        <v>125236.9</v>
      </c>
      <c r="C149" s="124">
        <v>254072.37</v>
      </c>
      <c r="D149" s="124">
        <v>445554.36</v>
      </c>
      <c r="E149" s="89"/>
    </row>
    <row r="150" spans="1:5" s="38" customFormat="1" ht="13" x14ac:dyDescent="0.3">
      <c r="A150" s="72" t="s">
        <v>102</v>
      </c>
      <c r="B150" s="124">
        <v>3663.82</v>
      </c>
      <c r="C150" s="124">
        <v>7338.19</v>
      </c>
      <c r="D150" s="124">
        <v>11549.17</v>
      </c>
      <c r="E150" s="89"/>
    </row>
    <row r="151" spans="1:5" s="38" customFormat="1" ht="13" x14ac:dyDescent="0.3">
      <c r="A151" s="72" t="s">
        <v>89</v>
      </c>
      <c r="B151" s="124">
        <v>2329.35</v>
      </c>
      <c r="C151" s="124">
        <v>2637.41</v>
      </c>
      <c r="D151" s="124">
        <v>2986.73</v>
      </c>
      <c r="E151" s="89"/>
    </row>
    <row r="152" spans="1:5" x14ac:dyDescent="0.3">
      <c r="A152" s="50" t="s">
        <v>8</v>
      </c>
      <c r="B152" s="11">
        <f>SUM(B149:B151)</f>
        <v>131230.07</v>
      </c>
      <c r="C152" s="11">
        <f>SUM(C149:C151)</f>
        <v>264047.96999999997</v>
      </c>
      <c r="D152" s="11">
        <f>SUM(D149:D151)</f>
        <v>460090.25999999995</v>
      </c>
      <c r="E152" s="36"/>
    </row>
    <row r="153" spans="1:5" x14ac:dyDescent="0.3">
      <c r="A153" s="50"/>
      <c r="B153" s="11"/>
      <c r="C153" s="11"/>
      <c r="D153" s="11"/>
      <c r="E153" s="76"/>
    </row>
    <row r="154" spans="1:5" s="38" customFormat="1" x14ac:dyDescent="0.3">
      <c r="A154" s="50" t="s">
        <v>12</v>
      </c>
      <c r="B154" s="11"/>
      <c r="C154" s="11"/>
      <c r="D154" s="11"/>
      <c r="E154" s="36"/>
    </row>
    <row r="155" spans="1:5" s="38" customFormat="1" ht="13" x14ac:dyDescent="0.3">
      <c r="A155" s="72" t="s">
        <v>13</v>
      </c>
      <c r="B155" s="124">
        <v>-133319.59</v>
      </c>
      <c r="C155" s="124">
        <v>-258125.07</v>
      </c>
      <c r="D155" s="124">
        <v>-398516.85</v>
      </c>
      <c r="E155" s="111"/>
    </row>
    <row r="156" spans="1:5" s="38" customFormat="1" ht="13" x14ac:dyDescent="0.3">
      <c r="A156" s="72" t="s">
        <v>62</v>
      </c>
      <c r="B156" s="124">
        <f>-62688.6</f>
        <v>-62688.6</v>
      </c>
      <c r="C156" s="124">
        <v>-120089.06</v>
      </c>
      <c r="D156" s="124">
        <v>-195843.06</v>
      </c>
      <c r="E156" s="111"/>
    </row>
    <row r="157" spans="1:5" s="38" customFormat="1" ht="13" x14ac:dyDescent="0.3">
      <c r="A157" s="72" t="s">
        <v>120</v>
      </c>
      <c r="B157" s="124">
        <v>-11923.62</v>
      </c>
      <c r="C157" s="124">
        <v>-26013.040000000001</v>
      </c>
      <c r="D157" s="124">
        <v>-41746.080000000002</v>
      </c>
      <c r="E157" s="111"/>
    </row>
    <row r="158" spans="1:5" s="38" customFormat="1" ht="13" x14ac:dyDescent="0.3">
      <c r="A158" s="72" t="s">
        <v>20</v>
      </c>
      <c r="B158" s="124">
        <f>+B159+B162</f>
        <v>-278.64</v>
      </c>
      <c r="C158" s="124">
        <f>+C159+C162</f>
        <v>-4022.66</v>
      </c>
      <c r="D158" s="124">
        <f>+D159+D162</f>
        <v>-15117.3</v>
      </c>
      <c r="E158" s="87"/>
    </row>
    <row r="159" spans="1:5" s="80" customFormat="1" ht="10" x14ac:dyDescent="0.2">
      <c r="A159" s="107" t="s">
        <v>107</v>
      </c>
      <c r="B159" s="118">
        <f>+B160+B161</f>
        <v>-278.64</v>
      </c>
      <c r="C159" s="118">
        <f>+C160+C161</f>
        <v>-278.64</v>
      </c>
      <c r="D159" s="118">
        <f>+D160+D161</f>
        <v>-278.64</v>
      </c>
      <c r="E159" s="108"/>
    </row>
    <row r="160" spans="1:5" s="116" customFormat="1" ht="9" x14ac:dyDescent="0.2">
      <c r="A160" s="114" t="s">
        <v>131</v>
      </c>
      <c r="B160" s="120">
        <v>-176</v>
      </c>
      <c r="C160" s="120">
        <v>-176</v>
      </c>
      <c r="D160" s="120">
        <v>-176</v>
      </c>
      <c r="E160" s="115"/>
    </row>
    <row r="161" spans="1:5" s="116" customFormat="1" ht="9" x14ac:dyDescent="0.2">
      <c r="A161" s="114" t="s">
        <v>130</v>
      </c>
      <c r="B161" s="120">
        <v>-102.64</v>
      </c>
      <c r="C161" s="120">
        <v>-102.64</v>
      </c>
      <c r="D161" s="120">
        <v>-102.64</v>
      </c>
      <c r="E161" s="115"/>
    </row>
    <row r="162" spans="1:5" s="80" customFormat="1" ht="10" x14ac:dyDescent="0.2">
      <c r="A162" s="107" t="s">
        <v>106</v>
      </c>
      <c r="B162" s="118">
        <f t="shared" ref="B162:C162" si="27">+B163+B164</f>
        <v>0</v>
      </c>
      <c r="C162" s="118">
        <f t="shared" si="27"/>
        <v>-3744.02</v>
      </c>
      <c r="D162" s="118">
        <f>+D163+D164</f>
        <v>-14838.66</v>
      </c>
      <c r="E162" s="108"/>
    </row>
    <row r="163" spans="1:5" s="116" customFormat="1" ht="9" x14ac:dyDescent="0.2">
      <c r="A163" s="114" t="s">
        <v>104</v>
      </c>
      <c r="B163" s="120">
        <v>0</v>
      </c>
      <c r="C163" s="120">
        <v>-3744.02</v>
      </c>
      <c r="D163" s="120">
        <f>-3744.02-7094.64</f>
        <v>-10838.66</v>
      </c>
      <c r="E163" s="115"/>
    </row>
    <row r="164" spans="1:5" s="116" customFormat="1" ht="9" x14ac:dyDescent="0.2">
      <c r="A164" s="114" t="s">
        <v>117</v>
      </c>
      <c r="B164" s="120"/>
      <c r="C164" s="120">
        <v>0</v>
      </c>
      <c r="D164" s="120">
        <v>-4000</v>
      </c>
      <c r="E164" s="115"/>
    </row>
    <row r="165" spans="1:5" s="38" customFormat="1" ht="13" x14ac:dyDescent="0.3">
      <c r="A165" s="72" t="s">
        <v>23</v>
      </c>
      <c r="B165" s="124">
        <v>-135</v>
      </c>
      <c r="C165" s="124">
        <v>-310</v>
      </c>
      <c r="D165" s="124">
        <v>-700</v>
      </c>
      <c r="E165" s="86"/>
    </row>
    <row r="166" spans="1:5" s="38" customFormat="1" ht="13" x14ac:dyDescent="0.3">
      <c r="A166" s="72" t="s">
        <v>56</v>
      </c>
      <c r="B166" s="124">
        <v>0</v>
      </c>
      <c r="C166" s="124">
        <v>-750</v>
      </c>
      <c r="D166" s="124">
        <v>-2250</v>
      </c>
      <c r="E166" s="86"/>
    </row>
    <row r="167" spans="1:5" s="38" customFormat="1" ht="13" hidden="1" x14ac:dyDescent="0.3">
      <c r="A167" s="72" t="s">
        <v>68</v>
      </c>
      <c r="B167" s="124"/>
      <c r="C167" s="124"/>
      <c r="D167" s="124"/>
      <c r="E167" s="86"/>
    </row>
    <row r="168" spans="1:5" s="38" customFormat="1" ht="13" x14ac:dyDescent="0.3">
      <c r="A168" s="72" t="s">
        <v>110</v>
      </c>
      <c r="B168" s="124">
        <v>-2686.6666666666702</v>
      </c>
      <c r="C168" s="124">
        <v>-5373.34</v>
      </c>
      <c r="D168" s="124">
        <v>-8060.01</v>
      </c>
      <c r="E168" s="86"/>
    </row>
    <row r="169" spans="1:5" s="38" customFormat="1" ht="13" x14ac:dyDescent="0.3">
      <c r="A169" s="72" t="s">
        <v>71</v>
      </c>
      <c r="B169" s="124">
        <v>-1666.67</v>
      </c>
      <c r="C169" s="124">
        <v>-3333.34</v>
      </c>
      <c r="D169" s="124">
        <v>-4250.01</v>
      </c>
      <c r="E169" s="86"/>
    </row>
    <row r="170" spans="1:5" x14ac:dyDescent="0.3">
      <c r="A170" s="50" t="s">
        <v>14</v>
      </c>
      <c r="B170" s="11">
        <f>+B155+B165+B157+B158+B166+B167+B168+B156+B169</f>
        <v>-212698.78666666668</v>
      </c>
      <c r="C170" s="11">
        <f>+C155+C165+C157+C158+C166+C167+C168+C156+C169</f>
        <v>-418016.51</v>
      </c>
      <c r="D170" s="11">
        <f>+D155+D165+D157+D158+D166+D167+D168+D156+D169</f>
        <v>-666483.31000000006</v>
      </c>
      <c r="E170" s="36"/>
    </row>
    <row r="171" spans="1:5" x14ac:dyDescent="0.3">
      <c r="A171" s="23"/>
      <c r="B171" s="71"/>
      <c r="C171" s="71"/>
      <c r="D171" s="71"/>
      <c r="E171" s="36"/>
    </row>
    <row r="172" spans="1:5" x14ac:dyDescent="0.3">
      <c r="A172" s="16" t="s">
        <v>118</v>
      </c>
      <c r="B172" s="13">
        <f>+B152+B170</f>
        <v>-81468.716666666674</v>
      </c>
      <c r="C172" s="13">
        <f>+C152+C170</f>
        <v>-153968.54000000004</v>
      </c>
      <c r="D172" s="13">
        <f>+D152+D170</f>
        <v>-206393.0500000001</v>
      </c>
      <c r="E172" s="84"/>
    </row>
    <row r="173" spans="1:5" x14ac:dyDescent="0.3">
      <c r="A173" s="77"/>
      <c r="B173" s="40"/>
      <c r="C173" s="40"/>
      <c r="D173" s="40"/>
      <c r="E173" s="84"/>
    </row>
    <row r="174" spans="1:5" x14ac:dyDescent="0.3">
      <c r="A174" s="78" t="s">
        <v>54</v>
      </c>
      <c r="B174" s="11">
        <v>-218440.76999999996</v>
      </c>
      <c r="C174" s="11">
        <v>-363448.31</v>
      </c>
      <c r="D174" s="11">
        <v>-498926</v>
      </c>
      <c r="E174" s="151"/>
    </row>
    <row r="175" spans="1:5" x14ac:dyDescent="0.3">
      <c r="A175" s="10"/>
      <c r="B175" s="41"/>
      <c r="C175" s="41"/>
      <c r="D175" s="41"/>
      <c r="E175" s="84"/>
    </row>
    <row r="176" spans="1:5" x14ac:dyDescent="0.3">
      <c r="A176" s="42" t="s">
        <v>119</v>
      </c>
      <c r="B176" s="13">
        <f>+B172+B174</f>
        <v>-299909.48666666663</v>
      </c>
      <c r="C176" s="13">
        <f>+C172+C174</f>
        <v>-517416.85000000003</v>
      </c>
      <c r="D176" s="13">
        <f>+D172+D174</f>
        <v>-705319.05</v>
      </c>
    </row>
    <row r="178" spans="1:5" x14ac:dyDescent="0.3">
      <c r="A178" s="3"/>
      <c r="B178" s="93">
        <f>+B63-B114</f>
        <v>-3.3333338797092438E-3</v>
      </c>
      <c r="C178" s="93">
        <f>+C63-C114</f>
        <v>0</v>
      </c>
      <c r="D178" s="93">
        <f>+D63-D114</f>
        <v>0</v>
      </c>
      <c r="E178" s="90"/>
    </row>
    <row r="181" spans="1:5" x14ac:dyDescent="0.3">
      <c r="A181" s="3"/>
      <c r="B181" s="141"/>
      <c r="C181" s="141"/>
      <c r="D181" s="141"/>
    </row>
    <row r="182" spans="1:5" x14ac:dyDescent="0.3">
      <c r="A182" s="3"/>
      <c r="B182" s="26"/>
      <c r="C182" s="26"/>
      <c r="D182" s="26"/>
    </row>
    <row r="184" spans="1:5" x14ac:dyDescent="0.3">
      <c r="A184" s="3"/>
      <c r="B184" s="93"/>
      <c r="C184" s="93"/>
      <c r="D184" s="93"/>
    </row>
  </sheetData>
  <phoneticPr fontId="2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3EF35-C412-4893-8487-148E141986B1}">
  <dimension ref="A1:F13"/>
  <sheetViews>
    <sheetView workbookViewId="0">
      <selection activeCell="G7" sqref="G7"/>
    </sheetView>
  </sheetViews>
  <sheetFormatPr defaultRowHeight="12.5" x14ac:dyDescent="0.25"/>
  <cols>
    <col min="2" max="2" width="21.36328125" bestFit="1" customWidth="1"/>
    <col min="3" max="3" width="9.90625" bestFit="1" customWidth="1"/>
    <col min="4" max="4" width="17.36328125" bestFit="1" customWidth="1"/>
    <col min="5" max="5" width="14.36328125" bestFit="1" customWidth="1"/>
  </cols>
  <sheetData>
    <row r="1" spans="1:6" ht="13" x14ac:dyDescent="0.3">
      <c r="A1" s="166" t="s">
        <v>158</v>
      </c>
      <c r="B1" s="166" t="s">
        <v>159</v>
      </c>
      <c r="C1" s="166" t="s">
        <v>36</v>
      </c>
      <c r="D1" s="166" t="s">
        <v>160</v>
      </c>
      <c r="E1" s="166" t="s">
        <v>161</v>
      </c>
      <c r="F1" s="166"/>
    </row>
    <row r="2" spans="1:6" x14ac:dyDescent="0.25">
      <c r="A2">
        <v>0</v>
      </c>
      <c r="B2" t="s">
        <v>49</v>
      </c>
      <c r="C2" t="s">
        <v>30</v>
      </c>
      <c r="D2" s="176">
        <v>44130</v>
      </c>
      <c r="E2" s="177">
        <v>3000000</v>
      </c>
    </row>
    <row r="3" spans="1:6" x14ac:dyDescent="0.25">
      <c r="A3">
        <v>1</v>
      </c>
      <c r="B3" t="s">
        <v>72</v>
      </c>
      <c r="C3" t="s">
        <v>30</v>
      </c>
      <c r="D3" s="176">
        <v>44134</v>
      </c>
      <c r="E3" s="177">
        <v>1200000</v>
      </c>
    </row>
    <row r="4" spans="1:6" x14ac:dyDescent="0.25">
      <c r="A4">
        <v>2</v>
      </c>
      <c r="B4" t="s">
        <v>162</v>
      </c>
      <c r="C4" t="s">
        <v>34</v>
      </c>
      <c r="D4" s="176">
        <v>44174</v>
      </c>
      <c r="E4" s="177">
        <v>750000</v>
      </c>
    </row>
    <row r="5" spans="1:6" x14ac:dyDescent="0.25">
      <c r="A5">
        <v>3</v>
      </c>
      <c r="B5" t="s">
        <v>41</v>
      </c>
      <c r="C5" t="s">
        <v>29</v>
      </c>
      <c r="D5" s="176">
        <v>44188</v>
      </c>
      <c r="E5" s="177">
        <v>5000000</v>
      </c>
    </row>
    <row r="6" spans="1:6" x14ac:dyDescent="0.25">
      <c r="A6">
        <v>4</v>
      </c>
      <c r="B6" t="s">
        <v>163</v>
      </c>
      <c r="C6" t="s">
        <v>63</v>
      </c>
      <c r="D6" s="176">
        <v>44194</v>
      </c>
      <c r="E6" s="177">
        <v>2000000</v>
      </c>
    </row>
    <row r="7" spans="1:6" x14ac:dyDescent="0.25">
      <c r="A7">
        <v>5</v>
      </c>
      <c r="B7" t="s">
        <v>164</v>
      </c>
      <c r="C7" t="s">
        <v>27</v>
      </c>
      <c r="D7" s="176">
        <v>44196</v>
      </c>
      <c r="E7" s="177">
        <v>500000</v>
      </c>
    </row>
    <row r="8" spans="1:6" x14ac:dyDescent="0.25">
      <c r="A8">
        <v>6</v>
      </c>
      <c r="B8" t="s">
        <v>165</v>
      </c>
      <c r="C8" t="s">
        <v>33</v>
      </c>
      <c r="D8" s="176">
        <v>44208</v>
      </c>
      <c r="E8" s="177">
        <v>5000000</v>
      </c>
    </row>
    <row r="9" spans="1:6" x14ac:dyDescent="0.25">
      <c r="A9">
        <v>7</v>
      </c>
      <c r="B9" t="s">
        <v>166</v>
      </c>
      <c r="C9" t="s">
        <v>167</v>
      </c>
      <c r="D9" s="176">
        <v>44215</v>
      </c>
      <c r="E9" s="177">
        <v>1000000</v>
      </c>
    </row>
    <row r="10" spans="1:6" x14ac:dyDescent="0.25">
      <c r="A10">
        <v>8</v>
      </c>
      <c r="B10" t="s">
        <v>168</v>
      </c>
      <c r="C10" t="s">
        <v>30</v>
      </c>
      <c r="D10" s="176">
        <v>44246</v>
      </c>
      <c r="E10" s="177">
        <v>840000</v>
      </c>
    </row>
    <row r="11" spans="1:6" x14ac:dyDescent="0.25">
      <c r="A11">
        <v>9</v>
      </c>
      <c r="B11" t="s">
        <v>169</v>
      </c>
      <c r="C11" t="s">
        <v>33</v>
      </c>
      <c r="D11" s="176">
        <v>44258</v>
      </c>
      <c r="E11" s="177">
        <v>4000000</v>
      </c>
    </row>
    <row r="12" spans="1:6" x14ac:dyDescent="0.25">
      <c r="A12">
        <v>10</v>
      </c>
      <c r="B12" t="s">
        <v>170</v>
      </c>
      <c r="C12" t="s">
        <v>27</v>
      </c>
      <c r="D12" s="176">
        <v>44280</v>
      </c>
      <c r="E12" s="177">
        <v>2800000</v>
      </c>
    </row>
    <row r="13" spans="1:6" x14ac:dyDescent="0.25">
      <c r="A13">
        <v>11</v>
      </c>
      <c r="B13" t="s">
        <v>72</v>
      </c>
      <c r="C13" t="s">
        <v>30</v>
      </c>
      <c r="D13" s="176">
        <v>44281</v>
      </c>
      <c r="E13" s="177">
        <v>1900000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1BDB-394E-4959-A32F-41609BB0CB2D}">
  <dimension ref="A1:AU165"/>
  <sheetViews>
    <sheetView showGridLines="0" topLeftCell="A4" zoomScale="130" zoomScaleNormal="130" workbookViewId="0">
      <selection activeCell="M18" sqref="M18"/>
    </sheetView>
  </sheetViews>
  <sheetFormatPr defaultColWidth="11.453125" defaultRowHeight="14.5" x14ac:dyDescent="0.25"/>
  <cols>
    <col min="1" max="1" width="4" style="183" bestFit="1" customWidth="1"/>
    <col min="2" max="2" width="3.7265625" style="183" customWidth="1"/>
    <col min="3" max="3" width="10.08984375" style="183" bestFit="1" customWidth="1"/>
    <col min="4" max="4" width="6.54296875" style="183" bestFit="1" customWidth="1"/>
    <col min="5" max="5" width="6.6328125" style="183" bestFit="1" customWidth="1"/>
    <col min="6" max="6" width="7.26953125" style="183" customWidth="1"/>
    <col min="7" max="7" width="6.26953125" style="183" bestFit="1" customWidth="1"/>
    <col min="8" max="8" width="7.6328125" style="183" customWidth="1"/>
    <col min="9" max="9" width="4.90625" style="183" bestFit="1" customWidth="1"/>
    <col min="10" max="10" width="6" style="183" bestFit="1" customWidth="1"/>
    <col min="11" max="11" width="9" style="184" bestFit="1" customWidth="1"/>
    <col min="12" max="12" width="4.7265625" style="184" customWidth="1"/>
    <col min="13" max="13" width="7.08984375" style="184" customWidth="1"/>
    <col min="14" max="14" width="7.90625" style="183" bestFit="1" customWidth="1"/>
    <col min="15" max="15" width="4.36328125" style="183" bestFit="1" customWidth="1"/>
    <col min="16" max="16" width="4.7265625" style="183" bestFit="1" customWidth="1"/>
    <col min="17" max="17" width="5" style="183" bestFit="1" customWidth="1"/>
    <col min="18" max="18" width="5.1796875" style="183" bestFit="1" customWidth="1"/>
    <col min="19" max="19" width="6.81640625" style="183" bestFit="1" customWidth="1"/>
    <col min="20" max="22" width="8.7265625" style="183" customWidth="1"/>
    <col min="23" max="23" width="22.26953125" style="183" bestFit="1" customWidth="1"/>
    <col min="24" max="24" width="18.1796875" style="183" bestFit="1" customWidth="1"/>
    <col min="25" max="25" width="32.7265625" style="183" bestFit="1" customWidth="1"/>
    <col min="26" max="26" width="14.453125" style="183" bestFit="1" customWidth="1"/>
    <col min="27" max="27" width="9.453125" style="183" customWidth="1"/>
    <col min="28" max="28" width="2.7265625" style="183" customWidth="1"/>
    <col min="29" max="29" width="34.7265625" style="183" bestFit="1" customWidth="1"/>
    <col min="30" max="30" width="7.81640625" style="183" bestFit="1" customWidth="1"/>
    <col min="31" max="33" width="12.1796875" style="183" customWidth="1"/>
    <col min="34" max="34" width="14.1796875" style="183" customWidth="1"/>
    <col min="35" max="35" width="18.453125" style="183" customWidth="1"/>
    <col min="36" max="36" width="12.81640625" style="183" customWidth="1"/>
    <col min="37" max="37" width="9" style="183" customWidth="1"/>
    <col min="38" max="38" width="7.81640625" style="183" customWidth="1"/>
    <col min="39" max="39" width="8.81640625" style="183" customWidth="1"/>
    <col min="40" max="40" width="12.1796875" style="183" customWidth="1"/>
    <col min="41" max="41" width="11.453125" style="183"/>
    <col min="42" max="42" width="3.453125" style="183" bestFit="1" customWidth="1"/>
    <col min="43" max="43" width="12.453125" style="183" customWidth="1"/>
    <col min="44" max="44" width="10.81640625" style="183" bestFit="1" customWidth="1"/>
    <col min="45" max="45" width="7" style="183" bestFit="1" customWidth="1"/>
    <col min="46" max="46" width="8.7265625" style="183" customWidth="1"/>
    <col min="47" max="47" width="13.81640625" style="183" customWidth="1"/>
    <col min="48" max="16384" width="11.453125" style="183"/>
  </cols>
  <sheetData>
    <row r="1" spans="1:42" x14ac:dyDescent="0.25">
      <c r="AA1" s="185"/>
    </row>
    <row r="2" spans="1:42" s="186" customFormat="1" ht="36" x14ac:dyDescent="0.3">
      <c r="B2" s="187"/>
      <c r="C2" s="187" t="s">
        <v>171</v>
      </c>
      <c r="D2" s="187" t="s">
        <v>36</v>
      </c>
      <c r="E2" s="188" t="s">
        <v>172</v>
      </c>
      <c r="F2" s="188" t="s">
        <v>173</v>
      </c>
      <c r="G2" s="188" t="s">
        <v>174</v>
      </c>
      <c r="H2" s="188" t="s">
        <v>175</v>
      </c>
      <c r="I2" s="188" t="s">
        <v>176</v>
      </c>
      <c r="J2" s="188" t="s">
        <v>177</v>
      </c>
      <c r="K2" s="189" t="s">
        <v>178</v>
      </c>
      <c r="L2" s="189" t="s">
        <v>179</v>
      </c>
      <c r="M2" s="189" t="s">
        <v>180</v>
      </c>
      <c r="N2" s="189" t="s">
        <v>181</v>
      </c>
      <c r="O2" s="189" t="s">
        <v>182</v>
      </c>
      <c r="P2" s="189" t="s">
        <v>183</v>
      </c>
      <c r="Q2" s="189" t="s">
        <v>184</v>
      </c>
      <c r="R2" s="188" t="s">
        <v>185</v>
      </c>
      <c r="S2" s="188" t="s">
        <v>186</v>
      </c>
      <c r="T2" s="190"/>
      <c r="U2" s="190"/>
      <c r="V2" s="191"/>
      <c r="W2" s="192" t="s">
        <v>187</v>
      </c>
      <c r="X2" s="192" t="s">
        <v>188</v>
      </c>
      <c r="Y2" s="192" t="s">
        <v>189</v>
      </c>
      <c r="Z2" s="192" t="s">
        <v>190</v>
      </c>
    </row>
    <row r="3" spans="1:42" s="204" customFormat="1" ht="11.5" customHeight="1" x14ac:dyDescent="0.35">
      <c r="A3" s="193"/>
      <c r="B3" s="194">
        <v>1</v>
      </c>
      <c r="C3" s="194" t="s">
        <v>191</v>
      </c>
      <c r="D3" s="194" t="s">
        <v>33</v>
      </c>
      <c r="E3" s="195">
        <v>44197</v>
      </c>
      <c r="F3" s="196">
        <v>198.1950577915452</v>
      </c>
      <c r="G3" s="197">
        <v>72224</v>
      </c>
      <c r="H3" s="198">
        <v>0.48166814355338944</v>
      </c>
      <c r="I3" s="199">
        <v>0.233786552946389</v>
      </c>
      <c r="J3" s="200">
        <v>2744.1717128869236</v>
      </c>
      <c r="K3" s="199">
        <v>0.31070784792650857</v>
      </c>
      <c r="L3" s="201">
        <v>4.5695447904062691E-3</v>
      </c>
      <c r="M3" s="202" t="s">
        <v>192</v>
      </c>
      <c r="N3" s="202" t="s">
        <v>193</v>
      </c>
      <c r="O3" s="202" t="s">
        <v>193</v>
      </c>
      <c r="P3" s="202" t="s">
        <v>193</v>
      </c>
      <c r="Q3" s="202" t="s">
        <v>194</v>
      </c>
      <c r="R3" s="203">
        <v>0.47</v>
      </c>
      <c r="S3" s="203" t="s">
        <v>195</v>
      </c>
      <c r="T3" s="191"/>
      <c r="V3" s="191"/>
      <c r="W3" s="205" t="s">
        <v>153</v>
      </c>
      <c r="X3" s="206">
        <v>4000000</v>
      </c>
      <c r="Y3" s="206">
        <v>2744.1717128869236</v>
      </c>
      <c r="Z3" s="206">
        <v>1457.634732263864</v>
      </c>
      <c r="AA3" s="207"/>
      <c r="AE3" s="208"/>
      <c r="AF3" s="208"/>
      <c r="AG3" s="208"/>
      <c r="AI3" s="209"/>
      <c r="AJ3" s="209"/>
      <c r="AK3" s="209"/>
      <c r="AL3" s="209"/>
      <c r="AM3" s="209"/>
      <c r="AN3" s="209"/>
      <c r="AO3" s="209"/>
      <c r="AP3" s="209"/>
    </row>
    <row r="4" spans="1:42" s="204" customFormat="1" ht="11.5" customHeight="1" x14ac:dyDescent="0.35">
      <c r="A4" s="193"/>
      <c r="B4" s="194">
        <f>+B3+1</f>
        <v>2</v>
      </c>
      <c r="C4" s="194" t="s">
        <v>196</v>
      </c>
      <c r="D4" s="194" t="s">
        <v>33</v>
      </c>
      <c r="E4" s="195">
        <v>44197</v>
      </c>
      <c r="F4" s="196">
        <v>131.87041130758016</v>
      </c>
      <c r="G4" s="197">
        <v>122185</v>
      </c>
      <c r="H4" s="198">
        <v>0.77309817080656384</v>
      </c>
      <c r="I4" s="199">
        <v>0.11938453983713222</v>
      </c>
      <c r="J4" s="200">
        <v>1079.2684151702758</v>
      </c>
      <c r="K4" s="199">
        <v>0.12219977526837363</v>
      </c>
      <c r="L4" s="201">
        <v>1.0546143729520237E-2</v>
      </c>
      <c r="M4" s="202" t="s">
        <v>192</v>
      </c>
      <c r="N4" s="202" t="s">
        <v>197</v>
      </c>
      <c r="O4" s="202" t="s">
        <v>193</v>
      </c>
      <c r="P4" s="202" t="s">
        <v>193</v>
      </c>
      <c r="Q4" s="202" t="s">
        <v>194</v>
      </c>
      <c r="R4" s="194" t="s">
        <v>195</v>
      </c>
      <c r="S4" s="210" t="s">
        <v>195</v>
      </c>
      <c r="T4" s="191"/>
      <c r="U4" s="191"/>
      <c r="V4" s="191"/>
      <c r="W4" s="205" t="s">
        <v>152</v>
      </c>
      <c r="X4" s="206">
        <v>5000000</v>
      </c>
      <c r="Y4" s="206">
        <v>1079.2684151702758</v>
      </c>
      <c r="Z4" s="206">
        <v>4632.7678358039893</v>
      </c>
      <c r="AA4" s="207"/>
      <c r="AE4" s="208"/>
      <c r="AF4" s="208"/>
      <c r="AG4" s="208"/>
      <c r="AI4" s="209"/>
      <c r="AJ4" s="209"/>
      <c r="AK4" s="209"/>
      <c r="AL4" s="209"/>
      <c r="AM4" s="209"/>
      <c r="AN4" s="209"/>
      <c r="AO4" s="209"/>
      <c r="AP4" s="209"/>
    </row>
    <row r="5" spans="1:42" s="204" customFormat="1" ht="11.5" customHeight="1" x14ac:dyDescent="0.35">
      <c r="A5" s="193"/>
      <c r="B5" s="194">
        <f t="shared" ref="B5:B13" si="0">+B4+1</f>
        <v>3</v>
      </c>
      <c r="C5" s="194" t="s">
        <v>41</v>
      </c>
      <c r="D5" s="194" t="s">
        <v>29</v>
      </c>
      <c r="E5" s="195">
        <v>44197</v>
      </c>
      <c r="F5" s="196">
        <v>107.79058215120176</v>
      </c>
      <c r="G5" s="197">
        <v>108038</v>
      </c>
      <c r="H5" s="198">
        <v>0.47310000000000002</v>
      </c>
      <c r="I5" s="199">
        <v>0.84</v>
      </c>
      <c r="J5" s="200">
        <v>997.7098997686162</v>
      </c>
      <c r="K5" s="199">
        <v>6.5707975485288214E-2</v>
      </c>
      <c r="L5" s="201">
        <v>2.2645574759971192E-2</v>
      </c>
      <c r="M5" s="202" t="s">
        <v>192</v>
      </c>
      <c r="N5" s="202" t="s">
        <v>193</v>
      </c>
      <c r="O5" s="202" t="s">
        <v>193</v>
      </c>
      <c r="P5" s="202" t="s">
        <v>193</v>
      </c>
      <c r="Q5" s="202">
        <v>2020</v>
      </c>
      <c r="R5" s="203" t="s">
        <v>195</v>
      </c>
      <c r="S5" s="203" t="s">
        <v>195</v>
      </c>
      <c r="T5" s="191"/>
      <c r="U5" s="191"/>
      <c r="V5" s="211"/>
      <c r="W5" s="205" t="s">
        <v>41</v>
      </c>
      <c r="X5" s="206">
        <v>5000000</v>
      </c>
      <c r="Y5" s="206">
        <v>997.7098997686162</v>
      </c>
      <c r="Z5" s="206">
        <v>5011.4767841429402</v>
      </c>
      <c r="AA5" s="207"/>
      <c r="AE5" s="208"/>
      <c r="AF5" s="208"/>
      <c r="AG5" s="208"/>
      <c r="AI5" s="209"/>
      <c r="AJ5" s="209"/>
      <c r="AK5" s="209"/>
      <c r="AL5" s="209"/>
      <c r="AM5" s="209"/>
      <c r="AN5" s="209"/>
      <c r="AO5" s="209"/>
      <c r="AP5" s="209"/>
    </row>
    <row r="6" spans="1:42" s="204" customFormat="1" ht="11.5" customHeight="1" x14ac:dyDescent="0.35">
      <c r="A6" s="193"/>
      <c r="B6" s="194">
        <f t="shared" si="0"/>
        <v>4</v>
      </c>
      <c r="C6" s="194" t="s">
        <v>72</v>
      </c>
      <c r="D6" s="194" t="s">
        <v>30</v>
      </c>
      <c r="E6" s="195">
        <v>44197</v>
      </c>
      <c r="F6" s="196">
        <v>55.846369229999993</v>
      </c>
      <c r="G6" s="197">
        <v>45909</v>
      </c>
      <c r="H6" s="198">
        <v>0.746017660808588</v>
      </c>
      <c r="I6" s="199">
        <v>0.75943641243182414</v>
      </c>
      <c r="J6" s="200">
        <v>1216.4579762138142</v>
      </c>
      <c r="K6" s="199">
        <v>0.10735663014860243</v>
      </c>
      <c r="L6" s="201">
        <v>5.7848344387347397E-4</v>
      </c>
      <c r="M6" s="202" t="s">
        <v>197</v>
      </c>
      <c r="N6" s="202" t="s">
        <v>193</v>
      </c>
      <c r="O6" s="202" t="s">
        <v>193</v>
      </c>
      <c r="P6" s="202" t="s">
        <v>193</v>
      </c>
      <c r="Q6" s="202">
        <v>2018</v>
      </c>
      <c r="R6" s="203">
        <v>0.59</v>
      </c>
      <c r="S6" s="203" t="s">
        <v>195</v>
      </c>
      <c r="T6" s="191"/>
      <c r="U6" s="191"/>
      <c r="V6" s="211"/>
      <c r="W6" s="205" t="s">
        <v>49</v>
      </c>
      <c r="X6" s="206">
        <v>3000000</v>
      </c>
      <c r="Y6" s="206">
        <v>2244.7568708177964</v>
      </c>
      <c r="Z6" s="206">
        <v>1336.4476300308897</v>
      </c>
      <c r="AA6" s="207"/>
      <c r="AE6" s="208"/>
      <c r="AF6" s="208"/>
      <c r="AG6" s="208"/>
      <c r="AI6" s="209"/>
      <c r="AJ6" s="209"/>
      <c r="AK6" s="209"/>
      <c r="AL6" s="209"/>
      <c r="AM6" s="209"/>
      <c r="AN6" s="209"/>
      <c r="AO6" s="209"/>
      <c r="AP6" s="209"/>
    </row>
    <row r="7" spans="1:42" s="204" customFormat="1" ht="11.5" customHeight="1" x14ac:dyDescent="0.35">
      <c r="A7" s="193"/>
      <c r="B7" s="194">
        <f t="shared" si="0"/>
        <v>5</v>
      </c>
      <c r="C7" s="194" t="s">
        <v>49</v>
      </c>
      <c r="D7" s="194" t="s">
        <v>30</v>
      </c>
      <c r="E7" s="195">
        <v>44228</v>
      </c>
      <c r="F7" s="196">
        <v>43.945605260000001</v>
      </c>
      <c r="G7" s="197">
        <v>19577</v>
      </c>
      <c r="H7" s="198">
        <v>0.53939999999999999</v>
      </c>
      <c r="I7" s="199">
        <v>0.53590000000000004</v>
      </c>
      <c r="J7" s="200">
        <v>2244.7568708177964</v>
      </c>
      <c r="K7" s="199">
        <v>0.19810756957177622</v>
      </c>
      <c r="L7" s="201">
        <v>6.5556266274076121E-3</v>
      </c>
      <c r="M7" s="202" t="s">
        <v>192</v>
      </c>
      <c r="N7" s="202" t="s">
        <v>193</v>
      </c>
      <c r="O7" s="202" t="s">
        <v>193</v>
      </c>
      <c r="P7" s="197" t="s">
        <v>198</v>
      </c>
      <c r="Q7" s="202" t="s">
        <v>194</v>
      </c>
      <c r="R7" s="203">
        <v>0.43</v>
      </c>
      <c r="S7" s="203" t="s">
        <v>195</v>
      </c>
      <c r="T7" s="191"/>
      <c r="U7" s="211"/>
      <c r="V7" s="211"/>
      <c r="W7" s="205" t="s">
        <v>72</v>
      </c>
      <c r="X7" s="206">
        <v>1200000</v>
      </c>
      <c r="Y7" s="206">
        <v>1216.4579762138142</v>
      </c>
      <c r="Z7" s="206">
        <v>986.47057560916403</v>
      </c>
      <c r="AA7" s="207"/>
      <c r="AE7" s="208"/>
      <c r="AF7" s="208"/>
      <c r="AG7" s="208"/>
      <c r="AI7" s="209"/>
      <c r="AJ7" s="209"/>
      <c r="AK7" s="209"/>
      <c r="AL7" s="209"/>
      <c r="AM7" s="209"/>
      <c r="AN7" s="209"/>
      <c r="AO7" s="209"/>
      <c r="AP7" s="209"/>
    </row>
    <row r="8" spans="1:42" s="204" customFormat="1" ht="11.5" customHeight="1" x14ac:dyDescent="0.35">
      <c r="A8" s="193"/>
      <c r="B8" s="194">
        <f t="shared" si="0"/>
        <v>6</v>
      </c>
      <c r="C8" s="194" t="s">
        <v>168</v>
      </c>
      <c r="D8" s="194" t="s">
        <v>30</v>
      </c>
      <c r="E8" s="195">
        <v>44228</v>
      </c>
      <c r="F8" s="196">
        <v>58.699644520000007</v>
      </c>
      <c r="G8" s="197">
        <v>17685</v>
      </c>
      <c r="H8" s="198">
        <v>0.43169999999999997</v>
      </c>
      <c r="I8" s="199">
        <v>0.72040000000000004</v>
      </c>
      <c r="J8" s="200">
        <v>3319.1769590048066</v>
      </c>
      <c r="K8" s="199">
        <v>0.29292886409008972</v>
      </c>
      <c r="L8" s="201">
        <v>2.9469718499072098E-3</v>
      </c>
      <c r="M8" s="201" t="s">
        <v>192</v>
      </c>
      <c r="N8" s="202" t="s">
        <v>193</v>
      </c>
      <c r="O8" s="202" t="s">
        <v>193</v>
      </c>
      <c r="P8" s="197" t="s">
        <v>193</v>
      </c>
      <c r="Q8" s="202">
        <v>2019</v>
      </c>
      <c r="R8" s="203">
        <v>0.35</v>
      </c>
      <c r="S8" s="203" t="s">
        <v>195</v>
      </c>
      <c r="T8" s="191"/>
      <c r="U8" s="211"/>
      <c r="V8" s="211"/>
      <c r="W8" s="205" t="s">
        <v>79</v>
      </c>
      <c r="X8" s="206">
        <v>1200000</v>
      </c>
      <c r="Y8" s="206">
        <v>1216.4579762138142</v>
      </c>
      <c r="Z8" s="206">
        <v>986.47057560916403</v>
      </c>
      <c r="AA8" s="207"/>
      <c r="AE8" s="208"/>
      <c r="AF8" s="208"/>
      <c r="AG8" s="208"/>
      <c r="AI8" s="209"/>
      <c r="AJ8" s="209"/>
      <c r="AK8" s="209"/>
      <c r="AL8" s="209"/>
      <c r="AM8" s="209"/>
      <c r="AN8" s="209"/>
      <c r="AO8" s="209"/>
      <c r="AP8" s="209"/>
    </row>
    <row r="9" spans="1:42" s="204" customFormat="1" ht="11.5" customHeight="1" x14ac:dyDescent="0.35">
      <c r="A9" s="193"/>
      <c r="B9" s="194">
        <f t="shared" si="0"/>
        <v>7</v>
      </c>
      <c r="C9" s="194" t="s">
        <v>199</v>
      </c>
      <c r="D9" s="194" t="s">
        <v>200</v>
      </c>
      <c r="E9" s="195">
        <v>44228</v>
      </c>
      <c r="F9" s="196">
        <v>11.210213550000001</v>
      </c>
      <c r="G9" s="197">
        <v>22969</v>
      </c>
      <c r="H9" s="198">
        <v>0.81026601071008753</v>
      </c>
      <c r="I9" s="199">
        <v>0.12260002612216465</v>
      </c>
      <c r="J9" s="200">
        <v>488.05840698332537</v>
      </c>
      <c r="K9" s="199">
        <v>5.4893533571400893E-2</v>
      </c>
      <c r="L9" s="201">
        <v>1.327665669106155E-2</v>
      </c>
      <c r="M9" s="201" t="s">
        <v>201</v>
      </c>
      <c r="N9" s="202" t="s">
        <v>193</v>
      </c>
      <c r="O9" s="202" t="s">
        <v>197</v>
      </c>
      <c r="P9" s="202" t="s">
        <v>193</v>
      </c>
      <c r="Q9" s="202">
        <v>2018</v>
      </c>
      <c r="R9" s="203" t="s">
        <v>195</v>
      </c>
      <c r="S9" s="203">
        <v>0.19</v>
      </c>
      <c r="T9" s="191"/>
      <c r="U9" s="211"/>
      <c r="V9" s="211"/>
      <c r="W9" s="205" t="s">
        <v>154</v>
      </c>
      <c r="X9" s="206">
        <v>840000</v>
      </c>
      <c r="Y9" s="206">
        <v>3319.1769590048066</v>
      </c>
      <c r="Z9" s="206">
        <v>253.07478642291443</v>
      </c>
      <c r="AA9" s="207"/>
      <c r="AE9" s="208"/>
      <c r="AF9" s="208"/>
      <c r="AG9" s="208"/>
      <c r="AI9" s="209"/>
      <c r="AJ9" s="209"/>
      <c r="AK9" s="209"/>
      <c r="AL9" s="209"/>
      <c r="AM9" s="209"/>
      <c r="AN9" s="209"/>
      <c r="AO9" s="209"/>
      <c r="AP9" s="209"/>
    </row>
    <row r="10" spans="1:42" s="204" customFormat="1" ht="11.5" customHeight="1" x14ac:dyDescent="0.35">
      <c r="A10" s="193"/>
      <c r="B10" s="194">
        <f t="shared" si="0"/>
        <v>8</v>
      </c>
      <c r="C10" s="212" t="s">
        <v>202</v>
      </c>
      <c r="D10" s="194" t="s">
        <v>27</v>
      </c>
      <c r="E10" s="195">
        <v>44228</v>
      </c>
      <c r="F10" s="196">
        <v>7.1121520655184876</v>
      </c>
      <c r="G10" s="197">
        <v>10143</v>
      </c>
      <c r="H10" s="198">
        <v>0.68273686286108648</v>
      </c>
      <c r="I10" s="199">
        <v>0.38538893818396924</v>
      </c>
      <c r="J10" s="200">
        <v>701.18821507625819</v>
      </c>
      <c r="K10" s="199">
        <v>0.12305865480453812</v>
      </c>
      <c r="L10" s="201">
        <v>0</v>
      </c>
      <c r="M10" s="201" t="s">
        <v>197</v>
      </c>
      <c r="N10" s="202" t="s">
        <v>193</v>
      </c>
      <c r="O10" s="202" t="s">
        <v>197</v>
      </c>
      <c r="P10" s="197" t="s">
        <v>203</v>
      </c>
      <c r="Q10" s="202" t="s">
        <v>194</v>
      </c>
      <c r="R10" s="203" t="s">
        <v>195</v>
      </c>
      <c r="S10" s="203" t="s">
        <v>195</v>
      </c>
      <c r="T10" s="191"/>
      <c r="U10" s="211"/>
      <c r="V10" s="191"/>
      <c r="W10" s="205" t="s">
        <v>162</v>
      </c>
      <c r="X10" s="206">
        <v>750000</v>
      </c>
      <c r="Y10" s="206">
        <v>488.05840698332537</v>
      </c>
      <c r="Z10" s="206">
        <v>1536.7013235889694</v>
      </c>
      <c r="AA10" s="207"/>
      <c r="AE10" s="208"/>
      <c r="AF10" s="208"/>
      <c r="AG10" s="208"/>
      <c r="AI10" s="209"/>
      <c r="AJ10" s="209"/>
      <c r="AK10" s="209"/>
      <c r="AL10" s="209"/>
      <c r="AM10" s="209"/>
      <c r="AN10" s="209"/>
      <c r="AO10" s="209"/>
      <c r="AP10" s="209"/>
    </row>
    <row r="11" spans="1:42" s="204" customFormat="1" ht="11.5" customHeight="1" x14ac:dyDescent="0.35">
      <c r="A11" s="193"/>
      <c r="B11" s="194">
        <f t="shared" si="0"/>
        <v>9</v>
      </c>
      <c r="C11" s="212" t="s">
        <v>170</v>
      </c>
      <c r="D11" s="194" t="s">
        <v>27</v>
      </c>
      <c r="E11" s="195">
        <v>44166</v>
      </c>
      <c r="F11" s="196">
        <v>30.076141659858756</v>
      </c>
      <c r="G11" s="197">
        <v>12534</v>
      </c>
      <c r="H11" s="198">
        <v>0.51053135471517475</v>
      </c>
      <c r="I11" s="199">
        <v>0.5327110260092548</v>
      </c>
      <c r="J11" s="200">
        <v>2399.5645173016401</v>
      </c>
      <c r="K11" s="199">
        <v>0.42112399391043176</v>
      </c>
      <c r="L11" s="201">
        <v>6.8574455874215517E-3</v>
      </c>
      <c r="M11" s="201" t="s">
        <v>197</v>
      </c>
      <c r="N11" s="202" t="s">
        <v>193</v>
      </c>
      <c r="O11" s="202" t="s">
        <v>193</v>
      </c>
      <c r="P11" s="197" t="s">
        <v>203</v>
      </c>
      <c r="Q11" s="202" t="s">
        <v>194</v>
      </c>
      <c r="R11" s="203" t="s">
        <v>195</v>
      </c>
      <c r="S11" s="203" t="s">
        <v>195</v>
      </c>
      <c r="T11" s="191"/>
      <c r="U11" s="211"/>
      <c r="V11" s="211"/>
      <c r="W11" s="205" t="s">
        <v>202</v>
      </c>
      <c r="X11" s="206">
        <v>500000</v>
      </c>
      <c r="Y11" s="206">
        <v>701.18821507625819</v>
      </c>
      <c r="Z11" s="206">
        <v>713.07530453235324</v>
      </c>
      <c r="AA11" s="207"/>
      <c r="AE11" s="208"/>
      <c r="AF11" s="208"/>
      <c r="AG11" s="208"/>
      <c r="AI11" s="209"/>
      <c r="AJ11" s="209"/>
      <c r="AK11" s="209"/>
      <c r="AL11" s="209"/>
      <c r="AM11" s="209"/>
      <c r="AN11" s="209"/>
      <c r="AO11" s="209"/>
      <c r="AP11" s="209"/>
    </row>
    <row r="12" spans="1:42" s="204" customFormat="1" ht="11.5" customHeight="1" x14ac:dyDescent="0.35">
      <c r="A12" s="193"/>
      <c r="B12" s="194">
        <f t="shared" si="0"/>
        <v>10</v>
      </c>
      <c r="C12" s="194" t="s">
        <v>163</v>
      </c>
      <c r="D12" s="194" t="s">
        <v>63</v>
      </c>
      <c r="E12" s="195">
        <v>44228</v>
      </c>
      <c r="F12" s="196">
        <v>44.106789179131319</v>
      </c>
      <c r="G12" s="197">
        <v>99635</v>
      </c>
      <c r="H12" s="198">
        <v>0.89900000000000002</v>
      </c>
      <c r="I12" s="199">
        <v>0.11</v>
      </c>
      <c r="J12" s="200">
        <v>442.68368724977489</v>
      </c>
      <c r="K12" s="199">
        <v>2.184366363612824E-2</v>
      </c>
      <c r="L12" s="201">
        <v>3.4466711897430543E-3</v>
      </c>
      <c r="M12" s="201" t="s">
        <v>201</v>
      </c>
      <c r="N12" s="202" t="s">
        <v>193</v>
      </c>
      <c r="O12" s="202" t="s">
        <v>197</v>
      </c>
      <c r="P12" s="197" t="s">
        <v>193</v>
      </c>
      <c r="Q12" s="202">
        <v>2019</v>
      </c>
      <c r="R12" s="203" t="s">
        <v>195</v>
      </c>
      <c r="S12" s="213" t="s">
        <v>195</v>
      </c>
      <c r="T12" s="191"/>
      <c r="U12" s="191"/>
      <c r="V12" s="211"/>
      <c r="W12" s="205" t="s">
        <v>204</v>
      </c>
      <c r="X12" s="206">
        <v>2800000</v>
      </c>
      <c r="Y12" s="206">
        <v>2399.5645173016401</v>
      </c>
      <c r="Z12" s="206">
        <v>1166.8783980639362</v>
      </c>
      <c r="AA12" s="207"/>
      <c r="AE12" s="208"/>
      <c r="AF12" s="208"/>
      <c r="AG12" s="208"/>
      <c r="AI12" s="209"/>
      <c r="AJ12" s="209"/>
      <c r="AK12" s="209"/>
      <c r="AL12" s="209"/>
      <c r="AM12" s="209"/>
      <c r="AN12" s="209"/>
      <c r="AO12" s="209"/>
      <c r="AP12" s="209"/>
    </row>
    <row r="13" spans="1:42" s="204" customFormat="1" ht="11.5" customHeight="1" x14ac:dyDescent="0.35">
      <c r="A13" s="193"/>
      <c r="B13" s="194">
        <f t="shared" si="0"/>
        <v>11</v>
      </c>
      <c r="C13" s="194" t="s">
        <v>82</v>
      </c>
      <c r="D13" s="194" t="s">
        <v>167</v>
      </c>
      <c r="E13" s="195">
        <v>44136</v>
      </c>
      <c r="F13" s="196">
        <v>46.214161560186461</v>
      </c>
      <c r="G13" s="197">
        <v>43575</v>
      </c>
      <c r="H13" s="198">
        <v>0.56599999999999995</v>
      </c>
      <c r="I13" s="199">
        <v>0.1605</v>
      </c>
      <c r="J13" s="200">
        <v>1060.5659566307852</v>
      </c>
      <c r="K13" s="199">
        <v>8.1676238477534482E-2</v>
      </c>
      <c r="L13" s="201">
        <v>5.2903339221642866E-5</v>
      </c>
      <c r="M13" s="202" t="s">
        <v>192</v>
      </c>
      <c r="N13" s="202" t="s">
        <v>193</v>
      </c>
      <c r="O13" s="202" t="s">
        <v>197</v>
      </c>
      <c r="P13" s="197" t="s">
        <v>205</v>
      </c>
      <c r="Q13" s="202">
        <v>2018</v>
      </c>
      <c r="R13" s="203" t="s">
        <v>195</v>
      </c>
      <c r="S13" s="213" t="s">
        <v>195</v>
      </c>
      <c r="T13" s="191"/>
      <c r="U13" s="211"/>
      <c r="V13" s="191"/>
      <c r="W13" s="205" t="s">
        <v>85</v>
      </c>
      <c r="X13" s="206">
        <v>2000000</v>
      </c>
      <c r="Y13" s="206">
        <v>442.68368724977489</v>
      </c>
      <c r="Z13" s="206">
        <v>4517.8985754483929</v>
      </c>
      <c r="AA13" s="207"/>
      <c r="AE13" s="208"/>
      <c r="AF13" s="208"/>
      <c r="AG13" s="208"/>
      <c r="AI13" s="209"/>
      <c r="AJ13" s="209"/>
      <c r="AK13" s="209"/>
      <c r="AL13" s="209"/>
      <c r="AM13" s="209"/>
      <c r="AN13" s="209"/>
      <c r="AO13" s="209"/>
      <c r="AP13" s="209"/>
    </row>
    <row r="14" spans="1:42" s="230" customFormat="1" ht="9" customHeight="1" x14ac:dyDescent="0.3">
      <c r="A14" s="214"/>
      <c r="B14" s="215"/>
      <c r="C14" s="215"/>
      <c r="D14" s="215"/>
      <c r="E14" s="216"/>
      <c r="F14" s="217"/>
      <c r="G14" s="218"/>
      <c r="H14" s="219"/>
      <c r="I14" s="220"/>
      <c r="J14" s="221"/>
      <c r="K14" s="220"/>
      <c r="L14" s="222"/>
      <c r="M14" s="222"/>
      <c r="N14" s="223"/>
      <c r="O14" s="223"/>
      <c r="P14" s="218"/>
      <c r="Q14" s="223"/>
      <c r="R14" s="224"/>
      <c r="S14" s="225"/>
      <c r="T14" s="191"/>
      <c r="U14" s="226"/>
      <c r="V14" s="191"/>
      <c r="W14" s="227" t="s">
        <v>82</v>
      </c>
      <c r="X14" s="228">
        <v>1000000</v>
      </c>
      <c r="Y14" s="228">
        <v>1060.5659566307852</v>
      </c>
      <c r="Z14" s="228">
        <v>942.89279582083543</v>
      </c>
      <c r="AA14" s="229"/>
      <c r="AE14" s="231"/>
      <c r="AF14" s="231"/>
      <c r="AG14" s="231"/>
      <c r="AI14" s="232"/>
      <c r="AJ14" s="232"/>
      <c r="AK14" s="232"/>
      <c r="AL14" s="232"/>
      <c r="AM14" s="232"/>
      <c r="AN14" s="232"/>
      <c r="AO14" s="232"/>
      <c r="AP14" s="232"/>
    </row>
    <row r="15" spans="1:42" s="230" customFormat="1" ht="9" customHeight="1" x14ac:dyDescent="0.3">
      <c r="A15" s="214"/>
      <c r="B15" s="215"/>
      <c r="C15" s="215"/>
      <c r="D15" s="215"/>
      <c r="E15" s="216"/>
      <c r="F15" s="217"/>
      <c r="G15" s="218"/>
      <c r="H15" s="219"/>
      <c r="I15" s="220"/>
      <c r="J15" s="221"/>
      <c r="K15" s="225"/>
      <c r="L15" s="233"/>
      <c r="M15" s="233"/>
      <c r="N15" s="234"/>
      <c r="O15" s="234"/>
      <c r="P15" s="221"/>
      <c r="Q15" s="234"/>
      <c r="R15" s="224"/>
      <c r="S15" s="225"/>
      <c r="T15" s="191"/>
      <c r="U15" s="226"/>
      <c r="V15" s="191"/>
      <c r="W15" s="227"/>
      <c r="X15" s="228"/>
      <c r="Y15" s="228"/>
      <c r="Z15" s="228"/>
      <c r="AA15" s="229"/>
      <c r="AE15" s="231"/>
      <c r="AF15" s="231"/>
      <c r="AG15" s="231"/>
      <c r="AI15" s="232"/>
      <c r="AJ15" s="232"/>
      <c r="AK15" s="232"/>
      <c r="AL15" s="232"/>
      <c r="AM15" s="232"/>
      <c r="AN15" s="232"/>
      <c r="AO15" s="232"/>
      <c r="AP15" s="232"/>
    </row>
    <row r="16" spans="1:42" s="230" customFormat="1" ht="9" customHeight="1" x14ac:dyDescent="0.3">
      <c r="A16" s="214"/>
      <c r="B16" s="215"/>
      <c r="C16" s="215"/>
      <c r="D16" s="215"/>
      <c r="E16" s="216"/>
      <c r="F16" s="217"/>
      <c r="G16" s="218"/>
      <c r="H16" s="219"/>
      <c r="I16" s="220"/>
      <c r="J16" s="221"/>
      <c r="K16" s="225"/>
      <c r="L16" s="233"/>
      <c r="M16" s="233"/>
      <c r="N16" s="234"/>
      <c r="O16" s="234"/>
      <c r="P16" s="221"/>
      <c r="Q16" s="234"/>
      <c r="R16" s="224"/>
      <c r="S16" s="225"/>
      <c r="T16" s="191"/>
      <c r="U16" s="226"/>
      <c r="V16" s="226"/>
      <c r="W16" s="227"/>
      <c r="X16" s="228"/>
      <c r="Y16" s="228"/>
      <c r="Z16" s="228"/>
      <c r="AA16" s="229"/>
      <c r="AE16" s="231"/>
      <c r="AF16" s="231"/>
      <c r="AG16" s="231"/>
      <c r="AI16" s="232"/>
      <c r="AJ16" s="232"/>
      <c r="AK16" s="232"/>
      <c r="AL16" s="232"/>
      <c r="AM16" s="232"/>
      <c r="AN16" s="232"/>
      <c r="AO16" s="232"/>
      <c r="AP16" s="232"/>
    </row>
    <row r="17" spans="1:42" s="230" customFormat="1" ht="9" customHeight="1" x14ac:dyDescent="0.3">
      <c r="A17" s="214"/>
      <c r="B17" s="215"/>
      <c r="C17" s="215"/>
      <c r="D17" s="215"/>
      <c r="E17" s="216"/>
      <c r="F17" s="217"/>
      <c r="G17" s="218"/>
      <c r="H17" s="219"/>
      <c r="I17" s="220"/>
      <c r="J17" s="221"/>
      <c r="K17" s="225"/>
      <c r="L17" s="233"/>
      <c r="M17" s="233"/>
      <c r="N17" s="234"/>
      <c r="O17" s="234"/>
      <c r="P17" s="221"/>
      <c r="Q17" s="234"/>
      <c r="R17" s="224"/>
      <c r="S17" s="225"/>
      <c r="T17" s="191"/>
      <c r="U17" s="226"/>
      <c r="V17" s="235"/>
      <c r="W17" s="227"/>
      <c r="X17" s="228"/>
      <c r="Y17" s="228"/>
      <c r="Z17" s="228"/>
      <c r="AA17" s="229"/>
      <c r="AE17" s="231"/>
      <c r="AF17" s="231"/>
      <c r="AG17" s="231"/>
      <c r="AI17" s="232"/>
      <c r="AJ17" s="232"/>
      <c r="AK17" s="232"/>
      <c r="AL17" s="232"/>
      <c r="AM17" s="232"/>
      <c r="AN17" s="232"/>
      <c r="AO17" s="232"/>
      <c r="AP17" s="232"/>
    </row>
    <row r="18" spans="1:42" s="230" customFormat="1" ht="9" customHeight="1" x14ac:dyDescent="0.3">
      <c r="A18" s="214"/>
      <c r="B18" s="215"/>
      <c r="C18" s="215"/>
      <c r="D18" s="215"/>
      <c r="E18" s="216"/>
      <c r="F18" s="217"/>
      <c r="G18" s="218"/>
      <c r="H18" s="219"/>
      <c r="I18" s="220"/>
      <c r="J18" s="221"/>
      <c r="K18" s="225"/>
      <c r="L18" s="233"/>
      <c r="M18" s="233"/>
      <c r="N18" s="234"/>
      <c r="O18" s="234"/>
      <c r="P18" s="221"/>
      <c r="Q18" s="234"/>
      <c r="R18" s="224">
        <v>0.43</v>
      </c>
      <c r="S18" s="225" t="s">
        <v>195</v>
      </c>
      <c r="T18" s="191"/>
      <c r="U18" s="226"/>
      <c r="V18" s="235"/>
      <c r="W18" s="227"/>
      <c r="X18" s="228">
        <f>+SUM(X3:X14)</f>
        <v>27290000</v>
      </c>
      <c r="Y18" s="228">
        <f>+SUM(Y3:Y14)</f>
        <v>17910.060593317827</v>
      </c>
      <c r="Z18" s="228">
        <f>+SUM(Z3:Z14)</f>
        <v>23541.789317337418</v>
      </c>
      <c r="AA18" s="229"/>
      <c r="AE18" s="231"/>
      <c r="AF18" s="231"/>
      <c r="AG18" s="231"/>
      <c r="AI18" s="232"/>
      <c r="AJ18" s="232"/>
      <c r="AK18" s="232"/>
      <c r="AL18" s="232"/>
      <c r="AM18" s="232"/>
      <c r="AN18" s="232"/>
      <c r="AO18" s="232"/>
      <c r="AP18" s="232"/>
    </row>
    <row r="19" spans="1:42" s="230" customFormat="1" ht="9" customHeight="1" x14ac:dyDescent="0.3">
      <c r="A19" s="214"/>
      <c r="B19" s="236"/>
      <c r="C19" s="236"/>
      <c r="D19" s="237"/>
      <c r="E19" s="238"/>
      <c r="F19" s="239"/>
      <c r="G19" s="240"/>
      <c r="H19" s="241"/>
      <c r="I19" s="242"/>
      <c r="J19" s="243"/>
      <c r="K19" s="244"/>
      <c r="L19" s="245"/>
      <c r="M19" s="245"/>
      <c r="N19" s="246"/>
      <c r="O19" s="246"/>
      <c r="P19" s="243"/>
      <c r="Q19" s="246"/>
      <c r="R19" s="224">
        <v>0.59</v>
      </c>
      <c r="S19" s="224" t="s">
        <v>195</v>
      </c>
      <c r="T19" s="191"/>
      <c r="U19" s="226"/>
      <c r="V19" s="235"/>
      <c r="W19" s="183"/>
      <c r="X19" s="183"/>
      <c r="Y19" s="183"/>
      <c r="Z19" s="183"/>
      <c r="AA19" s="229"/>
      <c r="AI19" s="232"/>
      <c r="AJ19" s="232"/>
      <c r="AK19" s="232"/>
      <c r="AL19" s="232"/>
      <c r="AM19" s="232"/>
      <c r="AN19" s="232"/>
      <c r="AO19" s="232"/>
      <c r="AP19" s="232"/>
    </row>
    <row r="20" spans="1:42" s="230" customFormat="1" ht="9" customHeight="1" x14ac:dyDescent="0.3">
      <c r="A20" s="214"/>
      <c r="B20" s="183"/>
      <c r="C20" s="183"/>
      <c r="D20" s="237"/>
      <c r="E20" s="183"/>
      <c r="F20" s="183"/>
      <c r="G20" s="247"/>
      <c r="H20" s="247"/>
      <c r="I20" s="247"/>
      <c r="J20" s="183"/>
      <c r="K20" s="183"/>
      <c r="L20" s="183"/>
      <c r="M20" s="183"/>
      <c r="N20" s="183"/>
      <c r="O20" s="183"/>
      <c r="P20" s="183"/>
      <c r="Q20" s="183"/>
      <c r="R20" s="224">
        <v>0.34</v>
      </c>
      <c r="S20" s="224" t="s">
        <v>195</v>
      </c>
      <c r="T20" s="191"/>
      <c r="U20" s="226"/>
      <c r="V20" s="235"/>
      <c r="W20" s="183"/>
      <c r="X20" s="183"/>
      <c r="Y20" s="183"/>
      <c r="Z20" s="183"/>
      <c r="AA20" s="229"/>
      <c r="AI20" s="232"/>
      <c r="AJ20" s="232"/>
      <c r="AK20" s="232"/>
      <c r="AL20" s="232"/>
      <c r="AM20" s="232"/>
      <c r="AN20" s="232"/>
      <c r="AO20" s="232"/>
      <c r="AP20" s="232"/>
    </row>
    <row r="21" spans="1:42" s="230" customFormat="1" ht="9" customHeight="1" x14ac:dyDescent="0.3">
      <c r="A21" s="214"/>
      <c r="B21" s="183"/>
      <c r="C21" s="183"/>
      <c r="D21" s="237"/>
      <c r="E21" s="183"/>
      <c r="F21" s="183"/>
      <c r="G21" s="247"/>
      <c r="H21" s="183" t="s">
        <v>206</v>
      </c>
      <c r="I21" s="183">
        <f>+COUNTIF($H$3:$H$13,"&lt;=20%")</f>
        <v>0</v>
      </c>
      <c r="J21" s="183"/>
      <c r="K21" s="183" t="s">
        <v>206</v>
      </c>
      <c r="L21" s="183">
        <f>+COUNTIF($I$3:$I$13,"&lt;=20%")</f>
        <v>4</v>
      </c>
      <c r="M21" s="183"/>
      <c r="N21" s="183"/>
      <c r="O21" s="183"/>
      <c r="P21" s="183"/>
      <c r="Q21" s="183"/>
      <c r="R21" s="224" t="s">
        <v>195</v>
      </c>
      <c r="S21" s="224" t="s">
        <v>195</v>
      </c>
      <c r="T21" s="191"/>
      <c r="U21" s="226"/>
      <c r="V21" s="235"/>
      <c r="W21" s="183"/>
      <c r="X21" s="183"/>
      <c r="Y21" s="183"/>
      <c r="Z21" s="183"/>
      <c r="AA21" s="229"/>
      <c r="AI21" s="232"/>
      <c r="AJ21" s="232"/>
      <c r="AK21" s="232"/>
      <c r="AL21" s="232"/>
      <c r="AM21" s="232"/>
      <c r="AN21" s="232"/>
      <c r="AO21" s="232"/>
      <c r="AP21" s="232"/>
    </row>
    <row r="22" spans="1:42" s="230" customFormat="1" ht="9" customHeight="1" x14ac:dyDescent="0.3">
      <c r="A22" s="214"/>
      <c r="B22" s="183"/>
      <c r="C22" s="183"/>
      <c r="D22" s="237"/>
      <c r="E22" s="183"/>
      <c r="F22" s="183"/>
      <c r="G22" s="247"/>
      <c r="H22" s="183" t="s">
        <v>207</v>
      </c>
      <c r="I22" s="183">
        <f>+COUNTIFS($H$3:$H$13,"&gt;20%",$H$3:$H$13,"&lt;=40%")</f>
        <v>0</v>
      </c>
      <c r="J22" s="183"/>
      <c r="K22" s="183" t="s">
        <v>207</v>
      </c>
      <c r="L22" s="183">
        <f>+COUNTIFS($I$3:$I$13,"&gt;20%",$I$3:$I$13,"&lt;=40%")</f>
        <v>2</v>
      </c>
      <c r="M22" s="183"/>
      <c r="N22" s="183"/>
      <c r="O22" s="183"/>
      <c r="P22" s="183"/>
      <c r="Q22" s="183"/>
      <c r="R22" s="224" t="s">
        <v>195</v>
      </c>
      <c r="S22" s="224" t="s">
        <v>195</v>
      </c>
      <c r="T22" s="191"/>
      <c r="U22" s="226"/>
      <c r="V22" s="235"/>
      <c r="W22" s="183"/>
      <c r="X22" s="183"/>
      <c r="Y22" s="183"/>
      <c r="Z22" s="183"/>
      <c r="AA22" s="229"/>
      <c r="AI22" s="232"/>
      <c r="AJ22" s="232"/>
      <c r="AK22" s="232"/>
      <c r="AL22" s="232"/>
      <c r="AM22" s="232"/>
      <c r="AN22" s="232"/>
      <c r="AO22" s="232"/>
      <c r="AP22" s="232"/>
    </row>
    <row r="23" spans="1:42" s="230" customFormat="1" ht="9" customHeight="1" x14ac:dyDescent="0.3">
      <c r="A23" s="214"/>
      <c r="B23" s="183"/>
      <c r="C23" s="183"/>
      <c r="D23" s="237"/>
      <c r="E23" s="183"/>
      <c r="F23" s="183"/>
      <c r="G23" s="247"/>
      <c r="H23" s="183" t="s">
        <v>208</v>
      </c>
      <c r="I23" s="183">
        <f>+COUNTIFS($H$3:$H$13,"&gt;40%",$H$3:$H$13,"&lt;=60%")</f>
        <v>6</v>
      </c>
      <c r="J23" s="183"/>
      <c r="K23" s="183" t="s">
        <v>208</v>
      </c>
      <c r="L23" s="183">
        <f>+COUNTIFS($I$3:$I$13,"&gt;40%",$I$3:$I$13,"&lt;=60%")</f>
        <v>2</v>
      </c>
      <c r="M23" s="183"/>
      <c r="N23" s="183"/>
      <c r="O23" s="183"/>
      <c r="P23" s="183"/>
      <c r="Q23" s="183"/>
      <c r="R23" s="224" t="s">
        <v>195</v>
      </c>
      <c r="S23" s="224" t="s">
        <v>195</v>
      </c>
      <c r="T23" s="191"/>
      <c r="U23" s="226"/>
      <c r="V23" s="235"/>
      <c r="W23" s="183"/>
      <c r="X23" s="183"/>
      <c r="Y23" s="183"/>
      <c r="Z23" s="183"/>
      <c r="AA23" s="229"/>
      <c r="AI23" s="232"/>
      <c r="AJ23" s="232"/>
      <c r="AK23" s="232"/>
      <c r="AL23" s="232"/>
      <c r="AM23" s="232"/>
      <c r="AN23" s="232"/>
      <c r="AO23" s="232"/>
      <c r="AP23" s="232"/>
    </row>
    <row r="24" spans="1:42" s="230" customFormat="1" ht="9" customHeight="1" x14ac:dyDescent="0.3">
      <c r="A24" s="214"/>
      <c r="B24" s="183"/>
      <c r="C24" s="183"/>
      <c r="D24" s="183"/>
      <c r="E24" s="183"/>
      <c r="F24" s="183"/>
      <c r="G24" s="183"/>
      <c r="H24" s="183" t="s">
        <v>209</v>
      </c>
      <c r="I24" s="183">
        <f>+COUNTIFS($H$3:$H$13,"&gt;60%",$H$3:$H$13,"&lt;=80%")</f>
        <v>3</v>
      </c>
      <c r="J24" s="183"/>
      <c r="K24" s="183" t="s">
        <v>209</v>
      </c>
      <c r="L24" s="183">
        <f>+COUNTIFS($I$3:$I$13,"&gt;60%",$I$3:$I$13,"&lt;=80%")</f>
        <v>2</v>
      </c>
      <c r="M24" s="183"/>
      <c r="N24" s="183"/>
      <c r="O24" s="183"/>
      <c r="P24" s="183"/>
      <c r="Q24" s="183"/>
      <c r="R24" s="224" t="s">
        <v>195</v>
      </c>
      <c r="S24" s="224" t="s">
        <v>195</v>
      </c>
      <c r="T24" s="191"/>
      <c r="U24" s="226"/>
      <c r="V24" s="235"/>
      <c r="W24" s="183"/>
      <c r="X24" s="183"/>
      <c r="Y24" s="183"/>
      <c r="Z24" s="183"/>
      <c r="AA24" s="248"/>
      <c r="AI24" s="232"/>
      <c r="AJ24" s="232"/>
      <c r="AK24" s="232"/>
      <c r="AL24" s="232"/>
      <c r="AM24" s="232"/>
      <c r="AN24" s="232"/>
      <c r="AO24" s="232"/>
      <c r="AP24" s="232"/>
    </row>
    <row r="25" spans="1:42" s="230" customFormat="1" ht="9" customHeight="1" x14ac:dyDescent="0.3">
      <c r="A25" s="214"/>
      <c r="B25" s="183"/>
      <c r="C25" s="183"/>
      <c r="D25" s="183"/>
      <c r="E25" s="183"/>
      <c r="F25" s="183"/>
      <c r="G25" s="183"/>
      <c r="H25" s="183" t="s">
        <v>210</v>
      </c>
      <c r="I25" s="183">
        <f>+COUNTIFS($H$3:$H$13,"&gt;80%",$H$3:$H$13,"&lt;=100%")</f>
        <v>2</v>
      </c>
      <c r="J25" s="183"/>
      <c r="K25" s="183" t="s">
        <v>210</v>
      </c>
      <c r="L25" s="183">
        <f>+COUNTIFS($I$3:$I$13,"&gt;80%",$I$3:$I$13,"&lt;=100%")</f>
        <v>1</v>
      </c>
      <c r="M25" s="183"/>
      <c r="N25" s="183"/>
      <c r="O25" s="183"/>
      <c r="P25" s="183"/>
      <c r="Q25" s="183"/>
      <c r="R25" s="224" t="s">
        <v>195</v>
      </c>
      <c r="S25" s="224" t="s">
        <v>195</v>
      </c>
      <c r="T25" s="191"/>
      <c r="U25" s="226"/>
      <c r="V25" s="235"/>
      <c r="W25" s="183"/>
      <c r="X25" s="183"/>
      <c r="Y25" s="183"/>
      <c r="Z25" s="183"/>
      <c r="AA25" s="248"/>
      <c r="AI25" s="232"/>
      <c r="AJ25" s="232"/>
      <c r="AK25" s="232"/>
      <c r="AL25" s="232"/>
      <c r="AM25" s="232"/>
      <c r="AN25" s="232"/>
      <c r="AO25" s="232"/>
      <c r="AP25" s="232"/>
    </row>
    <row r="26" spans="1:42" s="230" customFormat="1" ht="9" customHeight="1" x14ac:dyDescent="0.3">
      <c r="A26" s="214"/>
      <c r="B26" s="183"/>
      <c r="C26" s="183"/>
      <c r="D26" s="183"/>
      <c r="E26" s="183"/>
      <c r="F26" s="183"/>
      <c r="G26" s="183"/>
      <c r="H26" s="183" t="s">
        <v>211</v>
      </c>
      <c r="I26" s="183"/>
      <c r="J26" s="183"/>
      <c r="K26" s="183" t="s">
        <v>212</v>
      </c>
      <c r="L26" s="183"/>
      <c r="M26" s="183"/>
      <c r="N26" s="183"/>
      <c r="O26" s="183"/>
      <c r="P26" s="183"/>
      <c r="Q26" s="183"/>
      <c r="R26" s="224" t="s">
        <v>195</v>
      </c>
      <c r="S26" s="224" t="s">
        <v>195</v>
      </c>
      <c r="T26" s="191"/>
      <c r="U26" s="226"/>
      <c r="V26" s="235"/>
      <c r="W26" s="183"/>
      <c r="X26" s="183"/>
      <c r="Y26" s="183"/>
      <c r="Z26" s="183"/>
      <c r="AA26" s="248"/>
      <c r="AI26" s="232"/>
      <c r="AJ26" s="232"/>
      <c r="AK26" s="232"/>
      <c r="AL26" s="232"/>
      <c r="AM26" s="232"/>
      <c r="AN26" s="232"/>
      <c r="AO26" s="232"/>
      <c r="AP26" s="232"/>
    </row>
    <row r="27" spans="1:42" s="230" customFormat="1" ht="9" customHeight="1" x14ac:dyDescent="0.3">
      <c r="A27" s="214"/>
      <c r="B27" s="183"/>
      <c r="C27" s="183"/>
      <c r="D27" s="183"/>
      <c r="E27" s="183"/>
      <c r="F27" s="183"/>
      <c r="G27" s="183"/>
      <c r="H27" s="183"/>
      <c r="I27" s="183"/>
      <c r="J27" s="183"/>
      <c r="K27" s="183"/>
      <c r="L27" s="183"/>
      <c r="M27" s="183"/>
      <c r="N27" s="183"/>
      <c r="O27" s="183"/>
      <c r="P27" s="183"/>
      <c r="Q27" s="183"/>
      <c r="R27" s="224" t="s">
        <v>195</v>
      </c>
      <c r="S27" s="224">
        <v>0.19</v>
      </c>
      <c r="T27" s="191"/>
      <c r="U27" s="249"/>
      <c r="V27" s="235"/>
      <c r="W27" s="183"/>
      <c r="X27" s="183"/>
      <c r="Y27" s="183"/>
      <c r="Z27" s="183"/>
      <c r="AA27" s="248"/>
      <c r="AI27" s="232"/>
      <c r="AJ27" s="232"/>
      <c r="AK27" s="232"/>
      <c r="AL27" s="232"/>
      <c r="AM27" s="232"/>
      <c r="AN27" s="232"/>
      <c r="AO27" s="232"/>
      <c r="AP27" s="232"/>
    </row>
    <row r="28" spans="1:42" s="230" customFormat="1" ht="9" customHeight="1" x14ac:dyDescent="0.3">
      <c r="A28" s="214"/>
      <c r="B28" s="183"/>
      <c r="C28" s="183"/>
      <c r="D28" s="183"/>
      <c r="E28" s="183"/>
      <c r="F28" s="183"/>
      <c r="G28" s="183"/>
      <c r="H28" s="183"/>
      <c r="I28" s="183"/>
      <c r="J28" s="183"/>
      <c r="K28" s="183"/>
      <c r="L28" s="183"/>
      <c r="M28" s="183"/>
      <c r="N28" s="183"/>
      <c r="O28" s="183"/>
      <c r="P28" s="183"/>
      <c r="Q28" s="183"/>
      <c r="R28" s="224" t="s">
        <v>195</v>
      </c>
      <c r="S28" s="224" t="s">
        <v>195</v>
      </c>
      <c r="T28" s="191"/>
      <c r="U28" s="226"/>
      <c r="V28" s="235"/>
      <c r="W28" s="183"/>
      <c r="X28" s="183"/>
      <c r="Y28" s="183"/>
      <c r="Z28" s="183"/>
      <c r="AA28" s="248"/>
      <c r="AI28" s="232"/>
      <c r="AJ28" s="232"/>
      <c r="AK28" s="232"/>
      <c r="AL28" s="232"/>
      <c r="AM28" s="232"/>
      <c r="AN28" s="232"/>
      <c r="AO28" s="232"/>
      <c r="AP28" s="232"/>
    </row>
    <row r="29" spans="1:42" s="230" customFormat="1" ht="9" customHeight="1" x14ac:dyDescent="0.3">
      <c r="A29" s="214"/>
      <c r="B29" s="250" t="s">
        <v>213</v>
      </c>
      <c r="C29" s="183"/>
      <c r="D29" s="183"/>
      <c r="E29" s="183"/>
      <c r="F29" s="183"/>
      <c r="G29" s="183"/>
      <c r="H29" s="183"/>
      <c r="I29" s="183"/>
      <c r="J29" s="183"/>
      <c r="K29" s="183"/>
      <c r="L29" s="183"/>
      <c r="M29" s="183"/>
      <c r="N29" s="183"/>
      <c r="O29" s="183"/>
      <c r="P29" s="183"/>
      <c r="Q29" s="183"/>
      <c r="R29" s="224" t="s">
        <v>195</v>
      </c>
      <c r="S29" s="224" t="s">
        <v>195</v>
      </c>
      <c r="T29" s="191"/>
      <c r="U29" s="226"/>
      <c r="V29" s="251"/>
      <c r="W29" s="183"/>
      <c r="X29" s="183"/>
      <c r="Y29" s="183"/>
      <c r="Z29" s="183"/>
      <c r="AA29" s="248"/>
      <c r="AI29" s="232"/>
      <c r="AJ29" s="232"/>
      <c r="AK29" s="232"/>
      <c r="AL29" s="232"/>
      <c r="AM29" s="232"/>
      <c r="AN29" s="232"/>
      <c r="AO29" s="232"/>
      <c r="AP29" s="232"/>
    </row>
    <row r="30" spans="1:42" s="230" customFormat="1" ht="9" customHeight="1" x14ac:dyDescent="0.3">
      <c r="A30" s="214"/>
      <c r="B30" s="250" t="s">
        <v>214</v>
      </c>
      <c r="C30" s="183"/>
      <c r="D30" s="183"/>
      <c r="E30" s="183"/>
      <c r="F30" s="183"/>
      <c r="G30" s="183"/>
      <c r="H30" s="183"/>
      <c r="I30" s="183"/>
      <c r="J30" s="183"/>
      <c r="K30" s="183"/>
      <c r="L30" s="183"/>
      <c r="M30" s="183"/>
      <c r="N30" s="183"/>
      <c r="O30" s="183"/>
      <c r="P30" s="183"/>
      <c r="Q30" s="183"/>
      <c r="R30" s="224" t="s">
        <v>195</v>
      </c>
      <c r="S30" s="224" t="s">
        <v>195</v>
      </c>
      <c r="T30" s="191"/>
      <c r="U30" s="226"/>
      <c r="V30" s="235"/>
      <c r="W30" s="183"/>
      <c r="X30" s="183"/>
      <c r="Y30" s="183"/>
      <c r="Z30" s="183"/>
      <c r="AA30" s="248"/>
      <c r="AI30" s="232"/>
      <c r="AJ30" s="232"/>
      <c r="AK30" s="232"/>
      <c r="AL30" s="232"/>
      <c r="AM30" s="232"/>
      <c r="AN30" s="232"/>
      <c r="AO30" s="232"/>
      <c r="AP30" s="232"/>
    </row>
    <row r="31" spans="1:42" s="230" customFormat="1" ht="9" customHeight="1" x14ac:dyDescent="0.3">
      <c r="A31" s="214"/>
      <c r="B31" s="250" t="s">
        <v>215</v>
      </c>
      <c r="C31" s="183"/>
      <c r="D31" s="237"/>
      <c r="E31" s="237"/>
      <c r="F31" s="252"/>
      <c r="G31" s="252"/>
      <c r="H31" s="183"/>
      <c r="I31" s="183"/>
      <c r="J31" s="183"/>
      <c r="K31" s="183"/>
      <c r="L31" s="183"/>
      <c r="M31" s="183"/>
      <c r="N31" s="183"/>
      <c r="O31" s="183"/>
      <c r="P31" s="183"/>
      <c r="Q31" s="183"/>
      <c r="R31" s="224" t="s">
        <v>195</v>
      </c>
      <c r="S31" s="224" t="s">
        <v>195</v>
      </c>
      <c r="T31" s="191"/>
      <c r="U31" s="226"/>
      <c r="V31" s="235"/>
      <c r="W31" s="183"/>
      <c r="X31" s="183"/>
      <c r="Y31" s="183"/>
      <c r="Z31" s="183"/>
      <c r="AA31" s="248"/>
      <c r="AI31" s="232"/>
      <c r="AJ31" s="232"/>
      <c r="AK31" s="232"/>
      <c r="AL31" s="232"/>
      <c r="AM31" s="232"/>
      <c r="AN31" s="232"/>
      <c r="AO31" s="232"/>
      <c r="AP31" s="232"/>
    </row>
    <row r="32" spans="1:42" s="232" customFormat="1" ht="9" customHeight="1" x14ac:dyDescent="0.3">
      <c r="A32" s="250"/>
      <c r="B32" s="250" t="s">
        <v>216</v>
      </c>
      <c r="C32" s="183"/>
      <c r="D32" s="237"/>
      <c r="E32" s="237"/>
      <c r="F32" s="252"/>
      <c r="G32" s="183"/>
      <c r="H32" s="183"/>
      <c r="I32" s="183"/>
      <c r="J32" s="183"/>
      <c r="K32" s="183"/>
      <c r="L32" s="183"/>
      <c r="M32" s="183"/>
      <c r="N32" s="183"/>
      <c r="O32" s="252"/>
      <c r="P32" s="183"/>
      <c r="Q32" s="183"/>
      <c r="R32" s="224" t="s">
        <v>195</v>
      </c>
      <c r="S32" s="224" t="s">
        <v>195</v>
      </c>
      <c r="T32" s="191"/>
      <c r="U32" s="226"/>
      <c r="V32" s="253"/>
      <c r="W32" s="183"/>
      <c r="X32" s="183"/>
      <c r="Y32" s="183"/>
      <c r="Z32" s="183"/>
    </row>
    <row r="33" spans="1:42" s="232" customFormat="1" ht="9" customHeight="1" x14ac:dyDescent="0.3">
      <c r="A33" s="250"/>
      <c r="B33" s="250" t="s">
        <v>217</v>
      </c>
      <c r="C33" s="183"/>
      <c r="D33" s="183"/>
      <c r="E33" s="183"/>
      <c r="F33" s="183"/>
      <c r="G33" s="183"/>
      <c r="H33" s="183"/>
      <c r="I33" s="183"/>
      <c r="J33" s="183"/>
      <c r="K33" s="183"/>
      <c r="L33" s="183"/>
      <c r="M33" s="183"/>
      <c r="N33" s="254"/>
      <c r="O33" s="252"/>
      <c r="P33" s="255"/>
      <c r="Q33" s="256"/>
      <c r="R33" s="224" t="s">
        <v>195</v>
      </c>
      <c r="S33" s="224" t="s">
        <v>195</v>
      </c>
      <c r="T33" s="191"/>
      <c r="U33" s="226"/>
      <c r="V33" s="253"/>
      <c r="W33" s="183"/>
      <c r="X33" s="183"/>
      <c r="Y33" s="183"/>
      <c r="Z33" s="183"/>
    </row>
    <row r="34" spans="1:42" s="232" customFormat="1" ht="9" customHeight="1" x14ac:dyDescent="0.3">
      <c r="A34" s="250"/>
      <c r="B34" s="250" t="s">
        <v>218</v>
      </c>
      <c r="C34" s="183"/>
      <c r="D34" s="183"/>
      <c r="E34" s="183"/>
      <c r="F34" s="183"/>
      <c r="G34" s="183"/>
      <c r="H34" s="183"/>
      <c r="I34" s="183"/>
      <c r="J34" s="183"/>
      <c r="K34" s="183"/>
      <c r="L34" s="183"/>
      <c r="M34" s="183"/>
      <c r="N34" s="254"/>
      <c r="O34" s="252"/>
      <c r="P34" s="255"/>
      <c r="Q34" s="256"/>
      <c r="R34" s="224" t="s">
        <v>195</v>
      </c>
      <c r="S34" s="224" t="s">
        <v>195</v>
      </c>
      <c r="T34" s="191"/>
      <c r="W34" s="183"/>
      <c r="X34" s="183"/>
      <c r="Y34" s="183"/>
      <c r="Z34" s="183"/>
      <c r="AC34" s="257" t="s">
        <v>219</v>
      </c>
      <c r="AD34" s="258" t="s">
        <v>220</v>
      </c>
      <c r="AE34" s="258" t="s">
        <v>221</v>
      </c>
      <c r="AF34" s="258" t="s">
        <v>222</v>
      </c>
      <c r="AG34" s="258" t="s">
        <v>223</v>
      </c>
    </row>
    <row r="35" spans="1:42" s="232" customFormat="1" ht="13" customHeight="1" x14ac:dyDescent="0.3">
      <c r="A35" s="250"/>
      <c r="B35" s="250" t="s">
        <v>224</v>
      </c>
      <c r="C35" s="183"/>
      <c r="D35" s="183"/>
      <c r="E35" s="183"/>
      <c r="F35" s="183"/>
      <c r="G35" s="183"/>
      <c r="H35" s="183"/>
      <c r="I35" s="183"/>
      <c r="J35" s="183"/>
      <c r="K35" s="183"/>
      <c r="L35" s="183"/>
      <c r="M35" s="183"/>
      <c r="N35" s="254"/>
      <c r="O35" s="252"/>
      <c r="P35" s="255"/>
      <c r="Q35" s="256"/>
      <c r="R35" s="224" t="s">
        <v>195</v>
      </c>
      <c r="S35" s="224" t="s">
        <v>195</v>
      </c>
      <c r="T35" s="191"/>
      <c r="U35" s="259"/>
      <c r="V35" s="259"/>
      <c r="W35" s="183"/>
      <c r="X35" s="183"/>
      <c r="Y35" s="183"/>
      <c r="Z35" s="183"/>
      <c r="AC35" s="260" t="s">
        <v>225</v>
      </c>
      <c r="AD35" s="261">
        <v>574474</v>
      </c>
      <c r="AE35" s="262" t="s">
        <v>226</v>
      </c>
      <c r="AF35" s="262" t="s">
        <v>226</v>
      </c>
      <c r="AG35" s="262" t="s">
        <v>226</v>
      </c>
      <c r="AH35" s="263"/>
      <c r="AK35" s="264"/>
    </row>
    <row r="36" spans="1:42" s="232" customFormat="1" ht="13" customHeight="1" x14ac:dyDescent="0.25">
      <c r="A36" s="250"/>
      <c r="B36" s="250" t="s">
        <v>227</v>
      </c>
      <c r="C36" s="183"/>
      <c r="D36" s="183"/>
      <c r="E36" s="183"/>
      <c r="F36" s="183"/>
      <c r="G36" s="183"/>
      <c r="H36" s="183"/>
      <c r="I36" s="183"/>
      <c r="J36" s="183"/>
      <c r="K36" s="183"/>
      <c r="L36" s="183"/>
      <c r="M36" s="183"/>
      <c r="N36" s="254"/>
      <c r="O36" s="252"/>
      <c r="P36" s="255"/>
      <c r="Q36" s="256"/>
      <c r="R36" s="224" t="s">
        <v>195</v>
      </c>
      <c r="S36" s="224" t="s">
        <v>195</v>
      </c>
      <c r="W36" s="183"/>
      <c r="X36" s="183"/>
      <c r="Y36" s="183"/>
      <c r="Z36" s="183"/>
      <c r="AC36" s="260" t="s">
        <v>228</v>
      </c>
      <c r="AD36" s="265">
        <v>0.62850165485953546</v>
      </c>
      <c r="AE36" s="262" t="s">
        <v>229</v>
      </c>
      <c r="AF36" s="262" t="s">
        <v>230</v>
      </c>
      <c r="AG36" s="262" t="s">
        <v>231</v>
      </c>
    </row>
    <row r="37" spans="1:42" s="232" customFormat="1" ht="13" customHeight="1" x14ac:dyDescent="0.25">
      <c r="A37" s="250"/>
      <c r="B37" s="250" t="s">
        <v>232</v>
      </c>
      <c r="C37" s="183"/>
      <c r="D37" s="183"/>
      <c r="E37" s="183"/>
      <c r="F37" s="183"/>
      <c r="G37" s="183"/>
      <c r="H37" s="183"/>
      <c r="I37" s="183"/>
      <c r="J37" s="183"/>
      <c r="K37" s="183"/>
      <c r="L37" s="183"/>
      <c r="M37" s="183"/>
      <c r="N37" s="254"/>
      <c r="O37" s="252"/>
      <c r="P37" s="255"/>
      <c r="Q37" s="256"/>
      <c r="R37" s="224" t="s">
        <v>195</v>
      </c>
      <c r="S37" s="224" t="s">
        <v>195</v>
      </c>
      <c r="W37" s="183"/>
      <c r="X37" s="183"/>
      <c r="Y37" s="183"/>
      <c r="Z37" s="183"/>
      <c r="AC37" s="260" t="s">
        <v>233</v>
      </c>
      <c r="AD37" s="265">
        <v>0.41091886323006682</v>
      </c>
      <c r="AE37" s="262" t="s">
        <v>234</v>
      </c>
      <c r="AF37" s="262" t="s">
        <v>230</v>
      </c>
      <c r="AG37" s="262" t="s">
        <v>231</v>
      </c>
    </row>
    <row r="38" spans="1:42" s="230" customFormat="1" ht="13" customHeight="1" x14ac:dyDescent="0.3">
      <c r="A38" s="214"/>
      <c r="B38" s="250"/>
      <c r="C38" s="183"/>
      <c r="D38" s="183"/>
      <c r="E38" s="183"/>
      <c r="F38" s="183"/>
      <c r="G38" s="183"/>
      <c r="H38" s="183"/>
      <c r="I38" s="183"/>
      <c r="J38" s="183"/>
      <c r="K38" s="183"/>
      <c r="L38" s="183"/>
      <c r="M38" s="183"/>
      <c r="N38" s="254"/>
      <c r="O38" s="252"/>
      <c r="P38" s="255"/>
      <c r="Q38" s="256"/>
      <c r="R38" s="224" t="s">
        <v>195</v>
      </c>
      <c r="S38" s="224" t="s">
        <v>195</v>
      </c>
      <c r="T38" s="191"/>
      <c r="U38" s="226"/>
      <c r="V38" s="235"/>
      <c r="W38" s="183"/>
      <c r="X38" s="183"/>
      <c r="Y38" s="183"/>
      <c r="Z38" s="183"/>
      <c r="AA38" s="229"/>
      <c r="AC38" s="260" t="s">
        <v>235</v>
      </c>
      <c r="AD38" s="261">
        <v>1279.5481227610337</v>
      </c>
      <c r="AE38" s="262" t="s">
        <v>236</v>
      </c>
      <c r="AF38" s="262" t="s">
        <v>230</v>
      </c>
      <c r="AG38" s="262" t="s">
        <v>231</v>
      </c>
      <c r="AI38" s="232"/>
      <c r="AJ38" s="232"/>
      <c r="AK38" s="232"/>
      <c r="AL38" s="232"/>
      <c r="AM38" s="232"/>
      <c r="AN38" s="232"/>
      <c r="AO38" s="232"/>
      <c r="AP38" s="232"/>
    </row>
    <row r="39" spans="1:42" s="230" customFormat="1" ht="13" customHeight="1" x14ac:dyDescent="0.3">
      <c r="A39" s="214"/>
      <c r="B39" s="250"/>
      <c r="C39" s="183"/>
      <c r="D39" s="183"/>
      <c r="E39" s="183"/>
      <c r="F39" s="183"/>
      <c r="G39" s="183"/>
      <c r="H39" s="183"/>
      <c r="I39" s="183"/>
      <c r="J39" s="183"/>
      <c r="K39" s="183"/>
      <c r="L39" s="183"/>
      <c r="M39" s="183"/>
      <c r="N39" s="254"/>
      <c r="O39" s="252"/>
      <c r="P39" s="255"/>
      <c r="Q39" s="256"/>
      <c r="R39" s="224" t="s">
        <v>195</v>
      </c>
      <c r="S39" s="224" t="s">
        <v>195</v>
      </c>
      <c r="T39" s="191"/>
      <c r="U39" s="226"/>
      <c r="V39" s="235"/>
      <c r="W39" s="183"/>
      <c r="X39" s="183"/>
      <c r="Y39" s="183"/>
      <c r="Z39" s="183"/>
      <c r="AA39" s="229"/>
      <c r="AC39" s="260" t="s">
        <v>237</v>
      </c>
      <c r="AD39" s="261">
        <v>27190.931320064959</v>
      </c>
      <c r="AE39" s="262" t="s">
        <v>238</v>
      </c>
      <c r="AF39" s="262" t="s">
        <v>230</v>
      </c>
      <c r="AG39" s="262" t="s">
        <v>239</v>
      </c>
      <c r="AI39" s="232"/>
      <c r="AJ39" s="232"/>
      <c r="AK39" s="232"/>
      <c r="AL39" s="232"/>
      <c r="AM39" s="232"/>
      <c r="AN39" s="232"/>
      <c r="AO39" s="232"/>
      <c r="AP39" s="232"/>
    </row>
    <row r="40" spans="1:42" s="230" customFormat="1" ht="13" customHeight="1" x14ac:dyDescent="0.3">
      <c r="A40" s="214"/>
      <c r="B40" s="250"/>
      <c r="C40" s="183"/>
      <c r="E40" s="183"/>
      <c r="F40" s="183"/>
      <c r="G40" s="183"/>
      <c r="H40" s="183"/>
      <c r="I40" s="183"/>
      <c r="J40" s="183"/>
      <c r="K40" s="183"/>
      <c r="L40" s="183"/>
      <c r="M40" s="183"/>
      <c r="N40" s="254"/>
      <c r="O40" s="252"/>
      <c r="P40" s="255"/>
      <c r="Q40" s="256"/>
      <c r="R40" s="224" t="s">
        <v>195</v>
      </c>
      <c r="S40" s="224" t="s">
        <v>195</v>
      </c>
      <c r="T40" s="191"/>
      <c r="U40" s="226"/>
      <c r="V40" s="235"/>
      <c r="W40" s="183"/>
      <c r="X40" s="183"/>
      <c r="Y40" s="183"/>
      <c r="Z40" s="183"/>
      <c r="AA40" s="229"/>
      <c r="AC40" s="260" t="s">
        <v>240</v>
      </c>
      <c r="AD40" s="265">
        <v>0.90909090909090906</v>
      </c>
      <c r="AE40" s="262" t="s">
        <v>229</v>
      </c>
      <c r="AF40" s="262" t="s">
        <v>230</v>
      </c>
      <c r="AG40" s="262" t="s">
        <v>231</v>
      </c>
      <c r="AI40" s="232"/>
      <c r="AJ40" s="232"/>
      <c r="AK40" s="232"/>
      <c r="AL40" s="232"/>
      <c r="AM40" s="232"/>
      <c r="AN40" s="232"/>
      <c r="AO40" s="232"/>
      <c r="AP40" s="232"/>
    </row>
    <row r="41" spans="1:42" s="230" customFormat="1" ht="13" customHeight="1" x14ac:dyDescent="0.3">
      <c r="A41" s="214"/>
      <c r="B41" s="250"/>
      <c r="C41" s="183"/>
      <c r="E41" s="183"/>
      <c r="F41" s="183"/>
      <c r="G41" s="183"/>
      <c r="H41" s="183"/>
      <c r="I41" s="183"/>
      <c r="J41" s="183"/>
      <c r="K41" s="183"/>
      <c r="L41" s="183"/>
      <c r="M41" s="183"/>
      <c r="N41" s="254"/>
      <c r="O41" s="252"/>
      <c r="P41" s="255"/>
      <c r="Q41" s="256"/>
      <c r="R41" s="224" t="s">
        <v>195</v>
      </c>
      <c r="S41" s="224" t="s">
        <v>195</v>
      </c>
      <c r="T41" s="191"/>
      <c r="U41" s="226"/>
      <c r="V41" s="235"/>
      <c r="W41" s="183"/>
      <c r="X41" s="183"/>
      <c r="Y41" s="183"/>
      <c r="Z41" s="183"/>
      <c r="AA41" s="229"/>
      <c r="AC41" s="260" t="s">
        <v>241</v>
      </c>
      <c r="AD41" s="266">
        <v>6.4978201825939804E-3</v>
      </c>
      <c r="AE41" s="262" t="s">
        <v>242</v>
      </c>
      <c r="AF41" s="262" t="s">
        <v>230</v>
      </c>
      <c r="AG41" s="262" t="s">
        <v>231</v>
      </c>
      <c r="AI41" s="232"/>
      <c r="AJ41" s="232"/>
      <c r="AK41" s="232"/>
      <c r="AL41" s="232"/>
      <c r="AM41" s="232"/>
      <c r="AN41" s="232"/>
      <c r="AO41" s="232"/>
      <c r="AP41" s="232"/>
    </row>
    <row r="42" spans="1:42" s="230" customFormat="1" ht="9" customHeight="1" x14ac:dyDescent="0.3">
      <c r="A42" s="214"/>
      <c r="B42" s="250"/>
      <c r="C42" s="183"/>
      <c r="E42" s="183"/>
      <c r="F42" s="183"/>
      <c r="G42" s="183"/>
      <c r="H42" s="183"/>
      <c r="I42" s="183"/>
      <c r="J42" s="183"/>
      <c r="K42" s="183"/>
      <c r="L42" s="183"/>
      <c r="M42" s="183"/>
      <c r="N42" s="254"/>
      <c r="O42" s="252"/>
      <c r="P42" s="255"/>
      <c r="Q42" s="256"/>
      <c r="R42" s="224" t="s">
        <v>195</v>
      </c>
      <c r="S42" s="224">
        <v>0.3</v>
      </c>
      <c r="T42" s="191"/>
      <c r="U42" s="226"/>
      <c r="V42" s="251"/>
      <c r="W42" s="183"/>
      <c r="X42" s="183"/>
      <c r="Y42" s="183"/>
      <c r="Z42" s="183"/>
      <c r="AA42" s="229"/>
      <c r="AE42" s="231"/>
      <c r="AF42" s="231"/>
      <c r="AG42" s="231"/>
      <c r="AI42" s="232"/>
      <c r="AJ42" s="232"/>
      <c r="AK42" s="232"/>
      <c r="AL42" s="232"/>
      <c r="AM42" s="232"/>
      <c r="AN42" s="232"/>
      <c r="AO42" s="232"/>
      <c r="AP42" s="232"/>
    </row>
    <row r="43" spans="1:42" s="230" customFormat="1" ht="9" customHeight="1" x14ac:dyDescent="0.3">
      <c r="A43" s="214"/>
      <c r="B43" s="250"/>
      <c r="C43" s="183"/>
      <c r="E43" s="183"/>
      <c r="F43" s="183"/>
      <c r="G43" s="183"/>
      <c r="H43" s="183"/>
      <c r="I43" s="183"/>
      <c r="J43" s="183"/>
      <c r="K43" s="183"/>
      <c r="L43" s="183"/>
      <c r="M43" s="183"/>
      <c r="N43" s="254"/>
      <c r="O43" s="252"/>
      <c r="P43" s="255"/>
      <c r="Q43" s="256"/>
      <c r="R43" s="224" t="s">
        <v>195</v>
      </c>
      <c r="S43" s="224" t="s">
        <v>195</v>
      </c>
      <c r="T43" s="191"/>
      <c r="U43" s="226"/>
      <c r="V43" s="235"/>
      <c r="W43" s="183"/>
      <c r="X43" s="183"/>
      <c r="Y43" s="183"/>
      <c r="Z43" s="183"/>
      <c r="AA43" s="229"/>
      <c r="AC43" s="267"/>
      <c r="AD43" s="268"/>
      <c r="AE43" s="269"/>
      <c r="AF43" s="269"/>
      <c r="AG43" s="269"/>
      <c r="AI43" s="232"/>
      <c r="AJ43" s="232"/>
      <c r="AK43" s="232"/>
      <c r="AL43" s="232"/>
      <c r="AM43" s="232"/>
      <c r="AN43" s="232"/>
      <c r="AO43" s="232"/>
      <c r="AP43" s="232"/>
    </row>
    <row r="44" spans="1:42" s="230" customFormat="1" ht="9" customHeight="1" x14ac:dyDescent="0.3">
      <c r="A44" s="214"/>
      <c r="B44" s="250"/>
      <c r="C44" s="183"/>
      <c r="E44" s="183"/>
      <c r="F44" s="183"/>
      <c r="G44" s="183"/>
      <c r="H44" s="183"/>
      <c r="I44" s="183"/>
      <c r="J44" s="183"/>
      <c r="K44" s="183"/>
      <c r="L44" s="183"/>
      <c r="M44" s="183"/>
      <c r="N44" s="254"/>
      <c r="O44" s="252"/>
      <c r="P44" s="255"/>
      <c r="Q44" s="256"/>
      <c r="R44" s="224" t="s">
        <v>195</v>
      </c>
      <c r="S44" s="224" t="s">
        <v>195</v>
      </c>
      <c r="T44" s="191"/>
      <c r="U44" s="226"/>
      <c r="V44" s="235"/>
      <c r="W44" s="183"/>
      <c r="X44" s="183"/>
      <c r="Y44" s="183"/>
      <c r="Z44" s="183"/>
      <c r="AA44" s="229"/>
      <c r="AC44" s="270"/>
      <c r="AD44" s="271"/>
      <c r="AE44" s="272"/>
      <c r="AF44" s="272"/>
      <c r="AG44" s="272"/>
      <c r="AI44" s="232"/>
      <c r="AJ44" s="232"/>
      <c r="AK44" s="232"/>
      <c r="AL44" s="232"/>
      <c r="AM44" s="232"/>
      <c r="AN44" s="232"/>
      <c r="AO44" s="232"/>
      <c r="AP44" s="232"/>
    </row>
    <row r="45" spans="1:42" s="230" customFormat="1" ht="12" customHeight="1" x14ac:dyDescent="0.3">
      <c r="A45" s="214"/>
      <c r="B45" s="250"/>
      <c r="C45" s="183"/>
      <c r="E45" s="237"/>
      <c r="F45" s="252"/>
      <c r="G45" s="183"/>
      <c r="H45" s="183"/>
      <c r="I45" s="183"/>
      <c r="J45" s="183"/>
      <c r="K45" s="183"/>
      <c r="L45" s="183"/>
      <c r="M45" s="183"/>
      <c r="N45" s="254"/>
      <c r="O45" s="252"/>
      <c r="P45" s="255"/>
      <c r="Q45" s="256"/>
      <c r="R45" s="224" t="s">
        <v>195</v>
      </c>
      <c r="S45" s="224" t="s">
        <v>195</v>
      </c>
      <c r="T45" s="191"/>
      <c r="U45" s="226"/>
      <c r="V45" s="235"/>
      <c r="W45" s="183"/>
      <c r="X45" s="183"/>
      <c r="Y45" s="183"/>
      <c r="Z45" s="183"/>
      <c r="AA45" s="229"/>
      <c r="AC45" s="270"/>
      <c r="AD45" s="271"/>
      <c r="AE45" s="272"/>
      <c r="AF45" s="272"/>
      <c r="AG45" s="272"/>
      <c r="AI45" s="273" t="s">
        <v>243</v>
      </c>
      <c r="AJ45" s="274" t="s">
        <v>244</v>
      </c>
      <c r="AK45" s="274" t="s">
        <v>245</v>
      </c>
      <c r="AL45" s="274" t="s">
        <v>246</v>
      </c>
      <c r="AM45" s="274" t="s">
        <v>247</v>
      </c>
      <c r="AN45" s="274" t="s">
        <v>248</v>
      </c>
      <c r="AO45" s="232"/>
      <c r="AP45" s="232"/>
    </row>
    <row r="46" spans="1:42" s="230" customFormat="1" ht="12" customHeight="1" x14ac:dyDescent="0.3">
      <c r="A46" s="214"/>
      <c r="B46" s="250"/>
      <c r="C46" s="183"/>
      <c r="E46" s="237"/>
      <c r="F46" s="252"/>
      <c r="G46" s="183"/>
      <c r="H46" s="183"/>
      <c r="I46" s="183"/>
      <c r="J46" s="183"/>
      <c r="K46" s="183"/>
      <c r="L46" s="183"/>
      <c r="M46" s="183"/>
      <c r="N46" s="254"/>
      <c r="O46" s="252"/>
      <c r="P46" s="255"/>
      <c r="Q46" s="256"/>
      <c r="R46" s="224" t="s">
        <v>195</v>
      </c>
      <c r="S46" s="224" t="s">
        <v>195</v>
      </c>
      <c r="T46" s="191"/>
      <c r="U46" s="226"/>
      <c r="V46" s="235"/>
      <c r="W46" s="183"/>
      <c r="X46" s="183"/>
      <c r="Y46" s="183"/>
      <c r="Z46" s="183"/>
      <c r="AA46" s="229"/>
      <c r="AC46" s="270"/>
      <c r="AD46" s="271"/>
      <c r="AE46" s="272"/>
      <c r="AF46" s="272"/>
      <c r="AG46" s="272"/>
      <c r="AI46" s="273"/>
      <c r="AJ46" s="274"/>
      <c r="AK46" s="274"/>
      <c r="AL46" s="274"/>
      <c r="AM46" s="274"/>
      <c r="AN46" s="274"/>
      <c r="AO46" s="232"/>
      <c r="AP46" s="232"/>
    </row>
    <row r="47" spans="1:42" s="230" customFormat="1" ht="12" customHeight="1" x14ac:dyDescent="0.3">
      <c r="A47" s="214"/>
      <c r="B47" s="250"/>
      <c r="C47" s="183"/>
      <c r="E47" s="237"/>
      <c r="F47" s="252"/>
      <c r="G47" s="183"/>
      <c r="H47" s="183"/>
      <c r="I47" s="183"/>
      <c r="J47" s="183"/>
      <c r="K47" s="183"/>
      <c r="L47" s="183"/>
      <c r="M47" s="183"/>
      <c r="N47" s="254"/>
      <c r="O47" s="252"/>
      <c r="P47" s="255"/>
      <c r="Q47" s="256"/>
      <c r="R47" s="224" t="s">
        <v>195</v>
      </c>
      <c r="S47" s="224" t="s">
        <v>195</v>
      </c>
      <c r="T47" s="191"/>
      <c r="U47" s="226"/>
      <c r="V47" s="235"/>
      <c r="W47" s="183"/>
      <c r="X47" s="183"/>
      <c r="Y47" s="183"/>
      <c r="Z47" s="183"/>
      <c r="AA47" s="229"/>
      <c r="AC47" s="270"/>
      <c r="AD47" s="271"/>
      <c r="AE47" s="272"/>
      <c r="AF47" s="272"/>
      <c r="AG47" s="272"/>
      <c r="AI47" s="275"/>
      <c r="AJ47" s="276"/>
      <c r="AK47" s="276"/>
      <c r="AL47" s="276"/>
      <c r="AM47" s="276"/>
      <c r="AN47" s="276"/>
      <c r="AO47" s="232"/>
      <c r="AP47" s="232"/>
    </row>
    <row r="48" spans="1:42" s="230" customFormat="1" ht="18.5" customHeight="1" x14ac:dyDescent="0.3">
      <c r="A48" s="214"/>
      <c r="B48" s="250"/>
      <c r="C48" s="183"/>
      <c r="E48" s="237"/>
      <c r="F48" s="252"/>
      <c r="G48" s="183"/>
      <c r="H48" s="183"/>
      <c r="I48" s="183"/>
      <c r="J48" s="183"/>
      <c r="K48" s="183"/>
      <c r="L48" s="183"/>
      <c r="M48" s="183"/>
      <c r="N48" s="254"/>
      <c r="O48" s="252"/>
      <c r="P48" s="255"/>
      <c r="Q48" s="256"/>
      <c r="R48" s="224" t="s">
        <v>195</v>
      </c>
      <c r="S48" s="224" t="s">
        <v>195</v>
      </c>
      <c r="T48" s="191"/>
      <c r="U48" s="226"/>
      <c r="V48" s="235"/>
      <c r="W48" s="183"/>
      <c r="X48" s="183"/>
      <c r="Y48" s="183"/>
      <c r="Z48" s="183"/>
      <c r="AA48" s="229"/>
      <c r="AC48" s="270"/>
      <c r="AD48" s="271"/>
      <c r="AE48" s="272"/>
      <c r="AF48" s="272"/>
      <c r="AG48" s="272"/>
      <c r="AI48" s="277" t="s">
        <v>33</v>
      </c>
      <c r="AJ48" s="278">
        <v>9047250</v>
      </c>
      <c r="AK48" s="279">
        <v>8832</v>
      </c>
      <c r="AL48" s="280">
        <v>0.71799999999999997</v>
      </c>
      <c r="AM48" s="281">
        <v>38.6</v>
      </c>
      <c r="AN48" s="281">
        <v>41.6</v>
      </c>
      <c r="AO48" s="232"/>
      <c r="AP48" s="232"/>
    </row>
    <row r="49" spans="2:47" ht="18.5" customHeight="1" x14ac:dyDescent="0.3">
      <c r="B49" s="282"/>
      <c r="E49" s="237"/>
      <c r="F49" s="252"/>
      <c r="K49" s="183"/>
      <c r="L49" s="183"/>
      <c r="M49" s="183"/>
      <c r="N49" s="254"/>
      <c r="O49" s="252"/>
      <c r="P49" s="255"/>
      <c r="Q49" s="256"/>
      <c r="R49" s="224"/>
      <c r="S49" s="224"/>
      <c r="T49" s="191"/>
      <c r="U49" s="283"/>
      <c r="AI49" s="277" t="s">
        <v>29</v>
      </c>
      <c r="AJ49" s="278">
        <v>4546765</v>
      </c>
      <c r="AK49" s="279">
        <v>15184</v>
      </c>
      <c r="AL49" s="280">
        <v>0.76700000000000002</v>
      </c>
      <c r="AM49" s="281">
        <v>28</v>
      </c>
      <c r="AN49" s="281">
        <v>51.3</v>
      </c>
    </row>
    <row r="50" spans="2:47" ht="18.5" customHeight="1" x14ac:dyDescent="0.25">
      <c r="B50" s="282"/>
      <c r="E50" s="237"/>
      <c r="F50" s="252"/>
      <c r="K50" s="183"/>
      <c r="L50" s="183"/>
      <c r="M50" s="183"/>
      <c r="N50" s="254"/>
      <c r="O50" s="252"/>
      <c r="P50" s="255"/>
      <c r="Q50" s="256"/>
      <c r="R50" s="224"/>
      <c r="S50" s="224"/>
      <c r="AI50" s="277" t="s">
        <v>30</v>
      </c>
      <c r="AJ50" s="278">
        <v>6965456</v>
      </c>
      <c r="AK50" s="279">
        <v>11331</v>
      </c>
      <c r="AL50" s="280">
        <v>0.75900000000000001</v>
      </c>
      <c r="AM50" s="281">
        <v>21.5</v>
      </c>
      <c r="AN50" s="281">
        <v>45.7</v>
      </c>
    </row>
    <row r="51" spans="2:47" ht="18.5" customHeight="1" x14ac:dyDescent="0.25">
      <c r="B51" s="282"/>
      <c r="K51" s="183"/>
      <c r="L51" s="183"/>
      <c r="M51" s="183"/>
      <c r="N51" s="254"/>
      <c r="O51" s="252"/>
      <c r="P51" s="255"/>
      <c r="Q51" s="256"/>
      <c r="R51" s="224"/>
      <c r="S51" s="224"/>
      <c r="AI51" s="277" t="s">
        <v>34</v>
      </c>
      <c r="AJ51" s="278">
        <v>765326</v>
      </c>
      <c r="AK51" s="279">
        <v>8891</v>
      </c>
      <c r="AL51" s="280">
        <v>0.67300000000000004</v>
      </c>
      <c r="AM51" s="281">
        <v>32.700000000000003</v>
      </c>
      <c r="AN51" s="281">
        <v>38.799999999999997</v>
      </c>
    </row>
    <row r="52" spans="2:47" ht="18.5" customHeight="1" x14ac:dyDescent="0.25">
      <c r="B52" s="282"/>
      <c r="K52" s="183"/>
      <c r="L52" s="183"/>
      <c r="M52" s="183"/>
      <c r="R52" s="284"/>
      <c r="S52" s="284"/>
      <c r="AI52" s="277" t="s">
        <v>27</v>
      </c>
      <c r="AJ52" s="278">
        <v>3309890</v>
      </c>
      <c r="AK52" s="279">
        <v>5698</v>
      </c>
      <c r="AL52" s="280">
        <v>0.63400000000000001</v>
      </c>
      <c r="AM52" s="281">
        <v>29.6</v>
      </c>
      <c r="AN52" s="281">
        <v>48.2</v>
      </c>
    </row>
    <row r="53" spans="2:47" ht="18.5" customHeight="1" x14ac:dyDescent="0.25">
      <c r="B53" s="282"/>
      <c r="C53" s="285"/>
      <c r="J53" s="184"/>
      <c r="K53" s="183"/>
      <c r="L53" s="183"/>
      <c r="M53" s="183"/>
      <c r="R53" s="284"/>
      <c r="S53" s="284"/>
      <c r="AI53" s="277" t="s">
        <v>63</v>
      </c>
      <c r="AJ53" s="278">
        <v>1973882</v>
      </c>
      <c r="AK53" s="279">
        <v>20266</v>
      </c>
      <c r="AL53" s="280">
        <v>0.77900000000000003</v>
      </c>
      <c r="AM53" s="281">
        <v>46.2</v>
      </c>
      <c r="AN53" s="281">
        <v>45.4</v>
      </c>
    </row>
    <row r="54" spans="2:47" ht="18.5" customHeight="1" x14ac:dyDescent="0.25">
      <c r="B54" s="282"/>
      <c r="C54" s="285"/>
      <c r="J54" s="184"/>
      <c r="K54" s="183"/>
      <c r="L54" s="183"/>
      <c r="M54" s="183"/>
      <c r="AI54" s="277" t="s">
        <v>167</v>
      </c>
      <c r="AJ54" s="278">
        <v>977467</v>
      </c>
      <c r="AK54" s="279">
        <v>12985</v>
      </c>
      <c r="AL54" s="280">
        <v>0.77700000000000002</v>
      </c>
      <c r="AM54" s="281">
        <v>22.7</v>
      </c>
      <c r="AN54" s="281">
        <v>41.5</v>
      </c>
    </row>
    <row r="55" spans="2:47" ht="9" customHeight="1" x14ac:dyDescent="0.25">
      <c r="B55" s="282"/>
      <c r="C55" s="286"/>
      <c r="J55" s="184"/>
      <c r="K55" s="183"/>
      <c r="L55" s="183"/>
      <c r="M55" s="183"/>
      <c r="AJ55" s="287">
        <f>+SUM(AJ48:AJ54)</f>
        <v>27586036</v>
      </c>
    </row>
    <row r="56" spans="2:47" ht="9" customHeight="1" x14ac:dyDescent="0.25">
      <c r="B56" s="282"/>
      <c r="C56" s="286"/>
      <c r="L56" s="183"/>
      <c r="M56" s="183"/>
    </row>
    <row r="57" spans="2:47" ht="9" customHeight="1" x14ac:dyDescent="0.25">
      <c r="B57" s="282"/>
      <c r="C57" s="285"/>
    </row>
    <row r="58" spans="2:47" ht="12.25" customHeight="1" x14ac:dyDescent="0.25">
      <c r="B58" s="286"/>
      <c r="C58" s="285"/>
      <c r="AJ58" s="255">
        <f>AJ55-'[1]LOCFUND EEFF Summary'!B6</f>
        <v>-0.41000000387430191</v>
      </c>
    </row>
    <row r="59" spans="2:47" ht="12.25" customHeight="1" x14ac:dyDescent="0.25">
      <c r="C59" s="285"/>
    </row>
    <row r="60" spans="2:47" ht="12.25" customHeight="1" x14ac:dyDescent="0.25"/>
    <row r="61" spans="2:47" ht="12.25" customHeight="1" x14ac:dyDescent="0.25"/>
    <row r="63" spans="2:47" x14ac:dyDescent="0.25">
      <c r="K63" s="183"/>
      <c r="L63" s="183"/>
      <c r="M63" s="183"/>
    </row>
    <row r="64" spans="2:47" ht="24" customHeight="1" x14ac:dyDescent="0.25">
      <c r="K64" s="183"/>
      <c r="L64" s="183"/>
      <c r="M64" s="183"/>
      <c r="AP64" s="288"/>
      <c r="AQ64" s="289" t="s">
        <v>249</v>
      </c>
      <c r="AR64" s="289" t="str">
        <f>+AK45</f>
        <v>GDP USD (e)</v>
      </c>
      <c r="AS64" s="289" t="str">
        <f>+AL45</f>
        <v>HDI (f)</v>
      </c>
      <c r="AT64" s="289" t="str">
        <f>+AM45</f>
        <v>% NPL (g)</v>
      </c>
      <c r="AU64" s="289" t="str">
        <f>+AN45</f>
        <v>Gini Coefficient (h)</v>
      </c>
    </row>
    <row r="65" spans="6:47" ht="18" customHeight="1" x14ac:dyDescent="0.25">
      <c r="K65" s="183"/>
      <c r="L65" s="183"/>
      <c r="M65" s="183"/>
      <c r="AP65" s="277">
        <v>1</v>
      </c>
      <c r="AQ65" s="277" t="s">
        <v>250</v>
      </c>
      <c r="AR65" s="279">
        <v>22033.945309320345</v>
      </c>
      <c r="AS65" s="290">
        <v>0.83</v>
      </c>
      <c r="AT65" s="281">
        <v>25.7</v>
      </c>
      <c r="AU65" s="291">
        <v>41.4</v>
      </c>
    </row>
    <row r="66" spans="6:47" ht="18" customHeight="1" x14ac:dyDescent="0.25">
      <c r="K66" s="183"/>
      <c r="L66" s="183"/>
      <c r="M66" s="183"/>
      <c r="AP66" s="277">
        <v>2</v>
      </c>
      <c r="AQ66" s="277" t="s">
        <v>251</v>
      </c>
      <c r="AR66" s="279">
        <v>15638.829897398775</v>
      </c>
      <c r="AS66" s="290">
        <v>0.81299999999999994</v>
      </c>
      <c r="AT66" s="281">
        <v>31.5</v>
      </c>
      <c r="AU66" s="291" t="s">
        <v>198</v>
      </c>
    </row>
    <row r="67" spans="6:47" ht="18" customHeight="1" x14ac:dyDescent="0.25">
      <c r="K67" s="183"/>
      <c r="L67" s="183"/>
      <c r="M67" s="183"/>
      <c r="R67" s="256"/>
      <c r="S67" s="256"/>
      <c r="T67" s="256"/>
      <c r="U67" s="256"/>
      <c r="V67" s="256"/>
      <c r="AP67" s="277">
        <v>3</v>
      </c>
      <c r="AQ67" s="277" t="s">
        <v>252</v>
      </c>
      <c r="AR67" s="279">
        <v>7004.9123012291548</v>
      </c>
      <c r="AS67" s="290">
        <v>0.72</v>
      </c>
      <c r="AT67" s="281">
        <v>41</v>
      </c>
      <c r="AU67" s="291" t="s">
        <v>198</v>
      </c>
    </row>
    <row r="68" spans="6:47" ht="18" customHeight="1" x14ac:dyDescent="0.25">
      <c r="K68" s="183"/>
      <c r="L68" s="183"/>
      <c r="M68" s="183"/>
      <c r="R68" s="256"/>
      <c r="S68" s="256"/>
      <c r="T68" s="256"/>
      <c r="U68" s="256"/>
      <c r="V68" s="256"/>
      <c r="AA68" s="292"/>
      <c r="AP68" s="277">
        <v>4</v>
      </c>
      <c r="AQ68" s="277" t="s">
        <v>253</v>
      </c>
      <c r="AR68" s="279">
        <v>14651.61618093461</v>
      </c>
      <c r="AS68" s="290">
        <v>0.76100000000000001</v>
      </c>
      <c r="AT68" s="281">
        <v>4.2</v>
      </c>
      <c r="AU68" s="291">
        <v>53.9</v>
      </c>
    </row>
    <row r="69" spans="6:47" ht="18" customHeight="1" x14ac:dyDescent="0.25">
      <c r="K69" s="183"/>
      <c r="L69" s="183"/>
      <c r="M69" s="183"/>
      <c r="R69" s="256"/>
      <c r="S69" s="256"/>
      <c r="T69" s="256"/>
      <c r="U69" s="256"/>
      <c r="V69" s="256"/>
      <c r="AA69" s="292"/>
      <c r="AP69" s="277">
        <v>5</v>
      </c>
      <c r="AQ69" s="277" t="s">
        <v>254</v>
      </c>
      <c r="AR69" s="279">
        <v>19642.417853166826</v>
      </c>
      <c r="AS69" s="290">
        <v>0.79400000000000004</v>
      </c>
      <c r="AT69" s="281">
        <v>21.7</v>
      </c>
      <c r="AU69" s="291">
        <v>48</v>
      </c>
    </row>
    <row r="70" spans="6:47" ht="18" customHeight="1" x14ac:dyDescent="0.25">
      <c r="K70" s="183"/>
      <c r="L70" s="183"/>
      <c r="M70" s="183"/>
      <c r="R70" s="256"/>
      <c r="S70" s="256"/>
      <c r="T70" s="256"/>
      <c r="U70" s="256"/>
      <c r="V70" s="256"/>
      <c r="AA70" s="292"/>
      <c r="AP70" s="277">
        <v>6</v>
      </c>
      <c r="AQ70" s="277" t="s">
        <v>255</v>
      </c>
      <c r="AR70" s="279">
        <v>24226.150887899796</v>
      </c>
      <c r="AS70" s="290">
        <v>0.84699999999999998</v>
      </c>
      <c r="AT70" s="281">
        <v>14.4</v>
      </c>
      <c r="AU70" s="291">
        <v>44.4</v>
      </c>
    </row>
    <row r="71" spans="6:47" ht="18" customHeight="1" x14ac:dyDescent="0.25">
      <c r="K71" s="183"/>
      <c r="L71" s="183"/>
      <c r="M71" s="183"/>
      <c r="R71" s="256"/>
      <c r="S71" s="256"/>
      <c r="T71" s="256"/>
      <c r="U71" s="256"/>
      <c r="V71" s="256"/>
      <c r="AA71" s="292"/>
      <c r="AP71" s="277">
        <v>7</v>
      </c>
      <c r="AQ71" s="277" t="s">
        <v>256</v>
      </c>
      <c r="AR71" s="279">
        <v>18419.034263015157</v>
      </c>
      <c r="AS71" s="290">
        <v>0.745</v>
      </c>
      <c r="AT71" s="281">
        <v>30.5</v>
      </c>
      <c r="AU71" s="291">
        <v>43.7</v>
      </c>
    </row>
    <row r="72" spans="6:47" ht="18" customHeight="1" x14ac:dyDescent="0.25">
      <c r="K72" s="183"/>
      <c r="L72" s="183"/>
      <c r="M72" s="183"/>
      <c r="R72" s="256"/>
      <c r="S72" s="256"/>
      <c r="T72" s="256"/>
      <c r="U72" s="256"/>
      <c r="V72" s="256"/>
      <c r="AA72" s="292"/>
      <c r="AP72" s="277">
        <v>8</v>
      </c>
      <c r="AQ72" s="277" t="s">
        <v>257</v>
      </c>
      <c r="AR72" s="279">
        <v>8637.5553249751792</v>
      </c>
      <c r="AS72" s="290">
        <v>0.65100000000000002</v>
      </c>
      <c r="AT72" s="281">
        <v>59.3</v>
      </c>
      <c r="AU72" s="291">
        <v>48.3</v>
      </c>
    </row>
    <row r="73" spans="6:47" ht="18" customHeight="1" x14ac:dyDescent="0.25">
      <c r="K73" s="183"/>
      <c r="L73" s="183"/>
      <c r="M73" s="183"/>
      <c r="R73" s="256"/>
      <c r="S73" s="256"/>
      <c r="T73" s="256"/>
      <c r="U73" s="256"/>
      <c r="V73" s="256"/>
      <c r="AA73" s="292"/>
      <c r="AP73" s="277">
        <v>9</v>
      </c>
      <c r="AQ73" s="277" t="s">
        <v>258</v>
      </c>
      <c r="AR73" s="279">
        <v>1728.9100699872324</v>
      </c>
      <c r="AS73" s="290">
        <v>0.503</v>
      </c>
      <c r="AT73" s="281">
        <v>58.5</v>
      </c>
      <c r="AU73" s="291">
        <v>41.1</v>
      </c>
    </row>
    <row r="74" spans="6:47" ht="18" customHeight="1" x14ac:dyDescent="0.25">
      <c r="K74" s="183"/>
      <c r="L74" s="183"/>
      <c r="M74" s="183"/>
      <c r="R74" s="256"/>
      <c r="S74" s="256"/>
      <c r="T74" s="256"/>
      <c r="U74" s="256"/>
      <c r="V74" s="256"/>
      <c r="AA74" s="292"/>
      <c r="AP74" s="277">
        <v>10</v>
      </c>
      <c r="AQ74" s="277" t="s">
        <v>259</v>
      </c>
      <c r="AR74" s="279">
        <v>9761.4985221052757</v>
      </c>
      <c r="AS74" s="290">
        <v>0.72599999999999998</v>
      </c>
      <c r="AT74" s="281">
        <v>17.100000000000001</v>
      </c>
      <c r="AU74" s="291" t="s">
        <v>198</v>
      </c>
    </row>
    <row r="75" spans="6:47" ht="18" customHeight="1" x14ac:dyDescent="0.25">
      <c r="K75" s="183"/>
      <c r="L75" s="183"/>
      <c r="M75" s="183"/>
      <c r="R75" s="256"/>
      <c r="S75" s="256"/>
      <c r="T75" s="256"/>
      <c r="U75" s="256"/>
      <c r="V75" s="256"/>
      <c r="AA75" s="292"/>
      <c r="AP75" s="277">
        <v>11</v>
      </c>
      <c r="AQ75" s="277" t="s">
        <v>260</v>
      </c>
      <c r="AR75" s="279">
        <v>5407.1047020797114</v>
      </c>
      <c r="AS75" s="290">
        <v>0.65100000000000002</v>
      </c>
      <c r="AT75" s="281">
        <v>29.6</v>
      </c>
      <c r="AU75" s="291">
        <v>46.2</v>
      </c>
    </row>
    <row r="76" spans="6:47" ht="18" customHeight="1" x14ac:dyDescent="0.25">
      <c r="K76" s="183"/>
      <c r="L76" s="183"/>
      <c r="M76" s="183"/>
      <c r="R76" s="256"/>
      <c r="S76" s="256"/>
      <c r="T76" s="256"/>
      <c r="U76" s="256"/>
      <c r="V76" s="256"/>
      <c r="AA76" s="292"/>
      <c r="AP76" s="277">
        <v>12</v>
      </c>
      <c r="AQ76" s="277" t="s">
        <v>261</v>
      </c>
      <c r="AR76" s="279">
        <v>31458.692625521315</v>
      </c>
      <c r="AS76" s="290">
        <v>0.79500000000000004</v>
      </c>
      <c r="AT76" s="281">
        <v>23</v>
      </c>
      <c r="AU76" s="291">
        <v>49.2</v>
      </c>
    </row>
    <row r="77" spans="6:47" ht="18" customHeight="1" x14ac:dyDescent="0.25">
      <c r="K77" s="183"/>
      <c r="L77" s="183"/>
      <c r="M77" s="183"/>
      <c r="R77" s="256"/>
      <c r="S77" s="256"/>
      <c r="T77" s="256"/>
      <c r="U77" s="256"/>
      <c r="V77" s="256"/>
      <c r="AA77" s="292"/>
      <c r="AP77" s="277">
        <v>13</v>
      </c>
      <c r="AQ77" s="277" t="s">
        <v>262</v>
      </c>
      <c r="AR77" s="279">
        <v>12684.596191076354</v>
      </c>
      <c r="AS77" s="290">
        <v>0.72399999999999998</v>
      </c>
      <c r="AT77" s="281">
        <v>22.2</v>
      </c>
      <c r="AU77" s="291">
        <v>46.2</v>
      </c>
    </row>
    <row r="78" spans="6:47" ht="18" customHeight="1" x14ac:dyDescent="0.25">
      <c r="K78" s="183"/>
      <c r="L78" s="183"/>
      <c r="M78" s="183"/>
      <c r="R78" s="256"/>
      <c r="S78" s="256"/>
      <c r="T78" s="256"/>
      <c r="U78" s="256"/>
      <c r="V78" s="256"/>
      <c r="AA78" s="292"/>
      <c r="AP78" s="277">
        <v>14</v>
      </c>
      <c r="AQ78" s="277" t="s">
        <v>263</v>
      </c>
      <c r="AR78" s="279">
        <v>16328.686115677745</v>
      </c>
      <c r="AS78" s="290">
        <v>0.72399999999999998</v>
      </c>
      <c r="AT78" s="281">
        <v>70</v>
      </c>
      <c r="AU78" s="291" t="s">
        <v>198</v>
      </c>
    </row>
    <row r="79" spans="6:47" ht="18" customHeight="1" x14ac:dyDescent="0.25">
      <c r="K79" s="183"/>
      <c r="L79" s="183"/>
      <c r="M79" s="183"/>
      <c r="R79" s="256"/>
      <c r="S79" s="256"/>
      <c r="T79" s="256"/>
      <c r="U79" s="256"/>
      <c r="V79" s="256"/>
      <c r="AA79" s="292"/>
      <c r="AP79" s="277">
        <v>15</v>
      </c>
      <c r="AQ79" s="277" t="s">
        <v>264</v>
      </c>
      <c r="AR79" s="279">
        <v>26175.951728287968</v>
      </c>
      <c r="AS79" s="290">
        <v>0.79900000000000004</v>
      </c>
      <c r="AT79" s="281">
        <v>20</v>
      </c>
      <c r="AU79" s="291" t="s">
        <v>198</v>
      </c>
    </row>
    <row r="80" spans="6:47" ht="18" customHeight="1" x14ac:dyDescent="0.25">
      <c r="F80" s="293"/>
      <c r="L80" s="183"/>
      <c r="M80" s="183"/>
      <c r="R80" s="256"/>
      <c r="S80" s="256"/>
      <c r="T80" s="256"/>
      <c r="U80" s="256"/>
      <c r="V80" s="256"/>
      <c r="AA80" s="292"/>
      <c r="AP80" s="277">
        <v>16</v>
      </c>
      <c r="AQ80" s="277" t="s">
        <v>265</v>
      </c>
      <c r="AR80" s="279">
        <v>21561.062052917718</v>
      </c>
      <c r="AS80" s="290">
        <v>0.80800000000000005</v>
      </c>
      <c r="AT80" s="281">
        <v>9.6999999999999993</v>
      </c>
      <c r="AU80" s="291">
        <v>39.700000000000003</v>
      </c>
    </row>
    <row r="81" spans="6:47" ht="18" customHeight="1" x14ac:dyDescent="0.25">
      <c r="F81" s="293"/>
      <c r="R81" s="256"/>
      <c r="S81" s="256"/>
      <c r="T81" s="256"/>
      <c r="U81" s="256"/>
      <c r="V81" s="256"/>
      <c r="AA81" s="292"/>
      <c r="AP81" s="277">
        <v>17</v>
      </c>
      <c r="AQ81" s="277" t="s">
        <v>266</v>
      </c>
      <c r="AR81" s="279" t="s">
        <v>198</v>
      </c>
      <c r="AS81" s="290">
        <v>0.72599999999999998</v>
      </c>
      <c r="AT81" s="281">
        <v>19.7</v>
      </c>
      <c r="AU81" s="291" t="s">
        <v>198</v>
      </c>
    </row>
    <row r="82" spans="6:47" ht="14.25" customHeight="1" x14ac:dyDescent="0.25">
      <c r="F82" s="293"/>
      <c r="R82" s="256"/>
      <c r="S82" s="256"/>
      <c r="AA82" s="292"/>
      <c r="AP82" s="277"/>
      <c r="AQ82" s="277"/>
      <c r="AR82" s="279"/>
      <c r="AS82" s="290"/>
      <c r="AT82" s="281"/>
      <c r="AU82" s="291"/>
    </row>
    <row r="83" spans="6:47" ht="14.25" customHeight="1" x14ac:dyDescent="0.25">
      <c r="F83" s="293"/>
      <c r="R83" s="256"/>
      <c r="S83" s="256"/>
      <c r="AA83" s="292"/>
      <c r="AP83" s="277"/>
      <c r="AQ83" s="277"/>
      <c r="AR83" s="279"/>
      <c r="AS83" s="290"/>
      <c r="AT83" s="281"/>
      <c r="AU83" s="291"/>
    </row>
    <row r="84" spans="6:47" x14ac:dyDescent="0.25">
      <c r="F84" s="293"/>
      <c r="R84" s="256"/>
      <c r="S84" s="256"/>
      <c r="AA84" s="292"/>
    </row>
    <row r="85" spans="6:47" x14ac:dyDescent="0.25">
      <c r="R85" s="256"/>
      <c r="S85" s="256"/>
      <c r="AA85" s="292"/>
    </row>
    <row r="86" spans="6:47" x14ac:dyDescent="0.25">
      <c r="AA86" s="292"/>
    </row>
    <row r="87" spans="6:47" x14ac:dyDescent="0.25">
      <c r="AA87" s="292"/>
    </row>
    <row r="91" spans="6:47" ht="33.75" customHeight="1" x14ac:dyDescent="0.25"/>
    <row r="92" spans="6:47" ht="22.75" customHeight="1" x14ac:dyDescent="0.25"/>
    <row r="93" spans="6:47" ht="33.75" customHeight="1" x14ac:dyDescent="0.25"/>
    <row r="95" spans="6:47" ht="22.75" customHeight="1" x14ac:dyDescent="0.25"/>
    <row r="96" spans="6:47" x14ac:dyDescent="0.25">
      <c r="T96" s="294"/>
      <c r="U96" s="294"/>
      <c r="V96" s="185"/>
    </row>
    <row r="97" ht="22.75" customHeight="1" x14ac:dyDescent="0.25"/>
    <row r="98" ht="33.75" customHeight="1" x14ac:dyDescent="0.25"/>
    <row r="99" ht="33.75" customHeight="1" x14ac:dyDescent="0.25"/>
    <row r="101" ht="22.75" customHeight="1" x14ac:dyDescent="0.25"/>
    <row r="102" ht="22.75" customHeight="1" x14ac:dyDescent="0.25"/>
    <row r="103" ht="22.75" customHeight="1" x14ac:dyDescent="0.25"/>
    <row r="104" ht="22.75" customHeight="1" x14ac:dyDescent="0.25"/>
    <row r="105" ht="33.75" customHeight="1" x14ac:dyDescent="0.25"/>
    <row r="106" ht="22.75" customHeight="1" x14ac:dyDescent="0.25"/>
    <row r="107" ht="22.75" customHeight="1" x14ac:dyDescent="0.25"/>
    <row r="109" ht="22.75" customHeight="1" x14ac:dyDescent="0.25"/>
    <row r="110" ht="22.75" customHeight="1" x14ac:dyDescent="0.25"/>
    <row r="111" ht="22.75" customHeight="1" x14ac:dyDescent="0.25"/>
    <row r="112" ht="22.75" customHeight="1" x14ac:dyDescent="0.25"/>
    <row r="117" ht="22.75" customHeight="1" x14ac:dyDescent="0.25"/>
    <row r="118" ht="33.75" customHeight="1" x14ac:dyDescent="0.25"/>
    <row r="119" ht="22.75" customHeight="1" x14ac:dyDescent="0.25"/>
    <row r="120" ht="22.75" customHeight="1" x14ac:dyDescent="0.25"/>
    <row r="121" ht="33.75" customHeight="1" x14ac:dyDescent="0.25"/>
    <row r="122" ht="33.75" customHeight="1" x14ac:dyDescent="0.25"/>
    <row r="123" ht="22.75" customHeight="1" x14ac:dyDescent="0.25"/>
    <row r="124" ht="33.75" customHeight="1" x14ac:dyDescent="0.25"/>
    <row r="125" ht="33.75" customHeight="1" x14ac:dyDescent="0.25"/>
    <row r="126" ht="22.75" customHeight="1" x14ac:dyDescent="0.25"/>
    <row r="127" ht="22.75" customHeight="1" x14ac:dyDescent="0.25"/>
    <row r="128" ht="22.75" customHeight="1" x14ac:dyDescent="0.25"/>
    <row r="129" ht="22.75" customHeight="1" x14ac:dyDescent="0.25"/>
    <row r="130" ht="22.75" customHeight="1" x14ac:dyDescent="0.25"/>
    <row r="133" ht="22.75" customHeight="1" x14ac:dyDescent="0.25"/>
    <row r="134" ht="33.75" customHeight="1" x14ac:dyDescent="0.25"/>
    <row r="135" ht="33.75" customHeight="1" x14ac:dyDescent="0.25"/>
    <row r="136" ht="33.75" customHeight="1" x14ac:dyDescent="0.25"/>
    <row r="137" ht="22.75" customHeight="1" x14ac:dyDescent="0.25"/>
    <row r="138" ht="22.75" customHeight="1" x14ac:dyDescent="0.25"/>
    <row r="141" ht="33.75" customHeight="1" x14ac:dyDescent="0.25"/>
    <row r="143" ht="22.75" customHeight="1" x14ac:dyDescent="0.25"/>
    <row r="144" ht="22.75" customHeight="1" x14ac:dyDescent="0.25"/>
    <row r="145" ht="22.75" customHeight="1" x14ac:dyDescent="0.25"/>
    <row r="146" ht="33.75" customHeight="1" x14ac:dyDescent="0.25"/>
    <row r="147" ht="33.75" customHeight="1" x14ac:dyDescent="0.25"/>
    <row r="148" ht="45" customHeight="1" x14ac:dyDescent="0.25"/>
    <row r="149" ht="22.75" customHeight="1" x14ac:dyDescent="0.25"/>
    <row r="150" ht="22.75" customHeight="1" x14ac:dyDescent="0.25"/>
    <row r="151" ht="22.75" customHeight="1" x14ac:dyDescent="0.25"/>
    <row r="163" ht="22.75" customHeight="1" x14ac:dyDescent="0.25"/>
    <row r="164" ht="22.75" customHeight="1" x14ac:dyDescent="0.25"/>
    <row r="165" ht="22.75" customHeight="1" x14ac:dyDescent="0.25"/>
  </sheetData>
  <mergeCells count="6">
    <mergeCell ref="AI45:AI47"/>
    <mergeCell ref="AJ45:AJ47"/>
    <mergeCell ref="AK45:AK47"/>
    <mergeCell ref="AL45:AL47"/>
    <mergeCell ref="AM45:AM47"/>
    <mergeCell ref="AN45:AN47"/>
  </mergeCells>
  <pageMargins left="2.1298031496062992" right="0.23622047244094491" top="0.74803149606299213" bottom="0.19685039370078741" header="0.31496062992125984" footer="0.31496062992125984"/>
  <pageSetup paperSize="9" scale="2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C2EE-28CB-4F53-9CD1-D9BC7D074734}">
  <dimension ref="B3:I59"/>
  <sheetViews>
    <sheetView showGridLines="0" workbookViewId="0">
      <selection activeCell="D59" sqref="D59"/>
    </sheetView>
  </sheetViews>
  <sheetFormatPr defaultColWidth="10.90625" defaultRowHeight="12.5" x14ac:dyDescent="0.25"/>
  <cols>
    <col min="2" max="2" width="31.81640625" customWidth="1"/>
    <col min="3" max="3" width="2.453125" customWidth="1"/>
    <col min="4" max="4" width="12.81640625" customWidth="1"/>
    <col min="5" max="7" width="13.1796875" customWidth="1"/>
  </cols>
  <sheetData>
    <row r="3" spans="2:9" ht="13" x14ac:dyDescent="0.3">
      <c r="B3" s="170">
        <v>44255</v>
      </c>
    </row>
    <row r="4" spans="2:9" ht="13" x14ac:dyDescent="0.3">
      <c r="B4" s="163" t="s">
        <v>145</v>
      </c>
      <c r="C4" s="163"/>
      <c r="D4" s="165" t="s">
        <v>140</v>
      </c>
      <c r="E4" s="165" t="s">
        <v>140</v>
      </c>
      <c r="G4" s="165" t="s">
        <v>141</v>
      </c>
    </row>
    <row r="5" spans="2:9" ht="13" x14ac:dyDescent="0.3">
      <c r="D5" s="166" t="s">
        <v>143</v>
      </c>
      <c r="E5" s="166" t="s">
        <v>142</v>
      </c>
      <c r="F5" s="165" t="s">
        <v>144</v>
      </c>
      <c r="G5" s="166"/>
    </row>
    <row r="7" spans="2:9" x14ac:dyDescent="0.25">
      <c r="B7" s="164" t="s">
        <v>135</v>
      </c>
      <c r="C7" s="164"/>
      <c r="D7" s="167">
        <v>388.88888888888891</v>
      </c>
      <c r="E7" s="167">
        <v>7527.79</v>
      </c>
      <c r="F7" s="167">
        <v>-6708.33</v>
      </c>
      <c r="G7" s="167">
        <f>+E7+F7</f>
        <v>819.46</v>
      </c>
    </row>
    <row r="8" spans="2:9" x14ac:dyDescent="0.25">
      <c r="B8" s="164" t="s">
        <v>136</v>
      </c>
      <c r="C8" s="164"/>
      <c r="D8" s="167">
        <v>388.88888888888891</v>
      </c>
      <c r="E8" s="167">
        <v>7527</v>
      </c>
      <c r="F8" s="167">
        <v>-7527</v>
      </c>
      <c r="G8" s="167">
        <f t="shared" ref="G8:G11" si="0">+E8+F8</f>
        <v>0</v>
      </c>
    </row>
    <row r="9" spans="2:9" x14ac:dyDescent="0.25">
      <c r="B9" s="164" t="s">
        <v>137</v>
      </c>
      <c r="C9" s="164"/>
      <c r="D9" s="167">
        <v>41.67</v>
      </c>
      <c r="E9" s="167">
        <v>791.66666666666663</v>
      </c>
      <c r="F9" s="167"/>
      <c r="G9" s="167">
        <f t="shared" si="0"/>
        <v>791.66666666666663</v>
      </c>
      <c r="I9" s="169"/>
    </row>
    <row r="10" spans="2:9" x14ac:dyDescent="0.25">
      <c r="B10" s="164" t="s">
        <v>138</v>
      </c>
      <c r="C10" s="164"/>
      <c r="D10" s="171">
        <f>7777.77777777778+277.78</f>
        <v>8055.5577777777798</v>
      </c>
      <c r="E10" s="167">
        <v>23055.555555555555</v>
      </c>
      <c r="F10" s="167"/>
      <c r="G10" s="167">
        <f t="shared" si="0"/>
        <v>23055.555555555555</v>
      </c>
    </row>
    <row r="11" spans="2:9" x14ac:dyDescent="0.25">
      <c r="B11" s="164" t="s">
        <v>139</v>
      </c>
      <c r="C11" s="164"/>
      <c r="D11" s="171">
        <v>2638.8888888888891</v>
      </c>
      <c r="E11" s="167">
        <v>2638.8888888888891</v>
      </c>
      <c r="F11" s="167"/>
      <c r="G11" s="167">
        <f t="shared" si="0"/>
        <v>2638.8888888888891</v>
      </c>
    </row>
    <row r="12" spans="2:9" ht="13.5" thickBot="1" x14ac:dyDescent="0.35">
      <c r="D12" s="168">
        <f t="shared" ref="D12:F12" si="1">SUM(D7:D11)</f>
        <v>11513.894444444446</v>
      </c>
      <c r="E12" s="168">
        <f t="shared" si="1"/>
        <v>41540.90111111111</v>
      </c>
      <c r="F12" s="168">
        <f t="shared" si="1"/>
        <v>-14235.33</v>
      </c>
      <c r="G12" s="168">
        <f>SUM(G7:G11)</f>
        <v>27305.571111111112</v>
      </c>
      <c r="H12">
        <f>+'2021'!C72</f>
        <v>27305.58</v>
      </c>
      <c r="I12" s="169">
        <f>+H12-G12</f>
        <v>8.8888888894871343E-3</v>
      </c>
    </row>
    <row r="13" spans="2:9" ht="13" thickTop="1" x14ac:dyDescent="0.25">
      <c r="D13" s="167"/>
      <c r="E13" s="167"/>
      <c r="F13" s="167"/>
      <c r="G13" s="167"/>
    </row>
    <row r="16" spans="2:9" ht="13" x14ac:dyDescent="0.3">
      <c r="B16" s="170">
        <f>+B3</f>
        <v>44255</v>
      </c>
    </row>
    <row r="17" spans="2:9" ht="13" x14ac:dyDescent="0.3">
      <c r="B17" s="163" t="s">
        <v>146</v>
      </c>
      <c r="C17" s="163"/>
      <c r="D17" s="165" t="s">
        <v>140</v>
      </c>
      <c r="E17" s="165" t="s">
        <v>140</v>
      </c>
      <c r="G17" s="165" t="s">
        <v>147</v>
      </c>
    </row>
    <row r="18" spans="2:9" ht="13" x14ac:dyDescent="0.3">
      <c r="D18" s="166" t="s">
        <v>143</v>
      </c>
      <c r="E18" s="166" t="s">
        <v>142</v>
      </c>
      <c r="F18" s="165" t="s">
        <v>144</v>
      </c>
      <c r="G18" s="166"/>
    </row>
    <row r="20" spans="2:9" x14ac:dyDescent="0.25">
      <c r="B20" s="164" t="s">
        <v>135</v>
      </c>
      <c r="C20" s="164"/>
      <c r="D20" s="167">
        <v>591.54929577464782</v>
      </c>
      <c r="E20" s="167">
        <v>1669.0140845070421</v>
      </c>
      <c r="F20" s="167">
        <v>-60000</v>
      </c>
      <c r="G20" s="167">
        <f>+E20+F20</f>
        <v>-58330.985915492958</v>
      </c>
    </row>
    <row r="21" spans="2:9" x14ac:dyDescent="0.25">
      <c r="B21" s="164" t="s">
        <v>136</v>
      </c>
      <c r="C21" s="164"/>
      <c r="D21" s="167">
        <v>528.99329185958106</v>
      </c>
      <c r="E21" s="167">
        <v>1432.9280667620978</v>
      </c>
      <c r="F21" s="167">
        <v>-60000</v>
      </c>
      <c r="G21" s="167">
        <f t="shared" ref="G21:G24" si="2">+E21+F21</f>
        <v>-58567.071933237901</v>
      </c>
    </row>
    <row r="22" spans="2:9" x14ac:dyDescent="0.25">
      <c r="B22" s="164" t="s">
        <v>137</v>
      </c>
      <c r="C22" s="164"/>
      <c r="D22" s="167">
        <v>147.99154334038053</v>
      </c>
      <c r="E22" s="167">
        <v>459.83086680761102</v>
      </c>
      <c r="F22" s="167">
        <v>-15000</v>
      </c>
      <c r="G22" s="167">
        <f t="shared" si="2"/>
        <v>-14540.169133192388</v>
      </c>
      <c r="I22" s="169"/>
    </row>
    <row r="23" spans="2:9" x14ac:dyDescent="0.25">
      <c r="B23" s="164" t="s">
        <v>139</v>
      </c>
      <c r="C23" s="164"/>
      <c r="D23" s="171">
        <v>328.64864864864865</v>
      </c>
      <c r="E23" s="167">
        <v>328.64864864864865</v>
      </c>
      <c r="F23" s="167">
        <v>-38000</v>
      </c>
      <c r="G23" s="167">
        <f t="shared" si="2"/>
        <v>-37671.351351351354</v>
      </c>
    </row>
    <row r="24" spans="2:9" x14ac:dyDescent="0.25">
      <c r="B24" s="164" t="s">
        <v>148</v>
      </c>
      <c r="C24" s="164"/>
      <c r="D24" s="171">
        <v>978.33682739343112</v>
      </c>
      <c r="E24" s="167">
        <v>3529.0006988120194</v>
      </c>
      <c r="F24" s="167">
        <v>-100000</v>
      </c>
      <c r="G24" s="167">
        <f t="shared" si="2"/>
        <v>-96470.999301187985</v>
      </c>
    </row>
    <row r="25" spans="2:9" ht="13.5" thickBot="1" x14ac:dyDescent="0.35">
      <c r="C25" s="168">
        <f>SUM(C20:C24)</f>
        <v>0</v>
      </c>
      <c r="D25" s="168">
        <f>SUM(D20:D24)</f>
        <v>2575.519607016689</v>
      </c>
      <c r="E25" s="168">
        <f>SUM(E20:E24)</f>
        <v>7419.422365537419</v>
      </c>
      <c r="F25" s="168">
        <f>SUM(F20:F24)</f>
        <v>-273000</v>
      </c>
      <c r="G25" s="168">
        <f>SUM(G20:G24)</f>
        <v>-265580.57763446262</v>
      </c>
      <c r="H25">
        <f>+'2021'!C94</f>
        <v>-265580.57</v>
      </c>
      <c r="I25" s="169">
        <f>+H25-G25</f>
        <v>7.6344626140780747E-3</v>
      </c>
    </row>
    <row r="26" spans="2:9" ht="13" thickTop="1" x14ac:dyDescent="0.25"/>
    <row r="27" spans="2:9" x14ac:dyDescent="0.25">
      <c r="D27" s="169">
        <f>+D25+D12</f>
        <v>14089.414051461135</v>
      </c>
    </row>
    <row r="28" spans="2:9" x14ac:dyDescent="0.25">
      <c r="D28">
        <f>-'2021'!C127</f>
        <v>14089.42</v>
      </c>
    </row>
    <row r="29" spans="2:9" x14ac:dyDescent="0.25">
      <c r="D29" s="169">
        <f>+D28-D27</f>
        <v>5.9485388646862702E-3</v>
      </c>
    </row>
    <row r="33" spans="2:9" ht="13" x14ac:dyDescent="0.3">
      <c r="B33" s="170">
        <v>44286</v>
      </c>
    </row>
    <row r="34" spans="2:9" ht="13" x14ac:dyDescent="0.3">
      <c r="B34" s="163" t="s">
        <v>145</v>
      </c>
      <c r="C34" s="163"/>
      <c r="D34" s="165" t="s">
        <v>140</v>
      </c>
      <c r="E34" s="165" t="s">
        <v>140</v>
      </c>
      <c r="G34" s="165" t="s">
        <v>141</v>
      </c>
    </row>
    <row r="35" spans="2:9" ht="13" x14ac:dyDescent="0.3">
      <c r="D35" s="166" t="s">
        <v>143</v>
      </c>
      <c r="E35" s="166" t="s">
        <v>142</v>
      </c>
      <c r="F35" s="165" t="s">
        <v>144</v>
      </c>
      <c r="G35" s="166"/>
    </row>
    <row r="37" spans="2:9" x14ac:dyDescent="0.25">
      <c r="B37" s="164" t="s">
        <v>135</v>
      </c>
      <c r="C37" s="164"/>
      <c r="D37" s="167">
        <v>430.55555555555554</v>
      </c>
      <c r="E37" s="167">
        <v>1250</v>
      </c>
      <c r="F37" s="167">
        <v>0</v>
      </c>
      <c r="G37" s="167">
        <f>+E37+F37</f>
        <v>1250</v>
      </c>
    </row>
    <row r="38" spans="2:9" x14ac:dyDescent="0.25">
      <c r="B38" s="164" t="s">
        <v>136</v>
      </c>
      <c r="C38" s="164"/>
      <c r="D38" s="167">
        <v>430.55555555555554</v>
      </c>
      <c r="E38" s="167">
        <v>430.55555555555554</v>
      </c>
      <c r="F38" s="167">
        <v>0</v>
      </c>
      <c r="G38" s="167">
        <f t="shared" ref="G38:G41" si="3">+E38+F38</f>
        <v>430.55555555555554</v>
      </c>
    </row>
    <row r="39" spans="2:9" x14ac:dyDescent="0.25">
      <c r="B39" s="164" t="s">
        <v>137</v>
      </c>
      <c r="C39" s="164"/>
      <c r="D39" s="167">
        <v>0</v>
      </c>
      <c r="E39" s="167">
        <v>0</v>
      </c>
      <c r="F39" s="167"/>
      <c r="G39" s="167">
        <f t="shared" si="3"/>
        <v>0</v>
      </c>
      <c r="I39" s="169"/>
    </row>
    <row r="40" spans="2:9" x14ac:dyDescent="0.25">
      <c r="B40" s="164" t="s">
        <v>138</v>
      </c>
      <c r="C40" s="164"/>
      <c r="D40" s="171">
        <v>8611.1111111111113</v>
      </c>
      <c r="E40" s="167">
        <v>31666.666666666664</v>
      </c>
      <c r="F40" s="167">
        <v>-28611.111111111099</v>
      </c>
      <c r="G40" s="167">
        <f t="shared" si="3"/>
        <v>3055.5555555555657</v>
      </c>
    </row>
    <row r="41" spans="2:9" x14ac:dyDescent="0.25">
      <c r="B41" s="164" t="s">
        <v>139</v>
      </c>
      <c r="C41" s="164"/>
      <c r="D41" s="171">
        <v>3272.2222222222222</v>
      </c>
      <c r="E41" s="167">
        <v>5911.1111111111113</v>
      </c>
      <c r="F41" s="167">
        <v>-3588.8888888888901</v>
      </c>
      <c r="G41" s="167">
        <f t="shared" si="3"/>
        <v>2322.2222222222213</v>
      </c>
    </row>
    <row r="42" spans="2:9" ht="13.5" thickBot="1" x14ac:dyDescent="0.35">
      <c r="D42" s="168">
        <f t="shared" ref="D42:F42" si="4">SUM(D37:D41)</f>
        <v>12744.444444444445</v>
      </c>
      <c r="E42" s="168">
        <f t="shared" si="4"/>
        <v>39258.333333333328</v>
      </c>
      <c r="F42" s="168">
        <f t="shared" si="4"/>
        <v>-32199.999999999989</v>
      </c>
      <c r="G42" s="168">
        <f>SUM(G37:G41)</f>
        <v>7058.333333333343</v>
      </c>
      <c r="H42">
        <f>+'2021'!D72</f>
        <v>7058.37</v>
      </c>
      <c r="I42" s="174">
        <f>+H42-G42</f>
        <v>3.666666665685625E-2</v>
      </c>
    </row>
    <row r="43" spans="2:9" ht="13" thickTop="1" x14ac:dyDescent="0.25">
      <c r="D43" s="167"/>
      <c r="E43" s="167"/>
      <c r="F43" s="167"/>
      <c r="G43" s="167"/>
    </row>
    <row r="46" spans="2:9" ht="13" x14ac:dyDescent="0.3">
      <c r="B46" s="170">
        <f>+B33</f>
        <v>44286</v>
      </c>
    </row>
    <row r="47" spans="2:9" ht="13" x14ac:dyDescent="0.3">
      <c r="B47" s="163" t="s">
        <v>146</v>
      </c>
      <c r="C47" s="163"/>
      <c r="D47" s="165" t="s">
        <v>140</v>
      </c>
      <c r="E47" s="165" t="s">
        <v>140</v>
      </c>
      <c r="G47" s="165" t="s">
        <v>147</v>
      </c>
    </row>
    <row r="48" spans="2:9" ht="13" x14ac:dyDescent="0.3">
      <c r="D48" s="166" t="s">
        <v>143</v>
      </c>
      <c r="E48" s="166" t="s">
        <v>142</v>
      </c>
      <c r="F48" s="165" t="s">
        <v>144</v>
      </c>
      <c r="G48" s="166"/>
    </row>
    <row r="50" spans="2:9" x14ac:dyDescent="0.25">
      <c r="B50" s="164" t="s">
        <v>135</v>
      </c>
      <c r="C50" s="164"/>
      <c r="D50" s="167">
        <v>654.92957746478874</v>
      </c>
      <c r="E50" s="167">
        <v>2323.9436619718308</v>
      </c>
      <c r="F50" s="167">
        <v>-60000</v>
      </c>
      <c r="G50" s="167">
        <f>+E50+F50</f>
        <v>-57676.056338028167</v>
      </c>
    </row>
    <row r="51" spans="2:9" x14ac:dyDescent="0.25">
      <c r="B51" s="164" t="s">
        <v>136</v>
      </c>
      <c r="C51" s="164"/>
      <c r="D51" s="167">
        <v>662.13684534295226</v>
      </c>
      <c r="E51" s="167">
        <v>2095.0649121050501</v>
      </c>
      <c r="F51" s="167">
        <v>-60000</v>
      </c>
      <c r="G51" s="167">
        <f t="shared" ref="G51:G54" si="5">+E51+F51</f>
        <v>-57904.935087894948</v>
      </c>
    </row>
    <row r="52" spans="2:9" x14ac:dyDescent="0.25">
      <c r="B52" s="164" t="s">
        <v>137</v>
      </c>
      <c r="C52" s="164"/>
      <c r="D52" s="167">
        <v>163.84778012684995</v>
      </c>
      <c r="E52" s="167">
        <v>623.67864693446097</v>
      </c>
      <c r="F52" s="167">
        <v>-15000</v>
      </c>
      <c r="G52" s="167">
        <f t="shared" si="5"/>
        <v>-14376.321353065539</v>
      </c>
      <c r="I52" s="169"/>
    </row>
    <row r="53" spans="2:9" x14ac:dyDescent="0.25">
      <c r="B53" s="164" t="s">
        <v>139</v>
      </c>
      <c r="C53" s="164"/>
      <c r="D53" s="171">
        <v>424.50450450450455</v>
      </c>
      <c r="E53" s="167">
        <v>753.1531531531532</v>
      </c>
      <c r="F53" s="167">
        <v>-38000</v>
      </c>
      <c r="G53" s="167">
        <f t="shared" si="5"/>
        <v>-37246.846846846849</v>
      </c>
    </row>
    <row r="54" spans="2:9" x14ac:dyDescent="0.25">
      <c r="B54" s="164" t="s">
        <v>148</v>
      </c>
      <c r="C54" s="164"/>
      <c r="D54" s="171">
        <v>1083.1586303284412</v>
      </c>
      <c r="E54" s="167">
        <v>4612.1593291404606</v>
      </c>
      <c r="F54" s="167">
        <v>-100000</v>
      </c>
      <c r="G54" s="167">
        <f t="shared" si="5"/>
        <v>-95387.840670859543</v>
      </c>
    </row>
    <row r="55" spans="2:9" ht="13.5" thickBot="1" x14ac:dyDescent="0.35">
      <c r="C55" s="168">
        <f>SUM(C50:C54)</f>
        <v>0</v>
      </c>
      <c r="D55" s="168">
        <f>SUM(D50:D54)</f>
        <v>2988.5773377675368</v>
      </c>
      <c r="E55" s="168">
        <f>SUM(E50:E54)</f>
        <v>10407.999703304955</v>
      </c>
      <c r="F55" s="168">
        <f>SUM(F50:F54)</f>
        <v>-273000</v>
      </c>
      <c r="G55" s="168">
        <f>SUM(G50:G54)</f>
        <v>-262592.00029669504</v>
      </c>
      <c r="H55">
        <f>+'2021'!D94</f>
        <v>-262591.99</v>
      </c>
      <c r="I55" s="169">
        <f>+H55-G55</f>
        <v>1.0296695050783455E-2</v>
      </c>
    </row>
    <row r="56" spans="2:9" ht="13" thickTop="1" x14ac:dyDescent="0.25"/>
    <row r="57" spans="2:9" x14ac:dyDescent="0.25">
      <c r="D57" s="169">
        <f>+D55+D42</f>
        <v>15733.021782211981</v>
      </c>
    </row>
    <row r="58" spans="2:9" x14ac:dyDescent="0.25">
      <c r="D58">
        <f>-'2021'!D127</f>
        <v>15733.04</v>
      </c>
    </row>
    <row r="59" spans="2:9" x14ac:dyDescent="0.25">
      <c r="D59" s="169">
        <f>+D58-D57</f>
        <v>1.8217788019683212E-2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F458-1089-4FBA-9086-15E638937910}">
  <dimension ref="A1:I35"/>
  <sheetViews>
    <sheetView showGridLines="0" tabSelected="1" zoomScale="145" zoomScaleNormal="145" workbookViewId="0">
      <selection activeCell="D19" sqref="D19"/>
    </sheetView>
  </sheetViews>
  <sheetFormatPr defaultColWidth="11.453125" defaultRowHeight="10" outlineLevelRow="1" x14ac:dyDescent="0.2"/>
  <cols>
    <col min="1" max="1" width="11.54296875" style="37" customWidth="1"/>
    <col min="2" max="2" width="20.54296875" style="37" customWidth="1"/>
    <col min="3" max="4" width="15.26953125" style="57" customWidth="1"/>
    <col min="5" max="5" width="13.26953125" style="57" customWidth="1"/>
    <col min="6" max="6" width="15.26953125" style="37" customWidth="1"/>
    <col min="7" max="7" width="15.453125" style="37" customWidth="1"/>
    <col min="8" max="8" width="15.453125" style="45" customWidth="1"/>
    <col min="9" max="16384" width="11.453125" style="37"/>
  </cols>
  <sheetData>
    <row r="1" spans="1:9" ht="34.5" x14ac:dyDescent="0.25">
      <c r="A1" s="32" t="s">
        <v>36</v>
      </c>
      <c r="B1" s="33" t="s">
        <v>37</v>
      </c>
      <c r="C1" s="34" t="s">
        <v>38</v>
      </c>
      <c r="D1" s="34" t="s">
        <v>39</v>
      </c>
      <c r="E1" s="175" t="s">
        <v>101</v>
      </c>
      <c r="F1" s="34" t="s">
        <v>31</v>
      </c>
    </row>
    <row r="2" spans="1:9" outlineLevel="1" x14ac:dyDescent="0.2">
      <c r="A2" s="92" t="s">
        <v>33</v>
      </c>
      <c r="B2" s="37" t="s">
        <v>152</v>
      </c>
      <c r="C2" s="55">
        <f>+'2021'!D14</f>
        <v>5000000</v>
      </c>
      <c r="D2" s="55">
        <f>+'2021'!D15</f>
        <v>92516.67</v>
      </c>
      <c r="E2" s="55">
        <f>+'2021'!D16</f>
        <v>-37833.33</v>
      </c>
      <c r="F2" s="55">
        <f>+C2+D2+E2</f>
        <v>5054683.34</v>
      </c>
      <c r="I2" s="88"/>
    </row>
    <row r="3" spans="1:9" outlineLevel="1" x14ac:dyDescent="0.2">
      <c r="A3" s="92"/>
      <c r="B3" s="37" t="s">
        <v>153</v>
      </c>
      <c r="C3" s="55">
        <f>+'2021'!D18</f>
        <v>4000000</v>
      </c>
      <c r="D3" s="55">
        <f>+'2021'!D19</f>
        <v>31733.33</v>
      </c>
      <c r="E3" s="55">
        <f>+'2021'!D20</f>
        <v>-39166.67</v>
      </c>
      <c r="F3" s="55">
        <f>+C3+D3+E3</f>
        <v>3992566.66</v>
      </c>
      <c r="I3" s="88"/>
    </row>
    <row r="4" spans="1:9" ht="10.5" x14ac:dyDescent="0.25">
      <c r="A4" s="178" t="s">
        <v>40</v>
      </c>
      <c r="B4" s="182"/>
      <c r="C4" s="56">
        <f>+SUM(C2:C3)</f>
        <v>9000000</v>
      </c>
      <c r="D4" s="56">
        <f>+SUM(D2:D3)</f>
        <v>124250</v>
      </c>
      <c r="E4" s="56">
        <f>+SUM(E2:E3)</f>
        <v>-77000</v>
      </c>
      <c r="F4" s="56">
        <f>+SUM(F2:F3)</f>
        <v>9047250</v>
      </c>
      <c r="H4" s="45">
        <f>F4/$F$21</f>
        <v>0.32796483936780241</v>
      </c>
      <c r="I4" s="88"/>
    </row>
    <row r="5" spans="1:9" outlineLevel="1" x14ac:dyDescent="0.2">
      <c r="B5" s="37" t="s">
        <v>49</v>
      </c>
      <c r="C5" s="55">
        <f>+'2021'!D23</f>
        <v>3000000</v>
      </c>
      <c r="D5" s="55">
        <f>+'2021'!D24</f>
        <v>54999.99</v>
      </c>
      <c r="E5" s="55">
        <f>+'2021'!D25</f>
        <v>-26750</v>
      </c>
      <c r="F5" s="55">
        <f>+C5+D5+E5</f>
        <v>3028249.99</v>
      </c>
      <c r="I5" s="88"/>
    </row>
    <row r="6" spans="1:9" outlineLevel="1" x14ac:dyDescent="0.2">
      <c r="A6" s="92" t="s">
        <v>30</v>
      </c>
      <c r="B6" s="37" t="s">
        <v>72</v>
      </c>
      <c r="C6" s="55">
        <f>+'2021'!D27</f>
        <v>1200000</v>
      </c>
      <c r="D6" s="55">
        <f>+'2021'!D28</f>
        <v>21333.32</v>
      </c>
      <c r="E6" s="55">
        <f>+'2021'!D29</f>
        <v>-10733.33</v>
      </c>
      <c r="F6" s="55">
        <f t="shared" ref="F6:F8" si="0">+C6+D6+E6</f>
        <v>1210599.99</v>
      </c>
      <c r="I6" s="88"/>
    </row>
    <row r="7" spans="1:9" outlineLevel="1" x14ac:dyDescent="0.2">
      <c r="A7" s="92"/>
      <c r="B7" s="37" t="s">
        <v>79</v>
      </c>
      <c r="C7" s="55">
        <f>+'2021'!D55</f>
        <v>1900000</v>
      </c>
      <c r="D7" s="55">
        <f>+'2021'!D56</f>
        <v>2480.56</v>
      </c>
      <c r="E7" s="55">
        <f>+'2021'!D57</f>
        <v>-17040.63</v>
      </c>
      <c r="F7" s="55">
        <f t="shared" si="0"/>
        <v>1885439.9300000002</v>
      </c>
      <c r="I7" s="88"/>
    </row>
    <row r="8" spans="1:9" outlineLevel="1" x14ac:dyDescent="0.2">
      <c r="B8" s="100" t="s">
        <v>154</v>
      </c>
      <c r="C8" s="55">
        <f>+'2021'!D51</f>
        <v>840000</v>
      </c>
      <c r="D8" s="55">
        <f>+'2021'!D52</f>
        <v>9333.33</v>
      </c>
      <c r="E8" s="55">
        <f>+'2021'!D53</f>
        <v>-8167.15</v>
      </c>
      <c r="F8" s="55">
        <f t="shared" si="0"/>
        <v>841166.17999999993</v>
      </c>
      <c r="I8" s="88"/>
    </row>
    <row r="9" spans="1:9" ht="10.5" x14ac:dyDescent="0.25">
      <c r="A9" s="178" t="s">
        <v>43</v>
      </c>
      <c r="B9" s="179"/>
      <c r="C9" s="56">
        <f>+SUM(C5:C8)</f>
        <v>6940000</v>
      </c>
      <c r="D9" s="56">
        <f>+SUM(D5:D8)</f>
        <v>88147.199999999997</v>
      </c>
      <c r="E9" s="56">
        <f>+SUM(E5:E8)</f>
        <v>-62691.110000000008</v>
      </c>
      <c r="F9" s="56">
        <f>+SUM(F5:F8)</f>
        <v>6965456.0899999999</v>
      </c>
      <c r="G9" s="88"/>
      <c r="H9" s="45">
        <f>F9/$F$21</f>
        <v>0.25249934374316296</v>
      </c>
      <c r="I9" s="88"/>
    </row>
    <row r="10" spans="1:9" outlineLevel="1" x14ac:dyDescent="0.2">
      <c r="A10" s="92" t="s">
        <v>27</v>
      </c>
      <c r="B10" s="37" t="s">
        <v>155</v>
      </c>
      <c r="C10" s="55">
        <f>+'2021'!D59</f>
        <v>2799126</v>
      </c>
      <c r="D10" s="55">
        <f>+'2021'!D60</f>
        <v>5598.25</v>
      </c>
      <c r="E10" s="55">
        <f>+'2021'!D61</f>
        <v>-8365</v>
      </c>
      <c r="F10" s="55">
        <f>+C10+D10+E10</f>
        <v>2796359.25</v>
      </c>
      <c r="G10" s="88"/>
      <c r="I10" s="88"/>
    </row>
    <row r="11" spans="1:9" outlineLevel="1" x14ac:dyDescent="0.2">
      <c r="A11" s="92"/>
      <c r="B11" s="37" t="s">
        <v>156</v>
      </c>
      <c r="C11" s="55">
        <f>+'2021'!D43</f>
        <v>501573.2</v>
      </c>
      <c r="D11" s="55">
        <f>+'2021'!D44</f>
        <v>16559.16</v>
      </c>
      <c r="E11" s="55">
        <f>+'2021'!D45</f>
        <v>-4601.8500000000004</v>
      </c>
      <c r="F11" s="55">
        <f>+C11+D11+E11</f>
        <v>513530.51</v>
      </c>
      <c r="G11" s="88"/>
      <c r="I11" s="88"/>
    </row>
    <row r="12" spans="1:9" ht="10.5" x14ac:dyDescent="0.25">
      <c r="A12" s="178" t="s">
        <v>45</v>
      </c>
      <c r="B12" s="179"/>
      <c r="C12" s="56">
        <f>+SUM(C10:C11)</f>
        <v>3300699.2</v>
      </c>
      <c r="D12" s="56">
        <f>+SUM(D10:D11)</f>
        <v>22157.41</v>
      </c>
      <c r="E12" s="56">
        <f>+SUM(E10:E11)</f>
        <v>-12966.85</v>
      </c>
      <c r="F12" s="56">
        <f>+SUM(F10:F11)</f>
        <v>3309889.76</v>
      </c>
      <c r="G12" s="88"/>
      <c r="H12" s="45">
        <f>F12/$F$21</f>
        <v>0.11998424531913388</v>
      </c>
      <c r="I12" s="88"/>
    </row>
    <row r="13" spans="1:9" x14ac:dyDescent="0.2">
      <c r="A13" s="92" t="s">
        <v>34</v>
      </c>
      <c r="B13" s="37" t="s">
        <v>157</v>
      </c>
      <c r="C13" s="55">
        <f>+'2021'!D31</f>
        <v>750000</v>
      </c>
      <c r="D13" s="55">
        <f>+'2021'!D32</f>
        <v>20712.330000000002</v>
      </c>
      <c r="E13" s="55">
        <f>+'2021'!D33</f>
        <v>-5386.3</v>
      </c>
      <c r="F13" s="55">
        <f>+C13+D13+E13</f>
        <v>765326.02999999991</v>
      </c>
      <c r="G13" s="88"/>
      <c r="I13" s="88"/>
    </row>
    <row r="14" spans="1:9" ht="10.5" x14ac:dyDescent="0.25">
      <c r="A14" s="178" t="s">
        <v>44</v>
      </c>
      <c r="B14" s="179"/>
      <c r="C14" s="56">
        <f>+SUM(C13:C13)</f>
        <v>750000</v>
      </c>
      <c r="D14" s="56">
        <f>+SUM(D13:D13)</f>
        <v>20712.330000000002</v>
      </c>
      <c r="E14" s="56">
        <f>+SUM(E13:E13)</f>
        <v>-5386.3</v>
      </c>
      <c r="F14" s="56">
        <f>+SUM(F13:F13)</f>
        <v>765326.02999999991</v>
      </c>
      <c r="G14" s="88"/>
      <c r="H14" s="45">
        <f>F14/$F$21</f>
        <v>2.7743240044538164E-2</v>
      </c>
      <c r="I14" s="88"/>
    </row>
    <row r="15" spans="1:9" x14ac:dyDescent="0.2">
      <c r="A15" s="92" t="s">
        <v>63</v>
      </c>
      <c r="B15" s="37" t="s">
        <v>85</v>
      </c>
      <c r="C15" s="55">
        <f>+'2021'!D39</f>
        <v>1923776.24</v>
      </c>
      <c r="D15" s="55">
        <f>+'2021'!D40</f>
        <v>68828.44</v>
      </c>
      <c r="E15" s="55">
        <f>+'2021'!D41</f>
        <v>-18722.22</v>
      </c>
      <c r="F15" s="55">
        <f>+C15+D15+E15</f>
        <v>1973882.46</v>
      </c>
      <c r="G15" s="88"/>
      <c r="I15" s="88"/>
    </row>
    <row r="16" spans="1:9" ht="10.5" x14ac:dyDescent="0.25">
      <c r="A16" s="178" t="s">
        <v>64</v>
      </c>
      <c r="B16" s="179"/>
      <c r="C16" s="56">
        <f>SUM(C15:C15)</f>
        <v>1923776.24</v>
      </c>
      <c r="D16" s="56">
        <f>SUM(D15:D15)</f>
        <v>68828.44</v>
      </c>
      <c r="E16" s="56">
        <f>SUM(E15:E15)</f>
        <v>-18722.22</v>
      </c>
      <c r="F16" s="56">
        <f>SUM(F15:F15)</f>
        <v>1973882.46</v>
      </c>
      <c r="H16" s="45">
        <f>F16/$F$21</f>
        <v>7.1553681386589588E-2</v>
      </c>
      <c r="I16" s="88"/>
    </row>
    <row r="17" spans="1:9" x14ac:dyDescent="0.2">
      <c r="A17" s="92" t="s">
        <v>29</v>
      </c>
      <c r="B17" s="37" t="s">
        <v>41</v>
      </c>
      <c r="C17" s="55">
        <f>+'2021'!D35</f>
        <v>4585299.08</v>
      </c>
      <c r="D17" s="55">
        <f>+'2021'!D36</f>
        <v>6928.9</v>
      </c>
      <c r="E17" s="55">
        <f>+'2021'!D37</f>
        <v>-45462.96</v>
      </c>
      <c r="F17" s="55">
        <f>+C17+D17+E17</f>
        <v>4546765.0200000005</v>
      </c>
      <c r="G17" s="91"/>
      <c r="H17" s="91"/>
      <c r="I17" s="88"/>
    </row>
    <row r="18" spans="1:9" ht="10.5" x14ac:dyDescent="0.25">
      <c r="A18" s="178" t="s">
        <v>42</v>
      </c>
      <c r="B18" s="179"/>
      <c r="C18" s="56">
        <f>SUM(C17:C17)</f>
        <v>4585299.08</v>
      </c>
      <c r="D18" s="56">
        <f>SUM(D17:D17)</f>
        <v>6928.9</v>
      </c>
      <c r="E18" s="56">
        <f>SUM(E17:E17)</f>
        <v>-45462.96</v>
      </c>
      <c r="F18" s="56">
        <f>SUM(F17:F17)</f>
        <v>4546765.0200000005</v>
      </c>
      <c r="H18" s="45">
        <f>F18/$F$21</f>
        <v>0.16482125059299157</v>
      </c>
      <c r="I18" s="88"/>
    </row>
    <row r="19" spans="1:9" x14ac:dyDescent="0.2">
      <c r="A19" s="92" t="s">
        <v>48</v>
      </c>
      <c r="B19" s="37" t="s">
        <v>82</v>
      </c>
      <c r="C19" s="55">
        <f>+'2021'!D47</f>
        <v>963239.21</v>
      </c>
      <c r="D19" s="55">
        <f>+'2021'!D48</f>
        <v>16011.17</v>
      </c>
      <c r="E19" s="55">
        <f>+'2021'!D49</f>
        <v>-1783.33</v>
      </c>
      <c r="F19" s="55">
        <f>+C19+D19+E19</f>
        <v>977467.05</v>
      </c>
      <c r="G19" s="88"/>
      <c r="I19" s="88"/>
    </row>
    <row r="20" spans="1:9" ht="10.5" x14ac:dyDescent="0.25">
      <c r="A20" s="178" t="s">
        <v>46</v>
      </c>
      <c r="B20" s="179"/>
      <c r="C20" s="56">
        <f>SUM(C19:C19)</f>
        <v>963239.21</v>
      </c>
      <c r="D20" s="56">
        <f>SUM(D19:D19)</f>
        <v>16011.17</v>
      </c>
      <c r="E20" s="56">
        <f>SUM(E19:E19)</f>
        <v>-1783.33</v>
      </c>
      <c r="F20" s="56">
        <f>SUM(F19:F19)</f>
        <v>977467.05</v>
      </c>
      <c r="H20" s="45">
        <f>F20/$F$21</f>
        <v>3.5433399545781279E-2</v>
      </c>
      <c r="I20" s="88"/>
    </row>
    <row r="21" spans="1:9" ht="11.5" x14ac:dyDescent="0.25">
      <c r="A21" s="180" t="s">
        <v>47</v>
      </c>
      <c r="B21" s="181"/>
      <c r="C21" s="101">
        <f>+C4+C9+C12+C14+C16+C18+C20</f>
        <v>27463013.729999997</v>
      </c>
      <c r="D21" s="101">
        <f>+D4+D9+D12+D14+D16+D18+D20</f>
        <v>347035.45</v>
      </c>
      <c r="E21" s="101">
        <f>+E4+E9+E12+E14+E16+E18+E20</f>
        <v>-224012.77</v>
      </c>
      <c r="F21" s="101">
        <f>+F4+F9+F12+F14+F16+F18+F20</f>
        <v>27586036.410000004</v>
      </c>
      <c r="H21" s="45">
        <f>SUM(H4:H20)</f>
        <v>0.99999999999999989</v>
      </c>
      <c r="I21" s="88"/>
    </row>
    <row r="22" spans="1:9" x14ac:dyDescent="0.2">
      <c r="F22" s="91"/>
      <c r="G22" s="99"/>
    </row>
    <row r="23" spans="1:9" x14ac:dyDescent="0.2">
      <c r="F23" s="91"/>
      <c r="G23" s="91"/>
    </row>
    <row r="24" spans="1:9" x14ac:dyDescent="0.2">
      <c r="F24" s="57">
        <f>+'2021'!D11</f>
        <v>27586036.410000004</v>
      </c>
      <c r="G24" s="91"/>
    </row>
    <row r="25" spans="1:9" x14ac:dyDescent="0.2">
      <c r="D25" s="58" t="s">
        <v>50</v>
      </c>
      <c r="E25" s="58"/>
      <c r="F25" s="58">
        <f>+F24-F21</f>
        <v>0</v>
      </c>
      <c r="G25" s="91"/>
    </row>
    <row r="26" spans="1:9" x14ac:dyDescent="0.2">
      <c r="D26" s="58"/>
      <c r="E26" s="58"/>
      <c r="F26" s="74"/>
      <c r="G26" s="91"/>
    </row>
    <row r="27" spans="1:9" x14ac:dyDescent="0.2">
      <c r="G27" s="91"/>
    </row>
    <row r="28" spans="1:9" x14ac:dyDescent="0.2">
      <c r="G28" s="91"/>
    </row>
    <row r="29" spans="1:9" x14ac:dyDescent="0.2">
      <c r="F29" s="91"/>
      <c r="G29" s="91"/>
    </row>
    <row r="30" spans="1:9" x14ac:dyDescent="0.2">
      <c r="F30" s="88"/>
      <c r="G30" s="91"/>
    </row>
    <row r="31" spans="1:9" x14ac:dyDescent="0.2">
      <c r="F31" s="91"/>
      <c r="G31" s="91"/>
    </row>
    <row r="32" spans="1:9" x14ac:dyDescent="0.2">
      <c r="C32" s="102"/>
      <c r="D32" s="102"/>
      <c r="E32" s="102"/>
      <c r="F32" s="94"/>
    </row>
    <row r="33" spans="3:5" x14ac:dyDescent="0.2">
      <c r="C33" s="102"/>
      <c r="D33" s="102"/>
      <c r="E33" s="102"/>
    </row>
    <row r="35" spans="3:5" x14ac:dyDescent="0.2">
      <c r="C35" s="91"/>
      <c r="D35" s="91"/>
      <c r="E35" s="91"/>
    </row>
  </sheetData>
  <mergeCells count="8">
    <mergeCell ref="A18:B18"/>
    <mergeCell ref="A20:B20"/>
    <mergeCell ref="A21:B21"/>
    <mergeCell ref="A4:B4"/>
    <mergeCell ref="A9:B9"/>
    <mergeCell ref="A12:B12"/>
    <mergeCell ref="A14:B14"/>
    <mergeCell ref="A16:B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3FE616-A6FB-456E-9377-03D73B50BECD}">
  <ds:schemaRefs>
    <ds:schemaRef ds:uri="http://schemas.microsoft.com/sharepoint/v3/contenttype/forms"/>
  </ds:schemaRefs>
</ds:datastoreItem>
</file>

<file path=customXml/itemProps2.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6E915E-9D02-425B-BBF3-5A289B13AD8E}">
  <ds:schemaRefs>
    <ds:schemaRef ds:uri="http://purl.org/dc/dcmitype/"/>
    <ds:schemaRef ds:uri="6b12c305-95b0-4b80-9514-c6b86e19b0c5"/>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70adaaf-5bd9-47fc-b1cd-b112a7c2f5a0"/>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2" baseType="variant">
      <vt:variant>
        <vt:lpstr>Worksheets</vt:lpstr>
      </vt:variant>
      <vt:variant>
        <vt:i4>6</vt:i4>
      </vt:variant>
    </vt:vector>
  </HeadingPairs>
  <TitlesOfParts>
    <vt:vector size="6" baseType="lpstr">
      <vt:lpstr>2020</vt:lpstr>
      <vt:lpstr>2021</vt:lpstr>
      <vt:lpstr>Desembolsos</vt:lpstr>
      <vt:lpstr>Datos sociales</vt:lpstr>
      <vt:lpstr>CUADROS DE RESPALDO</vt:lpstr>
      <vt:lpstr>CONTRY ANALYSIS</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Fenando Sanchez</cp:lastModifiedBy>
  <cp:lastPrinted>2020-09-08T22:38:45Z</cp:lastPrinted>
  <dcterms:created xsi:type="dcterms:W3CDTF">2007-02-21T16:38:19Z</dcterms:created>
  <dcterms:modified xsi:type="dcterms:W3CDTF">2021-04-30T19:31:32Z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