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hok Leyland Ltd\OneDrive - Ashok Leyland Ltd\Desktop\CSC Template\"/>
    </mc:Choice>
  </mc:AlternateContent>
  <bookViews>
    <workbookView xWindow="9960" yWindow="2235" windowWidth="4440" windowHeight="3390" tabRatio="480"/>
  </bookViews>
  <sheets>
    <sheet name="INPUT - OUTPUT" sheetId="18" r:id="rId1"/>
    <sheet name="MATERIAL" sheetId="28" r:id="rId2"/>
    <sheet name="PROCESS" sheetId="34" r:id="rId3"/>
    <sheet name="RM database" sheetId="36" r:id="rId4"/>
    <sheet name="Tool Life" sheetId="35" r:id="rId5"/>
    <sheet name="Machinery" sheetId="33" r:id="rId6"/>
    <sheet name="Sheet1" sheetId="31" r:id="rId7"/>
    <sheet name="Sheet2" sheetId="32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5" hidden="1">Machinery!$B$1:$R$318</definedName>
    <definedName name="_xlnm._FilterDatabase" localSheetId="1" hidden="1">MATERIAL!$A$13:$Z$13</definedName>
    <definedName name="aaaa">'[1]Machine rates'!$B$10:$B$239</definedName>
    <definedName name="cellAssumptionLifetime">#REF!</definedName>
    <definedName name="cellAssumptionMatOvhPurchParts">#REF!</definedName>
    <definedName name="cellAssumptionMatOvhRawMaterial">#REF!</definedName>
    <definedName name="cellAssumptionPartName">#REF!</definedName>
    <definedName name="cellAssumptionProductName">#REF!</definedName>
    <definedName name="cellAssumptionSupplier">#REF!</definedName>
    <definedName name="cellAssumptionVolumePerYear">#REF!</definedName>
    <definedName name="colEmb_Item">#REF!</definedName>
    <definedName name="colEmb_Mat_PurchItems">#REF!</definedName>
    <definedName name="colEmb_Mat_RawMat">#REF!</definedName>
    <definedName name="colEmb_Total">#REF!</definedName>
    <definedName name="colEmb_VA_Labor">#REF!</definedName>
    <definedName name="colEmb_VA_Machinery">#REF!</definedName>
    <definedName name="colEmb_VA_ToolRepl">#REF!</definedName>
    <definedName name="colMatVA_Code">#REF!</definedName>
    <definedName name="colMatVA_Description">#REF!</definedName>
    <definedName name="colMatVA_Mat_Descr">#REF!</definedName>
    <definedName name="colMatVA_Mat_GroupIdent">#REF!</definedName>
    <definedName name="colMatVA_Mat_Purch_CostPerItem">#REF!</definedName>
    <definedName name="colMatVA_Mat_Purch_Remark">#REF!</definedName>
    <definedName name="colMatVA_Mat_PurchTotal">#REF!</definedName>
    <definedName name="colMatVA_Mat_RawMat_CostsPerUnit">#REF!</definedName>
    <definedName name="colMatVA_Mat_RawMat_Density">#REF!</definedName>
    <definedName name="colMatVA_Mat_RawMat_Diameter">#REF!</definedName>
    <definedName name="colMatVA_Mat_RawMat_FinalPart">#REF!</definedName>
    <definedName name="colMatVA_Mat_RawMat_InitUsage">#REF!</definedName>
    <definedName name="colMatVA_Mat_RawMat_Length">#REF!</definedName>
    <definedName name="colMatVA_Mat_RawMat_Surchage">#REF!</definedName>
    <definedName name="colMatVA_Mat_RawMat_Thickness">#REF!</definedName>
    <definedName name="colMatVA_Mat_RawMat_Total">#REF!</definedName>
    <definedName name="colMatVA_Mat_RawMat_unit">#REF!</definedName>
    <definedName name="colMatVA_Mat_RawMat_Width">#REF!</definedName>
    <definedName name="colMatVA_Mat_Total">#REF!</definedName>
    <definedName name="colMatVA_Module">#REF!</definedName>
    <definedName name="colMatVA_PreRef">#REF!</definedName>
    <definedName name="colMatVA_Quantity">#REF!</definedName>
    <definedName name="colMatVA_Ref">#REF!</definedName>
    <definedName name="colMatVA_Total">#REF!</definedName>
    <definedName name="colMatVA_VA_Descr">#REF!</definedName>
    <definedName name="colMatVA_VA_Labor_FTE">#REF!</definedName>
    <definedName name="colMatVA_VA_Labor_OLE">#REF!</definedName>
    <definedName name="colMatVA_VA_Labor_Rate">#REF!</definedName>
    <definedName name="colMatVA_VA_Labor_Skill">#REF!</definedName>
    <definedName name="colMatVA_VA_LaborTotal">#REF!</definedName>
    <definedName name="colMatVA_VA_Machinery_Descr" localSheetId="5">#REF!</definedName>
    <definedName name="colMatVA_VA_Machinery_Descr" localSheetId="1">#REF!</definedName>
    <definedName name="colMatVA_VA_Machinery_Descr">#REF!</definedName>
    <definedName name="colMatVA_VA_Machinery_MMR">#REF!</definedName>
    <definedName name="colMatVA_VA_Machinery_OutputPerYear">#REF!</definedName>
    <definedName name="colMatVA_VA_MachineryTotal">#REF!</definedName>
    <definedName name="colMatVA_VA_Perf_Cycletime">#REF!</definedName>
    <definedName name="colMatVA_VA_Perf_PartsPerCycle">#REF!</definedName>
    <definedName name="colMatVA_VA_Tool_CostPerTool">#REF!</definedName>
    <definedName name="colMatVA_VA_Tool_Lifetime">#REF!</definedName>
    <definedName name="colMatVA_VA_Tool_Remark">#REF!</definedName>
    <definedName name="colMatVA_VA_Tool_UpfrontPaid">#REF!</definedName>
    <definedName name="colMatVA_VA_ToolReplTotal">#REF!</definedName>
    <definedName name="colMatVA_VA_Total">#REF!</definedName>
    <definedName name="colMatVA_Yield">#REF!</definedName>
    <definedName name="colRunCosts_Mat_PurchItems">#REF!</definedName>
    <definedName name="colRunCosts_Mat_RawMat">#REF!</definedName>
    <definedName name="colRunCosts_Total">#REF!</definedName>
    <definedName name="colRunCosts_VA_Labor">#REF!</definedName>
    <definedName name="colRunCosts_VA_Machinery">#REF!</definedName>
    <definedName name="colRunCosts_VA_ToolRepl">#REF!</definedName>
    <definedName name="colScrap_Mat_PurchItems">#REF!</definedName>
    <definedName name="colScrap_Mat_RawMat">#REF!</definedName>
    <definedName name="colScrap_VA_Labor">#REF!</definedName>
    <definedName name="colScrap_VA_Machinery">#REF!</definedName>
    <definedName name="colScrap_VA_ToolRepl">#REF!</definedName>
    <definedName name="colScrapRunning_Mat_PurchItems">#REF!</definedName>
    <definedName name="colScrapRunning_Mat_RawMat">#REF!</definedName>
    <definedName name="colScrapRunning_Total">#REF!</definedName>
    <definedName name="colScrapRunning_VA_Labor">#REF!</definedName>
    <definedName name="colScrapRunning_VA_Machinery">#REF!</definedName>
    <definedName name="colScrapRunning_VA_ToolRepl">#REF!</definedName>
    <definedName name="Component_Category">OFFSET(INDIRECT("'Discount Scheme'!O"&amp;MATCH(#REF!,#REF!,0)),0,0,COUNTIF(#REF!,#REF!),1)</definedName>
    <definedName name="libLaborCosts">#REF!</definedName>
    <definedName name="libLaborRole">#REF!</definedName>
    <definedName name="libMachineDescription" localSheetId="5">'[2]Machine rates'!$B$10:$B$239</definedName>
    <definedName name="libMachineDescription">'[3]Machine rates'!$B$10:$B$239</definedName>
    <definedName name="libMachineMR">#REF!</definedName>
    <definedName name="libMachineNettimePerYear">#REF!</definedName>
    <definedName name="libMetalName">'[4]Material data'!$E$6:$E$52</definedName>
    <definedName name="libPolymerName">'[4]Material data'!$D$54:$D$226</definedName>
    <definedName name="ManufacturingLocation">#REF!</definedName>
    <definedName name="Materialpluslabour">#REF!</definedName>
    <definedName name="ValueStreamAll">#REF!</definedName>
  </definedNames>
  <calcPr calcId="162913"/>
</workbook>
</file>

<file path=xl/calcChain.xml><?xml version="1.0" encoding="utf-8"?>
<calcChain xmlns="http://schemas.openxmlformats.org/spreadsheetml/2006/main">
  <c r="H8" i="18" l="1"/>
  <c r="G14" i="28" l="1"/>
  <c r="M24" i="34" l="1"/>
  <c r="O24" i="34" s="1"/>
  <c r="M21" i="34"/>
  <c r="O21" i="34" s="1"/>
  <c r="M20" i="34"/>
  <c r="O20" i="34" s="1"/>
  <c r="M19" i="34"/>
  <c r="O19" i="34" s="1"/>
  <c r="M18" i="34"/>
  <c r="O18" i="34" s="1"/>
  <c r="L14" i="28" l="1"/>
  <c r="C38" i="28"/>
  <c r="C37" i="28"/>
  <c r="C34" i="28"/>
  <c r="C36" i="28"/>
  <c r="C35" i="28"/>
  <c r="C33" i="28"/>
  <c r="K16" i="28" l="1"/>
  <c r="H17" i="18" s="1"/>
  <c r="C19" i="18"/>
  <c r="C18" i="18"/>
  <c r="M23" i="34" l="1"/>
  <c r="O23" i="34" s="1"/>
  <c r="M22" i="34"/>
  <c r="O22" i="34" s="1"/>
  <c r="M16" i="34"/>
  <c r="O16" i="34" s="1"/>
  <c r="M15" i="34"/>
  <c r="O15" i="34" s="1"/>
  <c r="M14" i="34"/>
  <c r="O14" i="34" s="1"/>
  <c r="C18" i="28"/>
  <c r="O26" i="34" l="1"/>
  <c r="O25" i="34"/>
  <c r="M35" i="34"/>
  <c r="M13" i="34"/>
  <c r="O13" i="34" s="1"/>
  <c r="M17" i="34"/>
  <c r="O17" i="34" s="1"/>
  <c r="M10" i="34"/>
  <c r="O10" i="34" s="1"/>
  <c r="M11" i="34"/>
  <c r="O11" i="34" s="1"/>
  <c r="M12" i="34"/>
  <c r="O12" i="34" s="1"/>
  <c r="M9" i="34"/>
  <c r="O9" i="34" s="1"/>
  <c r="C28" i="28" l="1"/>
  <c r="C27" i="28"/>
  <c r="C26" i="28"/>
  <c r="E26" i="28" s="1"/>
  <c r="C25" i="28"/>
  <c r="E25" i="28" s="1"/>
  <c r="C20" i="28"/>
  <c r="E28" i="28" s="1"/>
  <c r="E27" i="28" l="1"/>
  <c r="W14" i="28"/>
  <c r="C24" i="28"/>
  <c r="E24" i="28" s="1"/>
  <c r="E29" i="28" s="1"/>
  <c r="X14" i="28" s="1"/>
  <c r="M14" i="28" l="1"/>
  <c r="J6" i="34" l="1"/>
  <c r="J7" i="34" s="1"/>
  <c r="T14" i="28" l="1"/>
  <c r="AB14" i="28" l="1"/>
  <c r="N14" i="28"/>
  <c r="O14" i="28" l="1"/>
  <c r="Q14" i="28" s="1"/>
  <c r="M8" i="34"/>
  <c r="O8" i="34" s="1"/>
  <c r="M7" i="34"/>
  <c r="O7" i="34" s="1"/>
  <c r="M6" i="34"/>
  <c r="O6" i="34" s="1"/>
  <c r="R14" i="28" l="1"/>
  <c r="J5" i="34"/>
  <c r="M5" i="34" s="1"/>
  <c r="S14" i="28"/>
  <c r="V14" i="28" s="1"/>
  <c r="Y14" i="28" l="1"/>
  <c r="I48" i="34" l="1"/>
  <c r="D27" i="35"/>
  <c r="B27" i="35"/>
  <c r="J21" i="35"/>
  <c r="D21" i="35"/>
  <c r="F21" i="35" s="1"/>
  <c r="A21" i="35"/>
  <c r="J20" i="35"/>
  <c r="D20" i="35"/>
  <c r="F20" i="35" s="1"/>
  <c r="A20" i="35"/>
  <c r="J19" i="35"/>
  <c r="D19" i="35"/>
  <c r="F19" i="35" s="1"/>
  <c r="A19" i="35"/>
  <c r="J18" i="35"/>
  <c r="D18" i="35"/>
  <c r="E18" i="35" s="1"/>
  <c r="A18" i="35"/>
  <c r="J17" i="35"/>
  <c r="D17" i="35"/>
  <c r="F17" i="35" s="1"/>
  <c r="A17" i="35"/>
  <c r="J16" i="35"/>
  <c r="D16" i="35"/>
  <c r="F16" i="35" s="1"/>
  <c r="A16" i="35"/>
  <c r="J15" i="35"/>
  <c r="D15" i="35"/>
  <c r="F15" i="35" s="1"/>
  <c r="A15" i="35"/>
  <c r="J14" i="35"/>
  <c r="D14" i="35"/>
  <c r="E14" i="35" s="1"/>
  <c r="A14" i="35"/>
  <c r="J13" i="35"/>
  <c r="D13" i="35"/>
  <c r="F13" i="35" s="1"/>
  <c r="A13" i="35"/>
  <c r="J12" i="35"/>
  <c r="D12" i="35"/>
  <c r="F12" i="35" s="1"/>
  <c r="A12" i="35"/>
  <c r="J11" i="35"/>
  <c r="D11" i="35"/>
  <c r="F11" i="35" s="1"/>
  <c r="A11" i="35"/>
  <c r="J10" i="35"/>
  <c r="D10" i="35"/>
  <c r="E10" i="35" s="1"/>
  <c r="A10" i="35"/>
  <c r="J9" i="35"/>
  <c r="D9" i="35"/>
  <c r="F9" i="35" s="1"/>
  <c r="A9" i="35"/>
  <c r="J8" i="35"/>
  <c r="D8" i="35"/>
  <c r="F8" i="35" s="1"/>
  <c r="A8" i="35"/>
  <c r="J7" i="35"/>
  <c r="D7" i="35"/>
  <c r="F7" i="35" s="1"/>
  <c r="A7" i="35"/>
  <c r="J6" i="35"/>
  <c r="D6" i="35"/>
  <c r="E6" i="35" s="1"/>
  <c r="A6" i="35"/>
  <c r="J5" i="35"/>
  <c r="D5" i="35"/>
  <c r="F5" i="35" s="1"/>
  <c r="A5" i="35"/>
  <c r="J4" i="35"/>
  <c r="D4" i="35"/>
  <c r="F4" i="35" s="1"/>
  <c r="A4" i="35"/>
  <c r="J3" i="35"/>
  <c r="D3" i="35"/>
  <c r="F3" i="35" s="1"/>
  <c r="A3" i="35"/>
  <c r="G48" i="34"/>
  <c r="L35" i="34"/>
  <c r="I31" i="34"/>
  <c r="K31" i="34" s="1"/>
  <c r="I44" i="34" l="1"/>
  <c r="F27" i="35"/>
  <c r="E3" i="35"/>
  <c r="E7" i="35"/>
  <c r="E11" i="35"/>
  <c r="E15" i="35"/>
  <c r="E19" i="35"/>
  <c r="E4" i="35"/>
  <c r="F6" i="35"/>
  <c r="E8" i="35"/>
  <c r="F10" i="35"/>
  <c r="E12" i="35"/>
  <c r="F14" i="35"/>
  <c r="E16" i="35"/>
  <c r="F18" i="35"/>
  <c r="E20" i="35"/>
  <c r="E5" i="35"/>
  <c r="E9" i="35"/>
  <c r="E13" i="35"/>
  <c r="E17" i="35"/>
  <c r="E21" i="35"/>
  <c r="E27" i="35"/>
  <c r="J48" i="34" s="1"/>
  <c r="N35" i="34"/>
  <c r="M2" i="34"/>
  <c r="O5" i="34"/>
  <c r="O2" i="34" s="1"/>
  <c r="H12" i="18" l="1"/>
  <c r="H11" i="18"/>
  <c r="H13" i="18"/>
  <c r="AB12" i="28"/>
  <c r="B7" i="31" l="1"/>
  <c r="Z12" i="28" l="1"/>
  <c r="H6" i="18" s="1"/>
  <c r="H172" i="32" l="1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H3" i="32"/>
  <c r="H2" i="32"/>
  <c r="D94" i="32" l="1"/>
  <c r="D93" i="32"/>
  <c r="D92" i="32"/>
  <c r="D91" i="32"/>
  <c r="D90" i="32"/>
  <c r="D89" i="32"/>
  <c r="D47" i="32"/>
  <c r="D46" i="32"/>
  <c r="D45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44" i="32"/>
  <c r="D43" i="32"/>
  <c r="D42" i="32"/>
  <c r="D41" i="32"/>
  <c r="D75" i="32"/>
  <c r="D74" i="32"/>
  <c r="D73" i="32"/>
  <c r="D72" i="32"/>
  <c r="D71" i="32"/>
  <c r="D70" i="32"/>
  <c r="D69" i="32"/>
  <c r="D68" i="32"/>
  <c r="D67" i="32"/>
  <c r="D40" i="32"/>
  <c r="D39" i="32"/>
  <c r="D38" i="32"/>
  <c r="D37" i="32"/>
  <c r="D36" i="32"/>
  <c r="D66" i="32"/>
  <c r="D65" i="32"/>
  <c r="D64" i="32"/>
  <c r="D63" i="32"/>
  <c r="D62" i="32"/>
  <c r="D61" i="32"/>
  <c r="D60" i="32"/>
  <c r="D59" i="32"/>
  <c r="D58" i="32"/>
  <c r="D97" i="32"/>
  <c r="D57" i="32"/>
  <c r="D56" i="32"/>
  <c r="D35" i="32"/>
  <c r="D55" i="32"/>
  <c r="D34" i="32"/>
  <c r="D33" i="32"/>
  <c r="D32" i="32"/>
  <c r="D31" i="32"/>
  <c r="D30" i="32"/>
  <c r="D54" i="32"/>
  <c r="D53" i="32"/>
  <c r="D29" i="32"/>
  <c r="D28" i="32"/>
  <c r="D27" i="32"/>
  <c r="D26" i="32"/>
  <c r="D25" i="32"/>
  <c r="D24" i="32"/>
  <c r="D23" i="32"/>
  <c r="D22" i="32"/>
  <c r="D52" i="32"/>
  <c r="D51" i="32"/>
  <c r="D21" i="32"/>
  <c r="D20" i="32"/>
  <c r="D19" i="32"/>
  <c r="D18" i="32"/>
  <c r="D17" i="32"/>
  <c r="D16" i="32"/>
  <c r="D96" i="32"/>
  <c r="D15" i="32"/>
  <c r="D14" i="32"/>
  <c r="D50" i="32"/>
  <c r="D49" i="32"/>
  <c r="D13" i="32"/>
  <c r="D12" i="32"/>
  <c r="D11" i="32"/>
  <c r="D10" i="32"/>
  <c r="D9" i="32"/>
  <c r="D8" i="32"/>
  <c r="D7" i="32"/>
  <c r="D6" i="32"/>
  <c r="D5" i="32"/>
  <c r="D4" i="32"/>
  <c r="D3" i="32"/>
  <c r="D48" i="32"/>
  <c r="D95" i="32"/>
  <c r="D2" i="32"/>
  <c r="Z14" i="28" l="1"/>
  <c r="AC14" i="28" s="1"/>
  <c r="AC12" i="28" s="1"/>
  <c r="Z11" i="28" l="1"/>
  <c r="H5" i="18" s="1"/>
  <c r="H7" i="18" s="1"/>
  <c r="H14" i="18" l="1"/>
  <c r="H9" i="18"/>
  <c r="H10" i="18"/>
  <c r="H15" i="18" l="1"/>
  <c r="H16" i="18"/>
  <c r="I16" i="18" s="1"/>
  <c r="H21" i="18" l="1"/>
  <c r="H20" i="18"/>
  <c r="H22" i="18"/>
</calcChain>
</file>

<file path=xl/sharedStrings.xml><?xml version="1.0" encoding="utf-8"?>
<sst xmlns="http://schemas.openxmlformats.org/spreadsheetml/2006/main" count="1227" uniqueCount="541">
  <si>
    <t>Profit</t>
  </si>
  <si>
    <t>Supplier Name</t>
  </si>
  <si>
    <t>%</t>
  </si>
  <si>
    <t>Part Name</t>
  </si>
  <si>
    <t>Units</t>
  </si>
  <si>
    <t>TOTAL RM COST</t>
  </si>
  <si>
    <t>Part No</t>
  </si>
  <si>
    <t>RM Cost / Total Cost</t>
  </si>
  <si>
    <t>KEY RATIOS</t>
  </si>
  <si>
    <t>BOP Cost</t>
  </si>
  <si>
    <t>RM Cost</t>
  </si>
  <si>
    <t>CS  Cost</t>
  </si>
  <si>
    <t>Client  Cost</t>
  </si>
  <si>
    <t>MMR</t>
  </si>
  <si>
    <t>COST HEAD</t>
  </si>
  <si>
    <t>INTRODUCTION</t>
  </si>
  <si>
    <t>COST HEADS</t>
  </si>
  <si>
    <t>ITEM DESCRIPTION</t>
  </si>
  <si>
    <t>QTY</t>
  </si>
  <si>
    <t>SR.NO</t>
  </si>
  <si>
    <t>MACHINERY</t>
  </si>
  <si>
    <t>PURCHASE COST</t>
  </si>
  <si>
    <t>MAINTAINENCE COST</t>
  </si>
  <si>
    <t>AUXILIARY EQUIPMENT</t>
  </si>
  <si>
    <t>EFFICIENCY/OEE</t>
  </si>
  <si>
    <t>CAPITAL COST</t>
  </si>
  <si>
    <t>FIXED COST</t>
  </si>
  <si>
    <t>NET MACHINE TIME</t>
  </si>
  <si>
    <t>VARIABLE COST</t>
  </si>
  <si>
    <t>PROCESS DESCRIPTION</t>
  </si>
  <si>
    <t>REMARKS</t>
  </si>
  <si>
    <t>TOTAL VALUE ADD</t>
  </si>
  <si>
    <t>MACHINERY COST</t>
  </si>
  <si>
    <t>Qty</t>
  </si>
  <si>
    <t xml:space="preserve"> </t>
  </si>
  <si>
    <t>PROCESS</t>
  </si>
  <si>
    <t>Material</t>
  </si>
  <si>
    <t>Sl No</t>
  </si>
  <si>
    <t>Item description</t>
  </si>
  <si>
    <t>Grade</t>
  </si>
  <si>
    <t>Price / unit</t>
  </si>
  <si>
    <t>Total Price</t>
  </si>
  <si>
    <t>RM</t>
  </si>
  <si>
    <t>BOP</t>
  </si>
  <si>
    <t>Remarks</t>
  </si>
  <si>
    <t>Part Number</t>
  </si>
  <si>
    <t>MHR</t>
  </si>
  <si>
    <t>Scrap price/kg</t>
  </si>
  <si>
    <t>Scrap realisation %</t>
  </si>
  <si>
    <t>RM Price</t>
  </si>
  <si>
    <t>Scrap price</t>
  </si>
  <si>
    <t>Shot blasting</t>
  </si>
  <si>
    <t>Forklift Truck (2 ton)</t>
  </si>
  <si>
    <t>Band saw</t>
  </si>
  <si>
    <t>Trolley (1 ton)</t>
  </si>
  <si>
    <t>Forklift Truck (5 ton)</t>
  </si>
  <si>
    <t>Deburing m/c AMD01</t>
  </si>
  <si>
    <t>Normalising furnace</t>
  </si>
  <si>
    <t>Drill machine</t>
  </si>
  <si>
    <t>Vertical milling</t>
  </si>
  <si>
    <t>lathe</t>
  </si>
  <si>
    <t>CNC Machine</t>
  </si>
  <si>
    <t>RM/
BOP</t>
  </si>
  <si>
    <t>Net Weight (kg)</t>
  </si>
  <si>
    <t>Scrap(kg)</t>
  </si>
  <si>
    <t>Surcharge/ Burning loss</t>
  </si>
  <si>
    <t xml:space="preserve">Inspection equipment optical </t>
  </si>
  <si>
    <t>Inspection equipment mechanical</t>
  </si>
  <si>
    <t>HMC Machine - V</t>
  </si>
  <si>
    <t>Belt sander</t>
  </si>
  <si>
    <t>Washing machine, large</t>
  </si>
  <si>
    <t>Workplace, manual, simple</t>
  </si>
  <si>
    <t>Engraving machine</t>
  </si>
  <si>
    <t>Turning center</t>
  </si>
  <si>
    <t>VMC Machine - V</t>
  </si>
  <si>
    <t>Melting furnace (1.5 t)</t>
  </si>
  <si>
    <t>Holding furnace (0.5 t)</t>
  </si>
  <si>
    <t>HPDC 250T</t>
  </si>
  <si>
    <t>Price/
kg</t>
  </si>
  <si>
    <t>Honning machine</t>
  </si>
  <si>
    <t>Cylindrical grinder</t>
  </si>
  <si>
    <t>HPDC 500T</t>
  </si>
  <si>
    <t>HPDC 1500T</t>
  </si>
  <si>
    <t>HPDC 100T</t>
  </si>
  <si>
    <t>Cycle time = log((thickness/2),5)*140+10</t>
  </si>
  <si>
    <t>Upto 1Kg = 30sec, 1-10Kg = 60sec, 10-40Kg = 120sec</t>
  </si>
  <si>
    <t>Part Thickness (mm)</t>
  </si>
  <si>
    <t>ASHLEY ALTEAMS INDIA LIMITED</t>
  </si>
  <si>
    <t>JAYA HIND INDUSTRIES LIMITED</t>
  </si>
  <si>
    <t>ENDURANCE TECHNOLOGIES PVT. LTD.</t>
  </si>
  <si>
    <t>Qty 13-14</t>
  </si>
  <si>
    <t>PO Value</t>
  </si>
  <si>
    <t>PO Price</t>
  </si>
  <si>
    <t>S NO</t>
  </si>
  <si>
    <t>TOTAL  COST</t>
  </si>
  <si>
    <t>Tonnage = Cavity x (Area in sq mm/60)</t>
  </si>
  <si>
    <t>Length (mm)</t>
  </si>
  <si>
    <t>Width (mm)</t>
  </si>
  <si>
    <t>HPDC 3200T</t>
  </si>
  <si>
    <t>Domain</t>
  </si>
  <si>
    <t>POWER (KW)</t>
  </si>
  <si>
    <t>Power Factor</t>
  </si>
  <si>
    <t>FLOOR SPACE (M2)</t>
  </si>
  <si>
    <t xml:space="preserve">DEPRECIATION PERIOD </t>
  </si>
  <si>
    <t>Casting</t>
  </si>
  <si>
    <t>Oil Furnace</t>
  </si>
  <si>
    <t>Induction Furnace Metal Melting 8T</t>
  </si>
  <si>
    <t>Induction Furnace Metal Melting 1T</t>
  </si>
  <si>
    <t>Core Shooter</t>
  </si>
  <si>
    <t>Core Preparation Manual</t>
  </si>
  <si>
    <t>Core Sand Mixing</t>
  </si>
  <si>
    <t>Core Heating</t>
  </si>
  <si>
    <t>Core Painting</t>
  </si>
  <si>
    <t>Shell Core Machine</t>
  </si>
  <si>
    <t>Mould sand Preparation</t>
  </si>
  <si>
    <t>Mould Preparation</t>
  </si>
  <si>
    <t>Fetling</t>
  </si>
  <si>
    <t>Mould Conveyor</t>
  </si>
  <si>
    <t>Sand Cooler</t>
  </si>
  <si>
    <t>Sand Hopper</t>
  </si>
  <si>
    <t>Sand Coveyor</t>
  </si>
  <si>
    <t>Inductotherm Autopour</t>
  </si>
  <si>
    <t>Core Sand Testing</t>
  </si>
  <si>
    <t>Finishing</t>
  </si>
  <si>
    <t>Hand Grinding</t>
  </si>
  <si>
    <t>Manual Grinding M/C</t>
  </si>
  <si>
    <t>Grinding machine</t>
  </si>
  <si>
    <t xml:space="preserve">Grinding - surface </t>
  </si>
  <si>
    <t>Surface Grinding Machine</t>
  </si>
  <si>
    <t xml:space="preserve">Grinding m/c- centreless </t>
  </si>
  <si>
    <t>Centreless grinding</t>
  </si>
  <si>
    <t>Belt Grinding machine</t>
  </si>
  <si>
    <t>Hand buffing</t>
  </si>
  <si>
    <t>Hand deburring</t>
  </si>
  <si>
    <t>MKL AWH GRINDing m/c</t>
  </si>
  <si>
    <t>Orbital grinders</t>
  </si>
  <si>
    <t>Lapping M/c</t>
  </si>
  <si>
    <t>Superfinishing SPM</t>
  </si>
  <si>
    <t>Forging</t>
  </si>
  <si>
    <t>Forging Press</t>
  </si>
  <si>
    <t>Oil fired furnace</t>
  </si>
  <si>
    <t>Press punching AMD01</t>
  </si>
  <si>
    <t>3t-Forging Hammer</t>
  </si>
  <si>
    <t>5t Hyd-Forging Hammer</t>
  </si>
  <si>
    <t>8t Hyd-Forging Hammer</t>
  </si>
  <si>
    <t>350T-Forging Press</t>
  </si>
  <si>
    <t>400T- High-Forging Press</t>
  </si>
  <si>
    <t>500 T-Forging Press</t>
  </si>
  <si>
    <t>750T-Forging Press</t>
  </si>
  <si>
    <t>1000t-Forging Press</t>
  </si>
  <si>
    <t>1000T Hyd-Forging Press</t>
  </si>
  <si>
    <t>1000T Mech-Forging Press</t>
  </si>
  <si>
    <t>1600t-Forging Press</t>
  </si>
  <si>
    <t>Refurbishment - forging 1600 T</t>
  </si>
  <si>
    <t xml:space="preserve">3000T Hyd -Forging Press </t>
  </si>
  <si>
    <t>3000T Mech -Forging Press</t>
  </si>
  <si>
    <t xml:space="preserve">3500 ton -Forging Press </t>
  </si>
  <si>
    <t>3500 T-Forging Press</t>
  </si>
  <si>
    <t>Refurbishment - forging 3500 T</t>
  </si>
  <si>
    <t>8000T Hyd-Forging Press</t>
  </si>
  <si>
    <t>12500t-Forging Press</t>
  </si>
  <si>
    <t>Refurbishment- forging</t>
  </si>
  <si>
    <t>Small Press</t>
  </si>
  <si>
    <t>2' Up-Setter</t>
  </si>
  <si>
    <t>Up-Setter</t>
  </si>
  <si>
    <t>Robot _ Mtl Handling - Hot</t>
  </si>
  <si>
    <t>Fracure Split Machine</t>
  </si>
  <si>
    <t>General</t>
  </si>
  <si>
    <t>Band Saw Machine</t>
  </si>
  <si>
    <t>Cable Cutter</t>
  </si>
  <si>
    <t>Circular saw, automatic</t>
  </si>
  <si>
    <t>Power hacksaw</t>
  </si>
  <si>
    <t>Automatic cutter and crimper</t>
  </si>
  <si>
    <t>Semi-automatic crimping machine</t>
  </si>
  <si>
    <t>Specific</t>
  </si>
  <si>
    <t>Crimping</t>
  </si>
  <si>
    <t>Air compressor</t>
  </si>
  <si>
    <t xml:space="preserve">Shot Peening </t>
  </si>
  <si>
    <t>CNC SHOT PEEN</t>
  </si>
  <si>
    <t>Conveyor</t>
  </si>
  <si>
    <t>Crane - 10 ton</t>
  </si>
  <si>
    <t>Crane 10T</t>
  </si>
  <si>
    <t>Crane 2T</t>
  </si>
  <si>
    <t>Trolley</t>
  </si>
  <si>
    <t>Forklift Truck (1 ton)</t>
  </si>
  <si>
    <t>Glass Cutting</t>
  </si>
  <si>
    <t>Glass Loading</t>
  </si>
  <si>
    <t>Hot air gun</t>
  </si>
  <si>
    <t>Insp bench</t>
  </si>
  <si>
    <t>Work Bench</t>
  </si>
  <si>
    <t>Manual</t>
  </si>
  <si>
    <t>Manual Process</t>
  </si>
  <si>
    <t>Material Loading</t>
  </si>
  <si>
    <t>No marking m/c</t>
  </si>
  <si>
    <t>Stamp number</t>
  </si>
  <si>
    <t>Rivetting Machine</t>
  </si>
  <si>
    <t>Washer</t>
  </si>
  <si>
    <t>Washing machine</t>
  </si>
  <si>
    <t>Weighing machine</t>
  </si>
  <si>
    <t>Heat Treatment</t>
  </si>
  <si>
    <t>Induction Furnace</t>
  </si>
  <si>
    <t>Induction Furnace Metal Treatment</t>
  </si>
  <si>
    <t>Induction Hardening(Megatherm)</t>
  </si>
  <si>
    <t>Induction heater 50 kW</t>
  </si>
  <si>
    <t>Normalising furnance</t>
  </si>
  <si>
    <t>Quenching</t>
  </si>
  <si>
    <t>Tempering Furnace</t>
  </si>
  <si>
    <t>Oil Quenching Bath</t>
  </si>
  <si>
    <t>CCGF Furnace</t>
  </si>
  <si>
    <t>Machining</t>
  </si>
  <si>
    <t>Center Lathe - I</t>
  </si>
  <si>
    <t>Facing &amp; Centring</t>
  </si>
  <si>
    <t>S Plot - Copy Turing</t>
  </si>
  <si>
    <t>Lathe Special purpose</t>
  </si>
  <si>
    <t xml:space="preserve">Turning </t>
  </si>
  <si>
    <t>CNC Machine - II</t>
  </si>
  <si>
    <t>CNC Machine - III</t>
  </si>
  <si>
    <t xml:space="preserve">CNC turning </t>
  </si>
  <si>
    <t>CNC Lathe</t>
  </si>
  <si>
    <t>Lathe CNC Jyoti</t>
  </si>
  <si>
    <t>CNC 6 axis</t>
  </si>
  <si>
    <t>SPM</t>
  </si>
  <si>
    <t>Static Balancing M/c</t>
  </si>
  <si>
    <t>Balancing machine</t>
  </si>
  <si>
    <t>Balancing m/c</t>
  </si>
  <si>
    <t>Broaching Hofman</t>
  </si>
  <si>
    <t>Broaching machine</t>
  </si>
  <si>
    <t>Broaching</t>
  </si>
  <si>
    <t>Serration forming</t>
  </si>
  <si>
    <t>Bench drill</t>
  </si>
  <si>
    <t>Radial drill</t>
  </si>
  <si>
    <t>Drilling column</t>
  </si>
  <si>
    <t>Drill radial 1</t>
  </si>
  <si>
    <t>Gang Drilling machine</t>
  </si>
  <si>
    <t>HMT MULTI DRILL</t>
  </si>
  <si>
    <t>Reaming machine</t>
  </si>
  <si>
    <t>Honing machine</t>
  </si>
  <si>
    <t>Honing</t>
  </si>
  <si>
    <t>Boring machine long hole / multi head</t>
  </si>
  <si>
    <t>Gear shaving</t>
  </si>
  <si>
    <t>Shaving Hurth</t>
  </si>
  <si>
    <t>Gear hobbing</t>
  </si>
  <si>
    <t>Hobbing libbehor</t>
  </si>
  <si>
    <t>GL 645 - Hyboid Generator</t>
  </si>
  <si>
    <t>GL 635 - Hyboid Generator</t>
  </si>
  <si>
    <t>Rolling gear teeth</t>
  </si>
  <si>
    <t>Hobbing PLC</t>
  </si>
  <si>
    <t>HMC Machine</t>
  </si>
  <si>
    <t>BFW HMC 650</t>
  </si>
  <si>
    <t>HMC</t>
  </si>
  <si>
    <t>VMC</t>
  </si>
  <si>
    <t>Vertical Lathe</t>
  </si>
  <si>
    <t>Milling Machine</t>
  </si>
  <si>
    <t>6 Axis Milling machine</t>
  </si>
  <si>
    <t>BVL 700H</t>
  </si>
  <si>
    <t>UBIQUE</t>
  </si>
  <si>
    <t>Mazak FH5800</t>
  </si>
  <si>
    <t>Painting</t>
  </si>
  <si>
    <t>Baking Oven</t>
  </si>
  <si>
    <t>Powder Coating Equipment</t>
  </si>
  <si>
    <t>Zinc coating machine</t>
  </si>
  <si>
    <t>Spray Painting</t>
  </si>
  <si>
    <t>Dip Tank</t>
  </si>
  <si>
    <t>gas heating curing oven for paint line</t>
  </si>
  <si>
    <t>Degreasing tank</t>
  </si>
  <si>
    <t>Degreasing Unit</t>
  </si>
  <si>
    <t>Phosphating chamber</t>
  </si>
  <si>
    <t>Graphite coating machine</t>
  </si>
  <si>
    <t>Zinc Coating</t>
  </si>
  <si>
    <t>Phosphating</t>
  </si>
  <si>
    <t>PDC</t>
  </si>
  <si>
    <t>Plastics</t>
  </si>
  <si>
    <t>Injection Molding Machine 1000 T</t>
  </si>
  <si>
    <t>Injection Molding Machine 40 T</t>
  </si>
  <si>
    <t>Injection Molding Machine 80 T</t>
  </si>
  <si>
    <t>Injection Molding Machine 100 T</t>
  </si>
  <si>
    <t>Injection Molding Machine 150 T</t>
  </si>
  <si>
    <t>Injection Molding Machine 250 T</t>
  </si>
  <si>
    <t>Injection Molding Machine 350 T</t>
  </si>
  <si>
    <t>Injection Molding Machine 500 T</t>
  </si>
  <si>
    <t>Injection Molding Machine 650 T</t>
  </si>
  <si>
    <t>Injection Molding Machine 3000 T</t>
  </si>
  <si>
    <t>Sheet metal</t>
  </si>
  <si>
    <t>10T Press - High</t>
  </si>
  <si>
    <t>10T Press - Low</t>
  </si>
  <si>
    <t>12T Press</t>
  </si>
  <si>
    <t>40T Press - High</t>
  </si>
  <si>
    <t>40T Press - Low</t>
  </si>
  <si>
    <t>100T Press - High</t>
  </si>
  <si>
    <t>100T Press - Low</t>
  </si>
  <si>
    <t>200T Press - High</t>
  </si>
  <si>
    <t>200T Press - Low</t>
  </si>
  <si>
    <t>300T Press - High</t>
  </si>
  <si>
    <t>300T Press - Low</t>
  </si>
  <si>
    <t>400T Press</t>
  </si>
  <si>
    <t>600T Press</t>
  </si>
  <si>
    <t xml:space="preserve">600T Punching press </t>
  </si>
  <si>
    <t>650T Press</t>
  </si>
  <si>
    <t>Bending machine</t>
  </si>
  <si>
    <t>Bending Machine - 100T</t>
  </si>
  <si>
    <t>Bending Machine - 60T</t>
  </si>
  <si>
    <t>Circular Roll Forming</t>
  </si>
  <si>
    <t>Coiling</t>
  </si>
  <si>
    <t>Decoiling Rolling Low</t>
  </si>
  <si>
    <t>Decoiling, Rolling</t>
  </si>
  <si>
    <t>Ring Rolling Set up (180/500)</t>
  </si>
  <si>
    <t>Rolling</t>
  </si>
  <si>
    <t>Rolling &amp; Shearing</t>
  </si>
  <si>
    <t>Rolling Fixture</t>
  </si>
  <si>
    <t>Rolling setup</t>
  </si>
  <si>
    <t>Taper Rolling machine</t>
  </si>
  <si>
    <t>Degreasing</t>
  </si>
  <si>
    <t>Lateral Bending Machine</t>
  </si>
  <si>
    <t>Notching</t>
  </si>
  <si>
    <t>Parabolic Rolling machine</t>
  </si>
  <si>
    <t>Pipe Bending Machine</t>
  </si>
  <si>
    <t>Pipe bending machine - multi axis</t>
  </si>
  <si>
    <t>Pipe dia expanding machine</t>
  </si>
  <si>
    <t>Plasma cutter</t>
  </si>
  <si>
    <t>Plasma cutting machine</t>
  </si>
  <si>
    <t>Press Brake</t>
  </si>
  <si>
    <t>Shearing machine</t>
  </si>
  <si>
    <t>Tube Slotting machine</t>
  </si>
  <si>
    <t>Testing</t>
  </si>
  <si>
    <t>Leak test rig</t>
  </si>
  <si>
    <t>Leak Test</t>
  </si>
  <si>
    <t>Leak test tank</t>
  </si>
  <si>
    <t>Air pressure leak test rig</t>
  </si>
  <si>
    <t>Inspection equipment optical / mech</t>
  </si>
  <si>
    <t>Magnaflux</t>
  </si>
  <si>
    <t>Welding</t>
  </si>
  <si>
    <t>MIG Welding</t>
  </si>
  <si>
    <t>Seam welding</t>
  </si>
  <si>
    <t>Spot welding</t>
  </si>
  <si>
    <t>Brazing</t>
  </si>
  <si>
    <t>Ultra sonic welding machine</t>
  </si>
  <si>
    <t>TIG Welding</t>
  </si>
  <si>
    <t>Spot Weld</t>
  </si>
  <si>
    <t>Wire friction welding machine</t>
  </si>
  <si>
    <t>Shielded arc welding automat incl. Handling</t>
  </si>
  <si>
    <t>Flash Butt Weld M/c</t>
  </si>
  <si>
    <t>Welding Robot</t>
  </si>
  <si>
    <t>Beading machine</t>
  </si>
  <si>
    <t>Pleating machine</t>
  </si>
  <si>
    <t>PU Dispensing machine</t>
  </si>
  <si>
    <t>Paper Decoiler machine</t>
  </si>
  <si>
    <t>Steel Clipping machine</t>
  </si>
  <si>
    <t>Air Filter Element Curing Machine</t>
  </si>
  <si>
    <t>Assy Welding Fixtures</t>
  </si>
  <si>
    <t>Final Assy Fixtures (Hsg, Paper, Cover)</t>
  </si>
  <si>
    <t>Eye Forming machine + Robo</t>
  </si>
  <si>
    <t>Pin Clamp Quenching machine</t>
  </si>
  <si>
    <t>Wrapper Trimming machine</t>
  </si>
  <si>
    <t>Wrapper Forming machine</t>
  </si>
  <si>
    <t>Electronic Display</t>
  </si>
  <si>
    <t>Electronic micrometer</t>
  </si>
  <si>
    <t>Tag Printer</t>
  </si>
  <si>
    <t>Tape training machine</t>
  </si>
  <si>
    <t>Wiring harness table setup</t>
  </si>
  <si>
    <t>Wiring Harness Testing Rig</t>
  </si>
  <si>
    <t>BMV 45</t>
  </si>
  <si>
    <t>Fin Bending Machine</t>
  </si>
  <si>
    <t>Tubing M/C</t>
  </si>
  <si>
    <t>Radiator Assy Mc</t>
  </si>
  <si>
    <t>CAC inner Fin Bending M/c</t>
  </si>
  <si>
    <t>Degreasing M/c</t>
  </si>
  <si>
    <t>Flux Coating M/c</t>
  </si>
  <si>
    <t>Brazing M/c</t>
  </si>
  <si>
    <t>Header Tank assy M/c</t>
  </si>
  <si>
    <t>Heater</t>
  </si>
  <si>
    <t>Press_Bush</t>
  </si>
  <si>
    <t>GL Tester</t>
  </si>
  <si>
    <t>EMA SOFTENING</t>
  </si>
  <si>
    <t>Bearing Press</t>
  </si>
  <si>
    <t>Fixture Brg SA</t>
  </si>
  <si>
    <t>Fixture Cross SA</t>
  </si>
  <si>
    <t>Assy Fixture</t>
  </si>
  <si>
    <t>Tie rod assy fixture</t>
  </si>
  <si>
    <t>Dip type pyrometer</t>
  </si>
  <si>
    <t>Bonding Alloy furnace</t>
  </si>
  <si>
    <t>Tools &amp; Fixtures for Piston Assy</t>
  </si>
  <si>
    <t xml:space="preserve">Automatic Swaging </t>
  </si>
  <si>
    <t>Actuator Inspection equipment pnematic</t>
  </si>
  <si>
    <t>Pneumatic tool</t>
  </si>
  <si>
    <t>Auto Pouring</t>
  </si>
  <si>
    <t>closing</t>
  </si>
  <si>
    <t>Expand &amp; Planish</t>
  </si>
  <si>
    <t>Oil Spray</t>
  </si>
  <si>
    <t>Hydraulic Shrinker</t>
  </si>
  <si>
    <t>Pin mIller</t>
  </si>
  <si>
    <t>AWH</t>
  </si>
  <si>
    <t>MPI</t>
  </si>
  <si>
    <t>Mhitraa</t>
  </si>
  <si>
    <t>Assy Equipmemt</t>
  </si>
  <si>
    <t>Test Rig</t>
  </si>
  <si>
    <t>A racks</t>
  </si>
  <si>
    <t>Screen printer thick layer</t>
  </si>
  <si>
    <t>Bending furnace</t>
  </si>
  <si>
    <t>Root rolling</t>
  </si>
  <si>
    <t>Flow Forming M/c</t>
  </si>
  <si>
    <t>GDC</t>
  </si>
  <si>
    <t>Operation</t>
  </si>
  <si>
    <t>SC1</t>
  </si>
  <si>
    <t>Norms 
Rs/Unit</t>
  </si>
  <si>
    <t>UOM</t>
  </si>
  <si>
    <t>Parts Per unit</t>
  </si>
  <si>
    <t>Cost/part</t>
  </si>
  <si>
    <t>per kg</t>
  </si>
  <si>
    <t>Direct RM</t>
  </si>
  <si>
    <t>All RM</t>
  </si>
  <si>
    <t>Time in Sec</t>
  </si>
  <si>
    <t>Drilling</t>
  </si>
  <si>
    <t>Ø</t>
  </si>
  <si>
    <t>Depth</t>
  </si>
  <si>
    <t>CS</t>
  </si>
  <si>
    <t>RPM</t>
  </si>
  <si>
    <t>Feed mm/rev</t>
  </si>
  <si>
    <t>Time</t>
  </si>
  <si>
    <t>Milling</t>
  </si>
  <si>
    <t>Cutter Ø</t>
  </si>
  <si>
    <t>Length</t>
  </si>
  <si>
    <t>Width</t>
  </si>
  <si>
    <t>No of pass</t>
  </si>
  <si>
    <t>No of insert</t>
  </si>
  <si>
    <t>5 seconds considered for rapid movement</t>
  </si>
  <si>
    <t>5 seconds considered for centre drilling</t>
  </si>
  <si>
    <t>Drilling Tool Life</t>
  </si>
  <si>
    <t>Nearest drill size</t>
  </si>
  <si>
    <t>Hole depth</t>
  </si>
  <si>
    <t>No of holes</t>
  </si>
  <si>
    <t>Carbon steel</t>
  </si>
  <si>
    <t>Milling insert Life</t>
  </si>
  <si>
    <t>Mill area (mm^2)</t>
  </si>
  <si>
    <t>Depth of cut (mm)</t>
  </si>
  <si>
    <t>No of usage</t>
  </si>
  <si>
    <t>Aluminium GDC conversion</t>
  </si>
  <si>
    <t>Cutting speed for Aluminium considered is 300m/min for carbide inserts and 150m/min for HSS tools</t>
  </si>
  <si>
    <t>Drill - HSS</t>
  </si>
  <si>
    <t>Carbon Steel</t>
  </si>
  <si>
    <t>SG iron/Casting</t>
  </si>
  <si>
    <t>Life for 10 mm</t>
  </si>
  <si>
    <t>Sl. No.</t>
  </si>
  <si>
    <t>Drill Ø</t>
  </si>
  <si>
    <t>No holes</t>
  </si>
  <si>
    <t>Direct</t>
  </si>
  <si>
    <t>With pre-drill</t>
  </si>
  <si>
    <t>Carbide insert - Milling</t>
  </si>
  <si>
    <t>Milled material volume with one insert in mm^3</t>
  </si>
  <si>
    <t>SG Iron/Casting</t>
  </si>
  <si>
    <t>~ Mill Area (mm^2)</t>
  </si>
  <si>
    <t>No of inserts</t>
  </si>
  <si>
    <t>Tool use count</t>
  </si>
  <si>
    <t>Volume of material removal mm^3</t>
  </si>
  <si>
    <t>Two tip usage considered for a insert</t>
  </si>
  <si>
    <t>Total core Wt. (Kg)</t>
  </si>
  <si>
    <t>Impregnation</t>
  </si>
  <si>
    <t>Leak test</t>
  </si>
  <si>
    <t>Cleaning</t>
  </si>
  <si>
    <t>2/kg on casting wt</t>
  </si>
  <si>
    <t>7/kg on cast wt</t>
  </si>
  <si>
    <t>per part</t>
  </si>
  <si>
    <t>Machining Allowance</t>
  </si>
  <si>
    <t>Provided Design</t>
  </si>
  <si>
    <t>Back-up</t>
  </si>
  <si>
    <t>Others - Gate / Runner / Filler</t>
  </si>
  <si>
    <t>Model weight</t>
  </si>
  <si>
    <t>10% of  Casting weight</t>
  </si>
  <si>
    <t>Surcharge/ Burning loss
Cost</t>
  </si>
  <si>
    <t>Melting Cost</t>
  </si>
  <si>
    <t>Per Kg</t>
  </si>
  <si>
    <t>Shell Core</t>
  </si>
  <si>
    <t>Re-used for melting</t>
  </si>
  <si>
    <t>&lt; 2 kg</t>
  </si>
  <si>
    <t>Approx</t>
  </si>
  <si>
    <t>ICC</t>
  </si>
  <si>
    <t>OH</t>
  </si>
  <si>
    <t>Rejection</t>
  </si>
  <si>
    <t>Hindalco</t>
  </si>
  <si>
    <t>Melt weight (kg)</t>
  </si>
  <si>
    <t>Cast Weight</t>
  </si>
  <si>
    <t>A</t>
  </si>
  <si>
    <t>C</t>
  </si>
  <si>
    <t>D</t>
  </si>
  <si>
    <t>Sourcing input</t>
  </si>
  <si>
    <t>F</t>
  </si>
  <si>
    <t>Core wt calculation</t>
  </si>
  <si>
    <t>Core volume</t>
  </si>
  <si>
    <t>m3</t>
  </si>
  <si>
    <t>Core density</t>
  </si>
  <si>
    <t>kg/m3</t>
  </si>
  <si>
    <t>Core weight</t>
  </si>
  <si>
    <t>Consumption per Kg of Core</t>
  </si>
  <si>
    <t>Price/kg</t>
  </si>
  <si>
    <t>Component price</t>
  </si>
  <si>
    <t>Washed new sand</t>
  </si>
  <si>
    <t>Resin A</t>
  </si>
  <si>
    <t>Resin B</t>
  </si>
  <si>
    <t>Amine Gas</t>
  </si>
  <si>
    <t>Special sundry material</t>
  </si>
  <si>
    <t>Total RM Cost for Core</t>
  </si>
  <si>
    <t>Core Cost</t>
  </si>
  <si>
    <t>Loading to the machine</t>
  </si>
  <si>
    <t>per hr</t>
  </si>
  <si>
    <t>Dressing</t>
  </si>
  <si>
    <t>Packing, Storage&amp; Despatch</t>
  </si>
  <si>
    <t>Revision</t>
  </si>
  <si>
    <t>Supplier Category</t>
  </si>
  <si>
    <t>Date of estimation</t>
  </si>
  <si>
    <t>RM data base</t>
  </si>
  <si>
    <t>Conversion data base</t>
  </si>
  <si>
    <t>14/6/2022</t>
  </si>
  <si>
    <t>Piston head</t>
  </si>
  <si>
    <t>FXB01800_Assy02_Item05</t>
  </si>
  <si>
    <t>#3</t>
  </si>
  <si>
    <t>Conv</t>
  </si>
  <si>
    <t>Tool maintenance</t>
  </si>
  <si>
    <t>RM+Conv</t>
  </si>
  <si>
    <t>CONVERSION  COST</t>
  </si>
  <si>
    <t>OTEHR COST</t>
  </si>
  <si>
    <t>Total Finish weight(kg)</t>
  </si>
  <si>
    <t>Conversion cost / Total Cost</t>
  </si>
  <si>
    <t>Other cost/ Total Cost</t>
  </si>
  <si>
    <t>LM25</t>
  </si>
  <si>
    <t>Machining Calculation</t>
  </si>
  <si>
    <t>kg</t>
  </si>
  <si>
    <t>OD machining Scrap weight</t>
  </si>
  <si>
    <t>Top face machining</t>
  </si>
  <si>
    <t>Drill dia 23mm for length of 43mm</t>
  </si>
  <si>
    <t xml:space="preserve">Counter sunk </t>
  </si>
  <si>
    <t>Pin mounting hole</t>
  </si>
  <si>
    <t>CNC Turning machine</t>
  </si>
  <si>
    <t>Facing operation</t>
  </si>
  <si>
    <t>Step turning operation</t>
  </si>
  <si>
    <t>Pilot drilling operation</t>
  </si>
  <si>
    <t>Drilling operation</t>
  </si>
  <si>
    <t>Counter sunk operation</t>
  </si>
  <si>
    <t>Through hole</t>
  </si>
  <si>
    <t>Chamfering operation</t>
  </si>
  <si>
    <t>Unloading from the machine</t>
  </si>
  <si>
    <t>unloading from the machine</t>
  </si>
  <si>
    <t>Apr'22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</si>
</sst>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_(* #,##0_);_(* \(#,##0\);_(* &quot;-&quot;??_);_(@_)"/>
    <numFmt numFmtId="167" formatCode="0.0%"/>
    <numFmt numFmtId="168" formatCode="0.0000"/>
    <numFmt numFmtId="169" formatCode="0.0"/>
    <numFmt numFmtId="170" formatCode="_ [$₹-4009]\ * #,##0.000_ ;_ [$₹-4009]\ * \-#,##0.000_ ;_ [$₹-4009]\ * &quot;-&quot;???_ ;_ @_ "/>
    <numFmt numFmtId="171" formatCode="_(* #,##0.00_);_(* \(#,##0.00\);_(* &quot;-&quot;_);_(@_)"/>
    <numFmt numFmtId="172" formatCode="_(* #,##0.0_);_(* \(#,##0.0\);_(* &quot;-&quot;??_);_(@_)"/>
    <numFmt numFmtId="173" formatCode="_ * #,##0.00_ ;_ * \-#,##0.00_ ;_ * &quot;-&quot;??_ ;_ @_ "/>
    <numFmt numFmtId="174" formatCode="_-* #,##0.00\ [$€]_-;\-* #,##0.00\ [$€]_-;_-* &quot;-&quot;??\ [$€]_-;_-@_-"/>
    <numFmt numFmtId="175" formatCode="0.00000"/>
    <numFmt numFmtId="176" formatCode="[$-409]d\-mmm\-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Arial"/>
      <family val="2"/>
    </font>
    <font>
      <b/>
      <sz val="11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C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dotted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dotted">
        <color theme="7" tint="0.79998168889431442"/>
      </top>
      <bottom style="dotted">
        <color theme="7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/>
      <diagonal/>
    </border>
    <border>
      <left style="thin">
        <color theme="9" tint="0.79998168889431442"/>
      </left>
      <right style="thin">
        <color theme="9" tint="0.79998168889431442"/>
      </right>
      <top/>
      <bottom style="dotted">
        <color theme="9" tint="0.59999389629810485"/>
      </bottom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 style="dotted">
        <color theme="9" tint="0.59999389629810485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dotted">
        <color theme="9" tint="0.59999389629810485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dotted">
        <color theme="9" tint="0.59999389629810485"/>
      </bottom>
      <diagonal/>
    </border>
    <border>
      <left/>
      <right style="thin">
        <color theme="9" tint="0.79998168889431442"/>
      </right>
      <top style="dotted">
        <color theme="9" tint="0.59999389629810485"/>
      </top>
      <bottom style="dotted">
        <color theme="9" tint="0.5999938962981048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/>
      <right/>
      <top style="thin">
        <color theme="7" tint="0.79998168889431442"/>
      </top>
      <bottom/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5117038483843"/>
      </left>
      <right style="thin">
        <color theme="7" tint="0.79998168889431442"/>
      </right>
      <top style="hair">
        <color theme="7" tint="0.79995117038483843"/>
      </top>
      <bottom style="hair">
        <color theme="7" tint="0.79995117038483843"/>
      </bottom>
      <diagonal/>
    </border>
    <border>
      <left style="thin">
        <color theme="7" tint="0.79995117038483843"/>
      </left>
      <right style="thin">
        <color theme="7" tint="0.79995117038483843"/>
      </right>
      <top style="hair">
        <color theme="7" tint="0.79995117038483843"/>
      </top>
      <bottom style="hair">
        <color theme="7" tint="0.7999511703848384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E4DFEC"/>
      </left>
      <right/>
      <top/>
      <bottom style="thin">
        <color rgb="FFE4DFEC"/>
      </bottom>
      <diagonal/>
    </border>
    <border>
      <left/>
      <right/>
      <top/>
      <bottom style="thin">
        <color rgb="FFE4DFEC"/>
      </bottom>
      <diagonal/>
    </border>
    <border>
      <left style="thin">
        <color rgb="FFE4DFEC"/>
      </left>
      <right style="thin">
        <color rgb="FFE4DFEC"/>
      </right>
      <top style="thin">
        <color rgb="FFE4DFEC"/>
      </top>
      <bottom style="dotted">
        <color rgb="FFE4DFEC"/>
      </bottom>
      <diagonal/>
    </border>
    <border>
      <left style="thin">
        <color rgb="FFE4DFEC"/>
      </left>
      <right style="thin">
        <color rgb="FFE4DFEC"/>
      </right>
      <top style="dotted">
        <color rgb="FFE4DFEC"/>
      </top>
      <bottom style="dotted">
        <color rgb="FFE4DFEC"/>
      </bottom>
      <diagonal/>
    </border>
    <border>
      <left style="thin">
        <color rgb="FFE4DFEC"/>
      </left>
      <right style="thin">
        <color rgb="FFE4DFEC"/>
      </right>
      <top style="thin">
        <color rgb="FFE4DFEC"/>
      </top>
      <bottom/>
      <diagonal/>
    </border>
    <border>
      <left style="thin">
        <color rgb="FFE4DFEC"/>
      </left>
      <right style="thin">
        <color rgb="FFE4DFEC"/>
      </right>
      <top/>
      <bottom/>
      <diagonal/>
    </border>
    <border>
      <left style="thin">
        <color rgb="FFE4DFEC"/>
      </left>
      <right style="thin">
        <color rgb="FFE4DFEC"/>
      </right>
      <top style="dotted">
        <color rgb="FFE4DFEC"/>
      </top>
      <bottom style="thin">
        <color rgb="FFE4DFEC"/>
      </bottom>
      <diagonal/>
    </border>
    <border>
      <left style="thin">
        <color rgb="FFE4DFEC"/>
      </left>
      <right style="thin">
        <color rgb="FFE4DFEC"/>
      </right>
      <top/>
      <bottom style="thin">
        <color rgb="FFE4DFEC"/>
      </bottom>
      <diagonal/>
    </border>
  </borders>
  <cellStyleXfs count="20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8" fillId="0" borderId="0" applyNumberFormat="0" applyFill="0" applyBorder="0" applyProtection="0">
      <alignment horizontal="left" vertical="center"/>
    </xf>
    <xf numFmtId="0" fontId="9" fillId="0" borderId="13" applyNumberFormat="0" applyFill="0" applyProtection="0">
      <alignment horizontal="center" vertical="center"/>
    </xf>
    <xf numFmtId="0" fontId="9" fillId="0" borderId="14" applyNumberFormat="0" applyFill="0" applyProtection="0">
      <alignment horizontal="center"/>
    </xf>
    <xf numFmtId="0" fontId="10" fillId="6" borderId="13" applyNumberFormat="0" applyProtection="0">
      <alignment horizontal="center" vertical="center" wrapText="1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 wrapText="1"/>
    </xf>
    <xf numFmtId="0" fontId="4" fillId="0" borderId="0"/>
    <xf numFmtId="44" fontId="1" fillId="0" borderId="0" applyFont="0" applyFill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7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0" fontId="9" fillId="0" borderId="13" applyNumberFormat="0" applyFill="0" applyProtection="0">
      <alignment horizontal="center" vertical="center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10" fillId="6" borderId="13" applyNumberFormat="0" applyProtection="0">
      <alignment horizontal="center" vertical="center" wrapText="1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9" fillId="0" borderId="13" applyNumberFormat="0" applyFill="0" applyProtection="0">
      <alignment horizontal="left" vertical="center"/>
    </xf>
    <xf numFmtId="0" fontId="4" fillId="0" borderId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0" fontId="9" fillId="0" borderId="13" applyNumberFormat="0" applyFill="0" applyProtection="0">
      <alignment horizontal="left" vertical="center" wrapText="1"/>
    </xf>
    <xf numFmtId="174" fontId="4" fillId="0" borderId="0" applyFon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</cellStyleXfs>
  <cellXfs count="273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0" fontId="0" fillId="0" borderId="0" xfId="0" applyFill="1"/>
    <xf numFmtId="0" fontId="0" fillId="0" borderId="0" xfId="0" applyFont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indent="1"/>
    </xf>
    <xf numFmtId="0" fontId="0" fillId="4" borderId="6" xfId="0" applyFill="1" applyBorder="1" applyAlignment="1">
      <alignment horizontal="left" vertical="center" indent="2"/>
    </xf>
    <xf numFmtId="0" fontId="3" fillId="5" borderId="6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 indent="2"/>
    </xf>
    <xf numFmtId="0" fontId="0" fillId="4" borderId="9" xfId="0" applyFill="1" applyBorder="1" applyAlignment="1">
      <alignment horizontal="left" vertical="center" indent="2"/>
    </xf>
    <xf numFmtId="0" fontId="6" fillId="4" borderId="0" xfId="0" applyFont="1" applyFill="1" applyBorder="1"/>
    <xf numFmtId="0" fontId="0" fillId="4" borderId="10" xfId="0" applyFill="1" applyBorder="1" applyAlignment="1">
      <alignment horizontal="left" indent="1"/>
    </xf>
    <xf numFmtId="0" fontId="0" fillId="4" borderId="9" xfId="0" applyFill="1" applyBorder="1" applyAlignment="1">
      <alignment horizontal="left" indent="1"/>
    </xf>
    <xf numFmtId="0" fontId="0" fillId="4" borderId="5" xfId="0" applyFill="1" applyBorder="1" applyAlignment="1">
      <alignment horizontal="left" indent="1"/>
    </xf>
    <xf numFmtId="9" fontId="0" fillId="4" borderId="11" xfId="3" applyFont="1" applyFill="1" applyBorder="1"/>
    <xf numFmtId="9" fontId="0" fillId="4" borderId="12" xfId="3" applyFont="1" applyFill="1" applyBorder="1"/>
    <xf numFmtId="9" fontId="0" fillId="4" borderId="10" xfId="3" applyFont="1" applyFill="1" applyBorder="1"/>
    <xf numFmtId="9" fontId="0" fillId="4" borderId="9" xfId="3" applyFont="1" applyFill="1" applyBorder="1"/>
    <xf numFmtId="0" fontId="0" fillId="0" borderId="0" xfId="0" applyBorder="1"/>
    <xf numFmtId="2" fontId="0" fillId="0" borderId="0" xfId="0" applyNumberFormat="1"/>
    <xf numFmtId="2" fontId="2" fillId="5" borderId="6" xfId="0" applyNumberFormat="1" applyFon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right" vertical="center"/>
    </xf>
    <xf numFmtId="2" fontId="0" fillId="4" borderId="7" xfId="0" applyNumberFormat="1" applyFill="1" applyBorder="1" applyAlignment="1">
      <alignment horizontal="right" vertical="center"/>
    </xf>
    <xf numFmtId="2" fontId="0" fillId="4" borderId="4" xfId="0" applyNumberFormat="1" applyFill="1" applyBorder="1" applyAlignment="1">
      <alignment horizontal="right" vertical="center"/>
    </xf>
    <xf numFmtId="2" fontId="0" fillId="4" borderId="9" xfId="0" applyNumberFormat="1" applyFill="1" applyBorder="1" applyAlignment="1">
      <alignment horizontal="right" vertical="center"/>
    </xf>
    <xf numFmtId="43" fontId="0" fillId="0" borderId="0" xfId="0" applyNumberFormat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7" fillId="0" borderId="0" xfId="0" applyFont="1" applyBorder="1"/>
    <xf numFmtId="0" fontId="13" fillId="0" borderId="0" xfId="0" applyFont="1" applyBorder="1"/>
    <xf numFmtId="0" fontId="2" fillId="0" borderId="0" xfId="0" applyFont="1" applyFill="1" applyBorder="1" applyAlignment="1">
      <alignment horizontal="center" vertical="center"/>
    </xf>
    <xf numFmtId="9" fontId="2" fillId="0" borderId="0" xfId="3" applyFont="1" applyFill="1" applyBorder="1" applyAlignment="1">
      <alignment horizontal="center" vertical="center"/>
    </xf>
    <xf numFmtId="169" fontId="0" fillId="0" borderId="0" xfId="0" applyNumberFormat="1" applyFont="1" applyAlignment="1">
      <alignment vertical="center"/>
    </xf>
    <xf numFmtId="168" fontId="0" fillId="0" borderId="0" xfId="0" applyNumberFormat="1" applyBorder="1"/>
    <xf numFmtId="166" fontId="0" fillId="0" borderId="0" xfId="1" applyNumberFormat="1" applyFont="1" applyBorder="1"/>
    <xf numFmtId="165" fontId="7" fillId="0" borderId="0" xfId="0" applyNumberFormat="1" applyFont="1" applyBorder="1"/>
    <xf numFmtId="1" fontId="7" fillId="0" borderId="0" xfId="0" applyNumberFormat="1" applyFont="1" applyBorder="1"/>
    <xf numFmtId="1" fontId="2" fillId="0" borderId="0" xfId="0" applyNumberFormat="1" applyFont="1" applyFill="1" applyBorder="1" applyAlignment="1">
      <alignment horizontal="center" vertical="center"/>
    </xf>
    <xf numFmtId="43" fontId="2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Border="1"/>
    <xf numFmtId="0" fontId="0" fillId="0" borderId="0" xfId="0" applyFill="1" applyBorder="1" applyAlignment="1">
      <alignment horizontal="center"/>
    </xf>
    <xf numFmtId="2" fontId="0" fillId="0" borderId="0" xfId="0" applyNumberFormat="1" applyBorder="1"/>
    <xf numFmtId="9" fontId="7" fillId="0" borderId="0" xfId="0" applyNumberFormat="1" applyFont="1" applyBorder="1"/>
    <xf numFmtId="43" fontId="0" fillId="0" borderId="0" xfId="1" applyFont="1" applyBorder="1"/>
    <xf numFmtId="0" fontId="0" fillId="0" borderId="18" xfId="0" applyFont="1" applyBorder="1" applyAlignment="1">
      <alignment vertical="center"/>
    </xf>
    <xf numFmtId="0" fontId="7" fillId="0" borderId="19" xfId="0" applyFont="1" applyFill="1" applyBorder="1" applyAlignment="1">
      <alignment horizontal="left" indent="1"/>
    </xf>
    <xf numFmtId="0" fontId="7" fillId="0" borderId="19" xfId="0" applyFont="1" applyBorder="1"/>
    <xf numFmtId="170" fontId="0" fillId="0" borderId="0" xfId="0" applyNumberFormat="1" applyFont="1" applyAlignment="1">
      <alignment vertical="center"/>
    </xf>
    <xf numFmtId="1" fontId="6" fillId="0" borderId="18" xfId="0" applyNumberFormat="1" applyFont="1" applyBorder="1" applyAlignment="1">
      <alignment vertical="center"/>
    </xf>
    <xf numFmtId="0" fontId="0" fillId="4" borderId="0" xfId="0" applyFill="1" applyBorder="1" applyAlignment="1">
      <alignment horizontal="left" indent="1"/>
    </xf>
    <xf numFmtId="0" fontId="16" fillId="0" borderId="0" xfId="0" applyFont="1" applyFill="1" applyAlignment="1"/>
    <xf numFmtId="41" fontId="16" fillId="0" borderId="0" xfId="88" applyFont="1" applyFill="1" applyAlignment="1"/>
    <xf numFmtId="171" fontId="16" fillId="0" borderId="0" xfId="88" applyNumberFormat="1" applyFont="1" applyFill="1" applyAlignment="1"/>
    <xf numFmtId="49" fontId="15" fillId="0" borderId="20" xfId="0" applyNumberFormat="1" applyFont="1" applyFill="1" applyBorder="1" applyAlignment="1">
      <alignment horizontal="left" vertical="center"/>
    </xf>
    <xf numFmtId="41" fontId="16" fillId="0" borderId="20" xfId="88" applyFont="1" applyFill="1" applyBorder="1" applyAlignment="1"/>
    <xf numFmtId="171" fontId="16" fillId="0" borderId="20" xfId="88" applyNumberFormat="1" applyFont="1" applyFill="1" applyBorder="1" applyAlignment="1"/>
    <xf numFmtId="41" fontId="15" fillId="0" borderId="20" xfId="88" applyFont="1" applyFill="1" applyBorder="1" applyAlignment="1">
      <alignment horizontal="right" vertical="center"/>
    </xf>
    <xf numFmtId="0" fontId="14" fillId="7" borderId="0" xfId="15" applyNumberFormat="1" applyFont="1" applyFill="1" applyBorder="1"/>
    <xf numFmtId="0" fontId="0" fillId="0" borderId="20" xfId="0" applyFont="1" applyBorder="1" applyAlignment="1">
      <alignment horizontal="center" vertical="center"/>
    </xf>
    <xf numFmtId="0" fontId="0" fillId="0" borderId="20" xfId="0" applyBorder="1"/>
    <xf numFmtId="0" fontId="0" fillId="0" borderId="20" xfId="0" applyFont="1" applyFill="1" applyBorder="1" applyAlignment="1">
      <alignment horizontal="center" vertical="center"/>
    </xf>
    <xf numFmtId="171" fontId="0" fillId="0" borderId="20" xfId="88" applyNumberFormat="1" applyFont="1" applyFill="1" applyBorder="1" applyAlignment="1">
      <alignment horizontal="right" vertical="center"/>
    </xf>
    <xf numFmtId="0" fontId="0" fillId="0" borderId="20" xfId="0" applyFont="1" applyBorder="1" applyAlignment="1">
      <alignment vertical="center"/>
    </xf>
    <xf numFmtId="2" fontId="0" fillId="0" borderId="20" xfId="0" applyNumberFormat="1" applyFont="1" applyBorder="1" applyAlignment="1">
      <alignment horizontal="center" vertical="center"/>
    </xf>
    <xf numFmtId="167" fontId="6" fillId="0" borderId="2" xfId="3" applyNumberFormat="1" applyFont="1" applyFill="1" applyBorder="1" applyAlignment="1">
      <alignment horizontal="right" vertical="center"/>
    </xf>
    <xf numFmtId="0" fontId="2" fillId="3" borderId="2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0" xfId="0" applyFont="1" applyBorder="1"/>
    <xf numFmtId="2" fontId="0" fillId="0" borderId="20" xfId="0" applyNumberFormat="1" applyFont="1" applyBorder="1"/>
    <xf numFmtId="165" fontId="6" fillId="0" borderId="20" xfId="0" applyNumberFormat="1" applyFont="1" applyBorder="1" applyAlignment="1">
      <alignment horizontal="center"/>
    </xf>
    <xf numFmtId="9" fontId="6" fillId="0" borderId="20" xfId="3" applyFont="1" applyFill="1" applyBorder="1"/>
    <xf numFmtId="165" fontId="7" fillId="0" borderId="20" xfId="1" applyNumberFormat="1" applyFont="1" applyBorder="1"/>
    <xf numFmtId="2" fontId="7" fillId="0" borderId="20" xfId="1" applyNumberFormat="1" applyFont="1" applyBorder="1"/>
    <xf numFmtId="1" fontId="7" fillId="0" borderId="20" xfId="1" applyNumberFormat="1" applyFont="1" applyBorder="1"/>
    <xf numFmtId="9" fontId="7" fillId="0" borderId="20" xfId="3" applyFont="1" applyBorder="1"/>
    <xf numFmtId="43" fontId="7" fillId="0" borderId="20" xfId="1" applyFont="1" applyBorder="1"/>
    <xf numFmtId="43" fontId="0" fillId="0" borderId="20" xfId="0" applyNumberFormat="1" applyBorder="1"/>
    <xf numFmtId="43" fontId="0" fillId="0" borderId="20" xfId="1" applyNumberFormat="1" applyFont="1" applyBorder="1"/>
    <xf numFmtId="43" fontId="14" fillId="7" borderId="0" xfId="15" applyNumberFormat="1" applyFont="1" applyFill="1" applyBorder="1"/>
    <xf numFmtId="0" fontId="2" fillId="3" borderId="21" xfId="89" applyFont="1" applyFill="1" applyBorder="1" applyAlignment="1" applyProtection="1">
      <alignment vertical="center" wrapText="1"/>
      <protection locked="0"/>
    </xf>
    <xf numFmtId="0" fontId="2" fillId="3" borderId="22" xfId="89" applyFont="1" applyFill="1" applyBorder="1" applyAlignment="1" applyProtection="1">
      <alignment vertical="center" wrapText="1"/>
      <protection locked="0"/>
    </xf>
    <xf numFmtId="0" fontId="2" fillId="3" borderId="23" xfId="89" applyFont="1" applyFill="1" applyBorder="1" applyAlignment="1" applyProtection="1">
      <alignment vertical="center" wrapText="1"/>
      <protection locked="0"/>
    </xf>
    <xf numFmtId="0" fontId="2" fillId="3" borderId="23" xfId="89" applyFont="1" applyFill="1" applyBorder="1" applyAlignment="1" applyProtection="1">
      <alignment horizontal="center" vertical="center" wrapText="1"/>
      <protection locked="0"/>
    </xf>
    <xf numFmtId="0" fontId="2" fillId="3" borderId="24" xfId="89" applyFont="1" applyFill="1" applyBorder="1" applyAlignment="1" applyProtection="1">
      <alignment horizontal="center" vertical="center" wrapText="1"/>
      <protection locked="0"/>
    </xf>
    <xf numFmtId="0" fontId="17" fillId="0" borderId="0" xfId="90"/>
    <xf numFmtId="0" fontId="7" fillId="0" borderId="25" xfId="91" applyFont="1" applyBorder="1" applyAlignment="1" applyProtection="1">
      <alignment horizontal="center"/>
      <protection locked="0"/>
    </xf>
    <xf numFmtId="0" fontId="7" fillId="0" borderId="26" xfId="91" applyFont="1" applyFill="1" applyBorder="1" applyAlignment="1" applyProtection="1">
      <alignment horizontal="center"/>
      <protection locked="0"/>
    </xf>
    <xf numFmtId="0" fontId="7" fillId="0" borderId="26" xfId="91" applyFont="1" applyFill="1" applyBorder="1" applyProtection="1">
      <protection locked="0"/>
    </xf>
    <xf numFmtId="166" fontId="7" fillId="4" borderId="26" xfId="92" applyNumberFormat="1" applyFont="1" applyFill="1" applyBorder="1" applyProtection="1"/>
    <xf numFmtId="172" fontId="7" fillId="4" borderId="26" xfId="92" applyNumberFormat="1" applyFont="1" applyFill="1" applyBorder="1" applyProtection="1"/>
    <xf numFmtId="10" fontId="7" fillId="4" borderId="26" xfId="92" applyNumberFormat="1" applyFont="1" applyFill="1" applyBorder="1" applyProtection="1"/>
    <xf numFmtId="3" fontId="7" fillId="20" borderId="26" xfId="91" applyNumberFormat="1" applyFont="1" applyFill="1" applyBorder="1" applyProtection="1">
      <protection locked="0"/>
    </xf>
    <xf numFmtId="0" fontId="7" fillId="20" borderId="26" xfId="91" applyFont="1" applyFill="1" applyBorder="1" applyProtection="1">
      <protection locked="0"/>
    </xf>
    <xf numFmtId="1" fontId="7" fillId="20" borderId="26" xfId="91" applyNumberFormat="1" applyFont="1" applyFill="1" applyBorder="1" applyProtection="1">
      <protection locked="0"/>
    </xf>
    <xf numFmtId="165" fontId="7" fillId="20" borderId="26" xfId="91" applyNumberFormat="1" applyFont="1" applyFill="1" applyBorder="1" applyProtection="1">
      <protection locked="0"/>
    </xf>
    <xf numFmtId="1" fontId="7" fillId="20" borderId="27" xfId="91" applyNumberFormat="1" applyFont="1" applyFill="1" applyBorder="1" applyProtection="1">
      <protection locked="0"/>
    </xf>
    <xf numFmtId="0" fontId="7" fillId="0" borderId="28" xfId="91" applyFont="1" applyBorder="1" applyAlignment="1" applyProtection="1">
      <alignment horizontal="center"/>
      <protection locked="0"/>
    </xf>
    <xf numFmtId="0" fontId="7" fillId="0" borderId="20" xfId="91" applyFont="1" applyFill="1" applyBorder="1" applyAlignment="1" applyProtection="1">
      <alignment horizontal="center"/>
      <protection locked="0"/>
    </xf>
    <xf numFmtId="0" fontId="7" fillId="0" borderId="20" xfId="91" applyFont="1" applyFill="1" applyBorder="1" applyProtection="1"/>
    <xf numFmtId="166" fontId="7" fillId="4" borderId="20" xfId="92" applyNumberFormat="1" applyFont="1" applyFill="1" applyBorder="1" applyProtection="1"/>
    <xf numFmtId="172" fontId="7" fillId="4" borderId="20" xfId="92" applyNumberFormat="1" applyFont="1" applyFill="1" applyBorder="1" applyProtection="1"/>
    <xf numFmtId="10" fontId="7" fillId="4" borderId="20" xfId="92" applyNumberFormat="1" applyFont="1" applyFill="1" applyBorder="1" applyProtection="1"/>
    <xf numFmtId="3" fontId="7" fillId="20" borderId="20" xfId="91" applyNumberFormat="1" applyFont="1" applyFill="1" applyBorder="1" applyProtection="1">
      <protection locked="0"/>
    </xf>
    <xf numFmtId="0" fontId="7" fillId="20" borderId="20" xfId="91" applyFont="1" applyFill="1" applyBorder="1" applyProtection="1">
      <protection locked="0"/>
    </xf>
    <xf numFmtId="1" fontId="7" fillId="20" borderId="20" xfId="91" applyNumberFormat="1" applyFont="1" applyFill="1" applyBorder="1" applyProtection="1">
      <protection locked="0"/>
    </xf>
    <xf numFmtId="1" fontId="7" fillId="20" borderId="29" xfId="91" applyNumberFormat="1" applyFont="1" applyFill="1" applyBorder="1" applyProtection="1">
      <protection locked="0"/>
    </xf>
    <xf numFmtId="166" fontId="7" fillId="4" borderId="20" xfId="93" applyNumberFormat="1" applyFont="1" applyFill="1" applyBorder="1" applyProtection="1"/>
    <xf numFmtId="172" fontId="7" fillId="4" borderId="20" xfId="93" applyNumberFormat="1" applyFont="1" applyFill="1" applyBorder="1" applyProtection="1"/>
    <xf numFmtId="10" fontId="7" fillId="4" borderId="20" xfId="93" applyNumberFormat="1" applyFont="1" applyFill="1" applyBorder="1" applyProtection="1"/>
    <xf numFmtId="166" fontId="7" fillId="4" borderId="20" xfId="94" applyNumberFormat="1" applyFont="1" applyFill="1" applyBorder="1" applyProtection="1"/>
    <xf numFmtId="172" fontId="7" fillId="4" borderId="20" xfId="94" applyNumberFormat="1" applyFont="1" applyFill="1" applyBorder="1" applyProtection="1"/>
    <xf numFmtId="10" fontId="7" fillId="4" borderId="20" xfId="94" applyNumberFormat="1" applyFont="1" applyFill="1" applyBorder="1" applyProtection="1"/>
    <xf numFmtId="0" fontId="18" fillId="0" borderId="20" xfId="91" applyFont="1" applyFill="1" applyBorder="1"/>
    <xf numFmtId="41" fontId="7" fillId="0" borderId="20" xfId="95" applyFont="1" applyFill="1" applyBorder="1" applyAlignment="1" applyProtection="1">
      <alignment horizontal="left"/>
    </xf>
    <xf numFmtId="0" fontId="7" fillId="0" borderId="20" xfId="91" applyFont="1" applyFill="1" applyBorder="1" applyProtection="1">
      <protection locked="0"/>
    </xf>
    <xf numFmtId="166" fontId="7" fillId="4" borderId="20" xfId="96" applyNumberFormat="1" applyFont="1" applyFill="1" applyBorder="1" applyProtection="1"/>
    <xf numFmtId="172" fontId="7" fillId="4" borderId="20" xfId="96" applyNumberFormat="1" applyFont="1" applyFill="1" applyBorder="1" applyProtection="1"/>
    <xf numFmtId="10" fontId="7" fillId="4" borderId="20" xfId="96" applyNumberFormat="1" applyFont="1" applyFill="1" applyBorder="1" applyProtection="1"/>
    <xf numFmtId="165" fontId="7" fillId="20" borderId="20" xfId="91" applyNumberFormat="1" applyFont="1" applyFill="1" applyBorder="1" applyProtection="1">
      <protection locked="0"/>
    </xf>
    <xf numFmtId="0" fontId="7" fillId="0" borderId="20" xfId="91" applyFont="1" applyFill="1" applyBorder="1" applyAlignment="1">
      <alignment horizontal="left" vertical="center" wrapText="1"/>
    </xf>
    <xf numFmtId="166" fontId="7" fillId="4" borderId="20" xfId="97" applyNumberFormat="1" applyFont="1" applyFill="1" applyBorder="1" applyProtection="1"/>
    <xf numFmtId="172" fontId="7" fillId="4" borderId="20" xfId="97" applyNumberFormat="1" applyFont="1" applyFill="1" applyBorder="1" applyProtection="1"/>
    <xf numFmtId="10" fontId="7" fillId="4" borderId="20" xfId="97" applyNumberFormat="1" applyFont="1" applyFill="1" applyBorder="1" applyProtection="1"/>
    <xf numFmtId="1" fontId="7" fillId="7" borderId="29" xfId="91" applyNumberFormat="1" applyFont="1" applyFill="1" applyBorder="1" applyProtection="1">
      <protection locked="0"/>
    </xf>
    <xf numFmtId="1" fontId="7" fillId="4" borderId="20" xfId="91" applyNumberFormat="1" applyFont="1" applyFill="1" applyBorder="1" applyProtection="1"/>
    <xf numFmtId="0" fontId="7" fillId="4" borderId="20" xfId="91" applyFont="1" applyFill="1" applyBorder="1" applyProtection="1"/>
    <xf numFmtId="166" fontId="7" fillId="4" borderId="20" xfId="97" applyNumberFormat="1" applyFont="1" applyFill="1" applyBorder="1" applyProtection="1">
      <protection locked="0"/>
    </xf>
    <xf numFmtId="166" fontId="7" fillId="4" borderId="20" xfId="98" applyNumberFormat="1" applyFont="1" applyFill="1" applyBorder="1" applyProtection="1"/>
    <xf numFmtId="172" fontId="7" fillId="4" borderId="20" xfId="98" applyNumberFormat="1" applyFont="1" applyFill="1" applyBorder="1" applyProtection="1"/>
    <xf numFmtId="10" fontId="7" fillId="4" borderId="20" xfId="98" applyNumberFormat="1" applyFont="1" applyFill="1" applyBorder="1" applyProtection="1"/>
    <xf numFmtId="166" fontId="7" fillId="4" borderId="20" xfId="99" applyNumberFormat="1" applyFont="1" applyFill="1" applyBorder="1" applyProtection="1"/>
    <xf numFmtId="172" fontId="7" fillId="4" borderId="20" xfId="99" applyNumberFormat="1" applyFont="1" applyFill="1" applyBorder="1" applyProtection="1"/>
    <xf numFmtId="10" fontId="7" fillId="4" borderId="20" xfId="99" applyNumberFormat="1" applyFont="1" applyFill="1" applyBorder="1" applyProtection="1"/>
    <xf numFmtId="41" fontId="7" fillId="0" borderId="20" xfId="95" applyFont="1" applyFill="1" applyBorder="1" applyProtection="1"/>
    <xf numFmtId="0" fontId="17" fillId="0" borderId="20" xfId="90" applyFill="1" applyBorder="1"/>
    <xf numFmtId="0" fontId="17" fillId="0" borderId="20" xfId="90" applyBorder="1"/>
    <xf numFmtId="0" fontId="1" fillId="0" borderId="20" xfId="91" applyFill="1" applyBorder="1"/>
    <xf numFmtId="0" fontId="19" fillId="0" borderId="20" xfId="91" applyFont="1" applyFill="1" applyBorder="1" applyAlignment="1">
      <alignment vertical="center"/>
    </xf>
    <xf numFmtId="0" fontId="1" fillId="0" borderId="20" xfId="91" applyFont="1" applyFill="1" applyBorder="1"/>
    <xf numFmtId="166" fontId="7" fillId="4" borderId="20" xfId="100" applyNumberFormat="1" applyFont="1" applyFill="1" applyBorder="1" applyProtection="1"/>
    <xf numFmtId="172" fontId="7" fillId="4" borderId="20" xfId="100" applyNumberFormat="1" applyFont="1" applyFill="1" applyBorder="1" applyProtection="1"/>
    <xf numFmtId="10" fontId="7" fillId="4" borderId="20" xfId="100" applyNumberFormat="1" applyFont="1" applyFill="1" applyBorder="1" applyProtection="1"/>
    <xf numFmtId="0" fontId="1" fillId="0" borderId="20" xfId="91" applyFont="1" applyFill="1" applyBorder="1" applyAlignment="1">
      <alignment vertical="center" wrapText="1"/>
    </xf>
    <xf numFmtId="166" fontId="7" fillId="4" borderId="20" xfId="101" applyNumberFormat="1" applyFont="1" applyFill="1" applyBorder="1" applyProtection="1"/>
    <xf numFmtId="172" fontId="7" fillId="4" borderId="20" xfId="101" applyNumberFormat="1" applyFont="1" applyFill="1" applyBorder="1" applyProtection="1"/>
    <xf numFmtId="10" fontId="7" fillId="4" borderId="20" xfId="101" applyNumberFormat="1" applyFont="1" applyFill="1" applyBorder="1" applyProtection="1"/>
    <xf numFmtId="166" fontId="7" fillId="4" borderId="20" xfId="102" applyNumberFormat="1" applyFont="1" applyFill="1" applyBorder="1" applyProtection="1"/>
    <xf numFmtId="172" fontId="7" fillId="4" borderId="20" xfId="102" applyNumberFormat="1" applyFont="1" applyFill="1" applyBorder="1" applyProtection="1"/>
    <xf numFmtId="10" fontId="7" fillId="4" borderId="20" xfId="102" applyNumberFormat="1" applyFont="1" applyFill="1" applyBorder="1" applyProtection="1"/>
    <xf numFmtId="3" fontId="1" fillId="0" borderId="20" xfId="91" applyNumberFormat="1" applyFill="1" applyBorder="1"/>
    <xf numFmtId="0" fontId="7" fillId="0" borderId="20" xfId="91" applyFont="1" applyFill="1" applyBorder="1" applyAlignment="1">
      <alignment horizontal="left" vertical="center"/>
    </xf>
    <xf numFmtId="166" fontId="7" fillId="4" borderId="20" xfId="103" applyNumberFormat="1" applyFont="1" applyFill="1" applyBorder="1" applyProtection="1"/>
    <xf numFmtId="172" fontId="7" fillId="4" borderId="20" xfId="103" applyNumberFormat="1" applyFont="1" applyFill="1" applyBorder="1" applyProtection="1"/>
    <xf numFmtId="10" fontId="7" fillId="4" borderId="20" xfId="103" applyNumberFormat="1" applyFont="1" applyFill="1" applyBorder="1" applyProtection="1"/>
    <xf numFmtId="166" fontId="7" fillId="4" borderId="20" xfId="104" applyNumberFormat="1" applyFont="1" applyFill="1" applyBorder="1" applyProtection="1"/>
    <xf numFmtId="172" fontId="7" fillId="4" borderId="20" xfId="104" applyNumberFormat="1" applyFont="1" applyFill="1" applyBorder="1" applyProtection="1"/>
    <xf numFmtId="10" fontId="7" fillId="4" borderId="20" xfId="104" applyNumberFormat="1" applyFont="1" applyFill="1" applyBorder="1" applyProtection="1"/>
    <xf numFmtId="0" fontId="1" fillId="0" borderId="20" xfId="91" applyFont="1" applyFill="1" applyBorder="1" applyAlignment="1">
      <alignment vertical="center"/>
    </xf>
    <xf numFmtId="0" fontId="7" fillId="0" borderId="20" xfId="91" applyFont="1" applyFill="1" applyBorder="1"/>
    <xf numFmtId="0" fontId="1" fillId="0" borderId="20" xfId="91" applyFill="1" applyBorder="1" applyProtection="1">
      <protection locked="0"/>
    </xf>
    <xf numFmtId="0" fontId="7" fillId="0" borderId="30" xfId="91" applyFont="1" applyBorder="1" applyAlignment="1" applyProtection="1">
      <alignment horizontal="center"/>
      <protection locked="0"/>
    </xf>
    <xf numFmtId="0" fontId="7" fillId="0" borderId="31" xfId="91" applyFont="1" applyFill="1" applyBorder="1" applyAlignment="1" applyProtection="1">
      <alignment horizontal="center"/>
      <protection locked="0"/>
    </xf>
    <xf numFmtId="0" fontId="7" fillId="0" borderId="31" xfId="91" applyFont="1" applyFill="1" applyBorder="1" applyProtection="1"/>
    <xf numFmtId="166" fontId="7" fillId="4" borderId="31" xfId="94" applyNumberFormat="1" applyFont="1" applyFill="1" applyBorder="1" applyProtection="1"/>
    <xf numFmtId="172" fontId="7" fillId="4" borderId="31" xfId="94" applyNumberFormat="1" applyFont="1" applyFill="1" applyBorder="1" applyProtection="1"/>
    <xf numFmtId="10" fontId="7" fillId="4" borderId="31" xfId="94" applyNumberFormat="1" applyFont="1" applyFill="1" applyBorder="1" applyProtection="1"/>
    <xf numFmtId="3" fontId="7" fillId="20" borderId="31" xfId="91" applyNumberFormat="1" applyFont="1" applyFill="1" applyBorder="1" applyProtection="1">
      <protection locked="0"/>
    </xf>
    <xf numFmtId="0" fontId="7" fillId="20" borderId="31" xfId="91" applyFont="1" applyFill="1" applyBorder="1" applyProtection="1">
      <protection locked="0"/>
    </xf>
    <xf numFmtId="1" fontId="7" fillId="20" borderId="31" xfId="91" applyNumberFormat="1" applyFont="1" applyFill="1" applyBorder="1" applyProtection="1">
      <protection locked="0"/>
    </xf>
    <xf numFmtId="1" fontId="7" fillId="20" borderId="32" xfId="91" applyNumberFormat="1" applyFont="1" applyFill="1" applyBorder="1" applyProtection="1">
      <protection locked="0"/>
    </xf>
    <xf numFmtId="2" fontId="0" fillId="7" borderId="34" xfId="0" applyNumberFormat="1" applyFont="1" applyFill="1" applyBorder="1" applyAlignment="1">
      <alignment horizontal="center" vertical="center"/>
    </xf>
    <xf numFmtId="0" fontId="0" fillId="0" borderId="26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171" fontId="0" fillId="0" borderId="0" xfId="88" applyNumberFormat="1" applyFont="1" applyAlignment="1">
      <alignment horizontal="right" vertical="center"/>
    </xf>
    <xf numFmtId="170" fontId="0" fillId="0" borderId="0" xfId="0" applyNumberFormat="1" applyFont="1" applyAlignment="1">
      <alignment horizontal="right" vertical="center"/>
    </xf>
    <xf numFmtId="2" fontId="0" fillId="7" borderId="34" xfId="0" applyNumberFormat="1" applyFont="1" applyFill="1" applyBorder="1" applyAlignment="1">
      <alignment horizontal="right" vertical="center"/>
    </xf>
    <xf numFmtId="0" fontId="2" fillId="3" borderId="20" xfId="0" applyFont="1" applyFill="1" applyBorder="1" applyAlignment="1">
      <alignment horizontal="right" vertical="center" wrapText="1"/>
    </xf>
    <xf numFmtId="0" fontId="0" fillId="0" borderId="20" xfId="0" applyFont="1" applyBorder="1" applyAlignment="1">
      <alignment horizontal="right" vertical="center"/>
    </xf>
    <xf numFmtId="1" fontId="7" fillId="0" borderId="20" xfId="0" applyNumberFormat="1" applyFont="1" applyFill="1" applyBorder="1" applyAlignment="1">
      <alignment horizontal="right" vertical="center"/>
    </xf>
    <xf numFmtId="0" fontId="0" fillId="0" borderId="20" xfId="0" applyFont="1" applyBorder="1" applyAlignment="1">
      <alignment horizontal="right"/>
    </xf>
    <xf numFmtId="0" fontId="0" fillId="0" borderId="20" xfId="91" applyFont="1" applyFill="1" applyBorder="1"/>
    <xf numFmtId="0" fontId="21" fillId="0" borderId="20" xfId="0" applyFont="1" applyBorder="1" applyAlignment="1">
      <alignment horizontal="center" vertical="center"/>
    </xf>
    <xf numFmtId="168" fontId="7" fillId="0" borderId="20" xfId="0" applyNumberFormat="1" applyFont="1" applyFill="1" applyBorder="1" applyAlignment="1">
      <alignment horizontal="left" vertical="center"/>
    </xf>
    <xf numFmtId="165" fontId="7" fillId="0" borderId="20" xfId="0" applyNumberFormat="1" applyFont="1" applyFill="1" applyBorder="1" applyAlignment="1">
      <alignment horizontal="right" vertical="center"/>
    </xf>
    <xf numFmtId="0" fontId="0" fillId="0" borderId="20" xfId="0" applyFill="1" applyBorder="1"/>
    <xf numFmtId="1" fontId="2" fillId="0" borderId="4" xfId="0" applyNumberFormat="1" applyFont="1" applyFill="1" applyBorder="1" applyAlignment="1">
      <alignment horizontal="right" vertical="center"/>
    </xf>
    <xf numFmtId="0" fontId="2" fillId="3" borderId="2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right" vertical="center" wrapText="1"/>
    </xf>
    <xf numFmtId="165" fontId="5" fillId="3" borderId="20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3" borderId="20" xfId="0" applyFont="1" applyFill="1" applyBorder="1" applyAlignment="1">
      <alignment horizontal="center" vertical="center"/>
    </xf>
    <xf numFmtId="2" fontId="0" fillId="3" borderId="20" xfId="0" applyNumberFormat="1" applyFont="1" applyFill="1" applyBorder="1" applyAlignment="1">
      <alignment horizontal="center" vertical="center"/>
    </xf>
    <xf numFmtId="0" fontId="0" fillId="3" borderId="20" xfId="0" applyFont="1" applyFill="1" applyBorder="1" applyAlignment="1">
      <alignment vertical="center"/>
    </xf>
    <xf numFmtId="169" fontId="0" fillId="0" borderId="20" xfId="0" applyNumberFormat="1" applyFont="1" applyBorder="1" applyAlignment="1">
      <alignment horizontal="center" vertical="center"/>
    </xf>
    <xf numFmtId="0" fontId="0" fillId="20" borderId="20" xfId="0" applyFont="1" applyFill="1" applyBorder="1" applyAlignment="1">
      <alignment horizontal="center" vertical="center"/>
    </xf>
    <xf numFmtId="1" fontId="2" fillId="21" borderId="20" xfId="0" applyNumberFormat="1" applyFont="1" applyFill="1" applyBorder="1" applyAlignment="1">
      <alignment horizontal="center" vertical="center"/>
    </xf>
    <xf numFmtId="0" fontId="0" fillId="3" borderId="20" xfId="0" applyFont="1" applyFill="1" applyBorder="1" applyAlignment="1">
      <alignment horizontal="left" vertical="center"/>
    </xf>
    <xf numFmtId="1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2" fontId="0" fillId="3" borderId="20" xfId="0" applyNumberFormat="1" applyFont="1" applyFill="1" applyBorder="1" applyAlignment="1">
      <alignment horizontal="right" vertical="center"/>
    </xf>
    <xf numFmtId="2" fontId="0" fillId="3" borderId="20" xfId="0" applyNumberFormat="1" applyFont="1" applyFill="1" applyBorder="1" applyAlignment="1">
      <alignment horizontal="left" vertical="center"/>
    </xf>
    <xf numFmtId="0" fontId="0" fillId="4" borderId="20" xfId="0" applyFont="1" applyFill="1" applyBorder="1" applyAlignment="1">
      <alignment horizontal="center" vertical="center"/>
    </xf>
    <xf numFmtId="1" fontId="0" fillId="20" borderId="20" xfId="0" applyNumberFormat="1" applyFont="1" applyFill="1" applyBorder="1" applyAlignment="1">
      <alignment horizontal="center" vertical="center"/>
    </xf>
    <xf numFmtId="0" fontId="5" fillId="22" borderId="0" xfId="0" applyFont="1" applyFill="1"/>
    <xf numFmtId="0" fontId="0" fillId="22" borderId="0" xfId="0" applyFill="1"/>
    <xf numFmtId="0" fontId="0" fillId="0" borderId="20" xfId="0" applyBorder="1" applyAlignment="1"/>
    <xf numFmtId="0" fontId="0" fillId="0" borderId="33" xfId="0" applyBorder="1" applyAlignment="1">
      <alignment horizontal="center"/>
    </xf>
    <xf numFmtId="0" fontId="2" fillId="0" borderId="20" xfId="0" applyFont="1" applyBorder="1"/>
    <xf numFmtId="0" fontId="2" fillId="0" borderId="35" xfId="0" applyFont="1" applyFill="1" applyBorder="1"/>
    <xf numFmtId="0" fontId="0" fillId="22" borderId="20" xfId="0" applyFill="1" applyBorder="1"/>
    <xf numFmtId="1" fontId="0" fillId="22" borderId="20" xfId="0" applyNumberFormat="1" applyFill="1" applyBorder="1"/>
    <xf numFmtId="0" fontId="0" fillId="0" borderId="0" xfId="0" applyAlignment="1">
      <alignment horizontal="center"/>
    </xf>
    <xf numFmtId="1" fontId="0" fillId="0" borderId="20" xfId="0" applyNumberFormat="1" applyBorder="1"/>
    <xf numFmtId="0" fontId="7" fillId="4" borderId="1" xfId="0" applyFont="1" applyFill="1" applyBorder="1" applyAlignment="1">
      <alignment horizontal="left" vertical="center"/>
    </xf>
    <xf numFmtId="2" fontId="7" fillId="0" borderId="20" xfId="0" applyNumberFormat="1" applyFont="1" applyFill="1" applyBorder="1" applyAlignment="1">
      <alignment horizontal="right" vertical="center"/>
    </xf>
    <xf numFmtId="43" fontId="7" fillId="7" borderId="20" xfId="1" applyFont="1" applyFill="1" applyBorder="1"/>
    <xf numFmtId="165" fontId="6" fillId="7" borderId="20" xfId="0" applyNumberFormat="1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175" fontId="7" fillId="0" borderId="20" xfId="1" applyNumberFormat="1" applyFont="1" applyBorder="1"/>
    <xf numFmtId="0" fontId="7" fillId="0" borderId="20" xfId="0" applyFont="1" applyBorder="1"/>
    <xf numFmtId="2" fontId="0" fillId="0" borderId="20" xfId="0" applyNumberFormat="1" applyBorder="1"/>
    <xf numFmtId="0" fontId="13" fillId="0" borderId="20" xfId="0" applyFont="1" applyBorder="1"/>
    <xf numFmtId="165" fontId="0" fillId="0" borderId="20" xfId="0" applyNumberFormat="1" applyBorder="1"/>
    <xf numFmtId="0" fontId="0" fillId="23" borderId="20" xfId="0" applyFill="1" applyBorder="1"/>
    <xf numFmtId="171" fontId="0" fillId="23" borderId="20" xfId="88" applyNumberFormat="1" applyFont="1" applyFill="1" applyBorder="1"/>
    <xf numFmtId="0" fontId="0" fillId="0" borderId="20" xfId="0" applyFont="1" applyBorder="1" applyAlignment="1">
      <alignment horizontal="center" vertical="center"/>
    </xf>
    <xf numFmtId="0" fontId="19" fillId="25" borderId="40" xfId="0" applyFont="1" applyFill="1" applyBorder="1" applyAlignment="1">
      <alignment horizontal="left"/>
    </xf>
    <xf numFmtId="0" fontId="19" fillId="25" borderId="41" xfId="0" applyFont="1" applyFill="1" applyBorder="1" applyAlignment="1">
      <alignment horizontal="left"/>
    </xf>
    <xf numFmtId="0" fontId="21" fillId="25" borderId="41" xfId="0" quotePrefix="1" applyFont="1" applyFill="1" applyBorder="1" applyAlignment="1">
      <alignment horizontal="center" vertical="center"/>
    </xf>
    <xf numFmtId="14" fontId="21" fillId="25" borderId="41" xfId="0" quotePrefix="1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vertical="center"/>
    </xf>
    <xf numFmtId="176" fontId="25" fillId="0" borderId="41" xfId="1" applyNumberFormat="1" applyFont="1" applyFill="1" applyBorder="1" applyAlignment="1">
      <alignment horizontal="center" vertical="center"/>
    </xf>
    <xf numFmtId="0" fontId="19" fillId="0" borderId="44" xfId="0" applyFont="1" applyFill="1" applyBorder="1" applyAlignment="1">
      <alignment vertical="center"/>
    </xf>
    <xf numFmtId="166" fontId="21" fillId="0" borderId="44" xfId="1" applyNumberFormat="1" applyFont="1" applyFill="1" applyBorder="1" applyAlignment="1">
      <alignment horizontal="center" vertical="center"/>
    </xf>
    <xf numFmtId="10" fontId="6" fillId="0" borderId="2" xfId="3" applyNumberFormat="1" applyFont="1" applyFill="1" applyBorder="1" applyAlignment="1">
      <alignment horizontal="right" vertical="center"/>
    </xf>
    <xf numFmtId="9" fontId="6" fillId="0" borderId="2" xfId="3" applyNumberFormat="1" applyFont="1" applyFill="1" applyBorder="1" applyAlignment="1">
      <alignment horizontal="right" vertical="center"/>
    </xf>
    <xf numFmtId="169" fontId="0" fillId="4" borderId="6" xfId="0" applyNumberFormat="1" applyFill="1" applyBorder="1" applyAlignment="1">
      <alignment horizontal="right" vertical="center"/>
    </xf>
    <xf numFmtId="169" fontId="2" fillId="4" borderId="4" xfId="0" applyNumberFormat="1" applyFont="1" applyFill="1" applyBorder="1" applyAlignment="1">
      <alignment horizontal="right" vertical="center"/>
    </xf>
    <xf numFmtId="169" fontId="0" fillId="4" borderId="8" xfId="0" applyNumberFormat="1" applyFill="1" applyBorder="1" applyAlignment="1">
      <alignment horizontal="right" vertical="center"/>
    </xf>
    <xf numFmtId="169" fontId="0" fillId="4" borderId="9" xfId="0" applyNumberFormat="1" applyFont="1" applyFill="1" applyBorder="1" applyAlignment="1">
      <alignment horizontal="right" vertical="center"/>
    </xf>
    <xf numFmtId="169" fontId="0" fillId="4" borderId="4" xfId="0" applyNumberFormat="1" applyFont="1" applyFill="1" applyBorder="1" applyAlignment="1">
      <alignment horizontal="right" vertical="center"/>
    </xf>
    <xf numFmtId="169" fontId="2" fillId="26" borderId="4" xfId="0" applyNumberFormat="1" applyFont="1" applyFill="1" applyBorder="1" applyAlignment="1">
      <alignment horizontal="right" vertical="center"/>
    </xf>
    <xf numFmtId="0" fontId="0" fillId="4" borderId="4" xfId="0" applyFont="1" applyFill="1" applyBorder="1" applyAlignment="1">
      <alignment horizontal="left" vertical="center" indent="1"/>
    </xf>
    <xf numFmtId="2" fontId="2" fillId="0" borderId="4" xfId="0" applyNumberFormat="1" applyFont="1" applyFill="1" applyBorder="1" applyAlignment="1">
      <alignment horizontal="right" vertical="center"/>
    </xf>
    <xf numFmtId="9" fontId="0" fillId="4" borderId="7" xfId="3" applyFont="1" applyFill="1" applyBorder="1"/>
    <xf numFmtId="0" fontId="21" fillId="25" borderId="40" xfId="0" applyFont="1" applyFill="1" applyBorder="1" applyAlignment="1">
      <alignment horizontal="center"/>
    </xf>
    <xf numFmtId="0" fontId="21" fillId="25" borderId="41" xfId="0" quotePrefix="1" applyFont="1" applyFill="1" applyBorder="1" applyAlignment="1">
      <alignment horizontal="center"/>
    </xf>
    <xf numFmtId="0" fontId="0" fillId="0" borderId="20" xfId="0" applyFont="1" applyBorder="1" applyAlignment="1">
      <alignment wrapText="1"/>
    </xf>
    <xf numFmtId="0" fontId="23" fillId="24" borderId="38" xfId="0" applyFont="1" applyFill="1" applyBorder="1" applyAlignment="1">
      <alignment horizontal="left"/>
    </xf>
    <xf numFmtId="0" fontId="23" fillId="24" borderId="39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4" fillId="0" borderId="42" xfId="0" applyFont="1" applyFill="1" applyBorder="1" applyAlignment="1">
      <alignment horizontal="center" vertical="center"/>
    </xf>
    <xf numFmtId="0" fontId="23" fillId="0" borderId="43" xfId="0" applyFont="1" applyFill="1" applyBorder="1" applyAlignment="1">
      <alignment horizontal="center" vertical="center"/>
    </xf>
    <xf numFmtId="0" fontId="23" fillId="0" borderId="4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165" fontId="5" fillId="3" borderId="36" xfId="0" applyNumberFormat="1" applyFont="1" applyFill="1" applyBorder="1" applyAlignment="1">
      <alignment horizontal="center" vertical="center" wrapText="1"/>
    </xf>
    <xf numFmtId="165" fontId="5" fillId="3" borderId="37" xfId="0" applyNumberFormat="1" applyFont="1" applyFill="1" applyBorder="1" applyAlignment="1">
      <alignment horizontal="center" vertical="center" wrapText="1"/>
    </xf>
    <xf numFmtId="165" fontId="5" fillId="3" borderId="33" xfId="0" applyNumberFormat="1" applyFont="1" applyFill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</cellXfs>
  <cellStyles count="208">
    <cellStyle name="20% - Accent1 2" xfId="16"/>
    <cellStyle name="20% - Accent1 2 2" xfId="17"/>
    <cellStyle name="20% - Accent1 3" xfId="18"/>
    <cellStyle name="20% - Accent1 3 2" xfId="19"/>
    <cellStyle name="20% - Accent1 4" xfId="20"/>
    <cellStyle name="20% - Accent1 5" xfId="21"/>
    <cellStyle name="20% - Accent2 2" xfId="22"/>
    <cellStyle name="20% - Accent2 2 2" xfId="23"/>
    <cellStyle name="20% - Accent2 3" xfId="24"/>
    <cellStyle name="20% - Accent2 3 2" xfId="25"/>
    <cellStyle name="20% - Accent2 4" xfId="26"/>
    <cellStyle name="20% - Accent2 5" xfId="27"/>
    <cellStyle name="20% - Accent3 2" xfId="28"/>
    <cellStyle name="20% - Accent3 2 2" xfId="29"/>
    <cellStyle name="20% - Accent3 3" xfId="30"/>
    <cellStyle name="20% - Accent3 3 2" xfId="31"/>
    <cellStyle name="20% - Accent3 4" xfId="32"/>
    <cellStyle name="20% - Accent3 5" xfId="33"/>
    <cellStyle name="20% - Accent4 2" xfId="34"/>
    <cellStyle name="20% - Accent4 2 2" xfId="35"/>
    <cellStyle name="20% - Accent4 3" xfId="36"/>
    <cellStyle name="20% - Accent4 3 2" xfId="37"/>
    <cellStyle name="20% - Accent4 4" xfId="38"/>
    <cellStyle name="20% - Accent4 5" xfId="39"/>
    <cellStyle name="20% - Accent5 2" xfId="40"/>
    <cellStyle name="20% - Accent5 2 2" xfId="41"/>
    <cellStyle name="20% - Accent5 3" xfId="42"/>
    <cellStyle name="20% - Accent5 3 2" xfId="43"/>
    <cellStyle name="20% - Accent5 4" xfId="44"/>
    <cellStyle name="20% - Accent5 5" xfId="45"/>
    <cellStyle name="20% - Accent6 2" xfId="46"/>
    <cellStyle name="20% - Accent6 2 2" xfId="47"/>
    <cellStyle name="20% - Accent6 3" xfId="48"/>
    <cellStyle name="20% - Accent6 3 2" xfId="49"/>
    <cellStyle name="20% - Accent6 4" xfId="50"/>
    <cellStyle name="20% - Accent6 5" xfId="51"/>
    <cellStyle name="40% - Accent1 2" xfId="52"/>
    <cellStyle name="40% - Accent1 2 2" xfId="53"/>
    <cellStyle name="40% - Accent1 3" xfId="54"/>
    <cellStyle name="40% - Accent1 3 2" xfId="55"/>
    <cellStyle name="40% - Accent1 4" xfId="56"/>
    <cellStyle name="40% - Accent1 5" xfId="57"/>
    <cellStyle name="40% - Accent2 2" xfId="58"/>
    <cellStyle name="40% - Accent2 2 2" xfId="59"/>
    <cellStyle name="40% - Accent2 3" xfId="60"/>
    <cellStyle name="40% - Accent2 3 2" xfId="61"/>
    <cellStyle name="40% - Accent2 4" xfId="62"/>
    <cellStyle name="40% - Accent2 5" xfId="63"/>
    <cellStyle name="40% - Accent3 2" xfId="64"/>
    <cellStyle name="40% - Accent3 2 2" xfId="65"/>
    <cellStyle name="40% - Accent3 3" xfId="66"/>
    <cellStyle name="40% - Accent3 3 2" xfId="67"/>
    <cellStyle name="40% - Accent3 4" xfId="68"/>
    <cellStyle name="40% - Accent3 5" xfId="69"/>
    <cellStyle name="40% - Accent4 2" xfId="70"/>
    <cellStyle name="40% - Accent4 2 2" xfId="71"/>
    <cellStyle name="40% - Accent4 3" xfId="72"/>
    <cellStyle name="40% - Accent4 3 2" xfId="73"/>
    <cellStyle name="40% - Accent4 4" xfId="74"/>
    <cellStyle name="40% - Accent4 5" xfId="75"/>
    <cellStyle name="40% - Accent5 2" xfId="76"/>
    <cellStyle name="40% - Accent5 2 2" xfId="77"/>
    <cellStyle name="40% - Accent5 3" xfId="78"/>
    <cellStyle name="40% - Accent5 3 2" xfId="79"/>
    <cellStyle name="40% - Accent5 4" xfId="80"/>
    <cellStyle name="40% - Accent5 5" xfId="81"/>
    <cellStyle name="40% - Accent6 2" xfId="82"/>
    <cellStyle name="40% - Accent6 2 2" xfId="83"/>
    <cellStyle name="40% - Accent6 3" xfId="84"/>
    <cellStyle name="40% - Accent6 3 2" xfId="85"/>
    <cellStyle name="40% - Accent6 4" xfId="86"/>
    <cellStyle name="40% - Accent6 5" xfId="87"/>
    <cellStyle name="caption" xfId="8"/>
    <cellStyle name="center" xfId="9"/>
    <cellStyle name="center 2" xfId="105"/>
    <cellStyle name="center 2 2" xfId="106"/>
    <cellStyle name="center 2 3" xfId="107"/>
    <cellStyle name="center 2 4" xfId="108"/>
    <cellStyle name="center 2 5" xfId="109"/>
    <cellStyle name="center 2 6" xfId="110"/>
    <cellStyle name="center 2 7" xfId="111"/>
    <cellStyle name="center 3" xfId="112"/>
    <cellStyle name="center 3 2" xfId="113"/>
    <cellStyle name="center 3 3" xfId="114"/>
    <cellStyle name="center 3 4" xfId="115"/>
    <cellStyle name="center 3 5" xfId="116"/>
    <cellStyle name="center 3 6" xfId="117"/>
    <cellStyle name="center 3 7" xfId="118"/>
    <cellStyle name="center 4" xfId="119"/>
    <cellStyle name="Comma" xfId="1" builtinId="3"/>
    <cellStyle name="Comma [0]" xfId="88" builtinId="6"/>
    <cellStyle name="Comma [0] 2" xfId="95"/>
    <cellStyle name="Comma 10" xfId="92"/>
    <cellStyle name="Comma 11" xfId="93"/>
    <cellStyle name="Comma 12" xfId="120"/>
    <cellStyle name="Comma 13" xfId="97"/>
    <cellStyle name="Comma 14" xfId="98"/>
    <cellStyle name="Comma 15" xfId="96"/>
    <cellStyle name="Comma 16" xfId="100"/>
    <cellStyle name="Comma 17" xfId="101"/>
    <cellStyle name="Comma 18" xfId="102"/>
    <cellStyle name="Comma 19" xfId="99"/>
    <cellStyle name="Comma 2" xfId="2"/>
    <cellStyle name="Comma 2 2" xfId="121"/>
    <cellStyle name="Comma 2 3" xfId="122"/>
    <cellStyle name="Comma 2 4" xfId="123"/>
    <cellStyle name="Comma 20" xfId="103"/>
    <cellStyle name="Comma 21" xfId="104"/>
    <cellStyle name="Comma 22" xfId="94"/>
    <cellStyle name="Comma 3" xfId="124"/>
    <cellStyle name="Comma 3 2" xfId="125"/>
    <cellStyle name="Comma 3 3" xfId="126"/>
    <cellStyle name="Comma 4" xfId="127"/>
    <cellStyle name="Comma 5" xfId="128"/>
    <cellStyle name="Comma 6" xfId="129"/>
    <cellStyle name="Comma 6 2" xfId="130"/>
    <cellStyle name="Comma 7" xfId="131"/>
    <cellStyle name="Comma 8" xfId="132"/>
    <cellStyle name="Comma 9" xfId="133"/>
    <cellStyle name="Currency" xfId="15" builtinId="4"/>
    <cellStyle name="Euro" xfId="183"/>
    <cellStyle name="Excel Built-in Normal" xfId="184"/>
    <cellStyle name="footer" xfId="10"/>
    <cellStyle name="header" xfId="11"/>
    <cellStyle name="header 2" xfId="134"/>
    <cellStyle name="header 2 2" xfId="135"/>
    <cellStyle name="header 2 3" xfId="136"/>
    <cellStyle name="header 2 4" xfId="137"/>
    <cellStyle name="header 2 5" xfId="138"/>
    <cellStyle name="header 2 6" xfId="139"/>
    <cellStyle name="header 2 7" xfId="140"/>
    <cellStyle name="header 3" xfId="141"/>
    <cellStyle name="header 3 2" xfId="142"/>
    <cellStyle name="header 3 3" xfId="143"/>
    <cellStyle name="header 3 4" xfId="144"/>
    <cellStyle name="header 3 5" xfId="145"/>
    <cellStyle name="header 3 6" xfId="146"/>
    <cellStyle name="header 3 7" xfId="147"/>
    <cellStyle name="header 4" xfId="148"/>
    <cellStyle name="left" xfId="12"/>
    <cellStyle name="left 2" xfId="149"/>
    <cellStyle name="left 2 2" xfId="150"/>
    <cellStyle name="left 2 3" xfId="151"/>
    <cellStyle name="left 2 4" xfId="152"/>
    <cellStyle name="left 2 5" xfId="153"/>
    <cellStyle name="left 2 6" xfId="154"/>
    <cellStyle name="left 2 7" xfId="155"/>
    <cellStyle name="left 3" xfId="156"/>
    <cellStyle name="left 3 2" xfId="157"/>
    <cellStyle name="left 3 3" xfId="158"/>
    <cellStyle name="left 3 4" xfId="159"/>
    <cellStyle name="left 3 5" xfId="160"/>
    <cellStyle name="left 3 6" xfId="161"/>
    <cellStyle name="left 3 7" xfId="162"/>
    <cellStyle name="left 4" xfId="163"/>
    <cellStyle name="Normal" xfId="0" builtinId="0"/>
    <cellStyle name="Normal 10" xfId="5"/>
    <cellStyle name="Normal 11_Tipper &amp; Fue_Stock Statement for Fuel and Tipper_Stock Statement for Fuel and Tipper_Stock Statement for Fuel and Tipper_Stock Statement for Fuel and Tipper_Stock Statement for Fuel and Tipper" xfId="185"/>
    <cellStyle name="Normal 12_Tipper &amp; Fue_Stock Statement for Fuel and Tipper_Stock Statement for Fuel and Tipper_Stock Statement for Fuel and Tipper_Stock Statement for Fuel and Tipper_Stock Statement for Fuel and Tipper" xfId="186"/>
    <cellStyle name="Normal 13_Tipper &amp; Fue_Stock Statement for Fuel and Tipper_Stock Statement for Fuel and Tipper_Stock Statement for Fuel and Tipper_Stock Statement for Fuel and Tipper_Stock Statement for Fuel and Tipper" xfId="187"/>
    <cellStyle name="Normal 14_Tipper &amp; Fue_Stock Statement for Fuel and Tipper_Stock Statement for Fuel and Tipper_Stock Statement for Fuel and Tipper_Stock Statement for Fuel and Tipper_Stock Statement for Fuel and Tipper" xfId="188"/>
    <cellStyle name="Normal 15_Tipper &amp; Fue_Stock Statement for Fuel and Tipper_Stock Statement for Fuel and Tipper_Stock Statement for Fuel and Tipper_Stock Statement for Fuel and Tipper_Stock Statement for Fuel and Tipper" xfId="189"/>
    <cellStyle name="Normal 17_Tipper &amp; Fue_Stock Statement for Fuel and Tipper_Stock Statement for Fuel and Tipper_Stock Statement for Fuel and Tipper_Stock Statement for Fuel and Tipper_Stock Statement for Fuel and Tipper" xfId="190"/>
    <cellStyle name="Normal 18_Tipper &amp; Fue_Stock Statement for Fuel and Tipper_Stock Statement for Fuel and Tipper_Stock Statement for Fuel and Tipper_Stock Statement for Fuel and Tipper_Stock Statement for Fuel and Tipper" xfId="191"/>
    <cellStyle name="Normal 19_Tipper &amp; Fue_Stock Statement for Fuel and Tipper_Stock Statement for Fuel and Tipper_Stock Statement for Fuel and Tipper_Stock Statement for Fuel and Tipper_Stock Statement for Fuel and Tipper" xfId="192"/>
    <cellStyle name="Normal 2" xfId="6"/>
    <cellStyle name="Normal 2 2" xfId="193"/>
    <cellStyle name="Normal 20_Tipper &amp; Fue_Stock Statement for Fuel and Tipper_Stock Statement for Fuel and Tipper_Stock Statement for Fuel and Tipper_Stock Statement for Fuel and Tipper_Stock Statement for Fuel and Tipper" xfId="194"/>
    <cellStyle name="Normal 21_Tipper &amp; Fue_Stock Statement for Fuel and Tipper_Stock Statement for Fuel and Tipper_Stock Statement for Fuel and Tipper_Stock Statement for Fuel and Tipper_Stock Statement for Fuel and Tipper" xfId="195"/>
    <cellStyle name="Normal 22_Tipper &amp; Fue_Stock Statement for Fuel and Tipper_Stock Statement for Fuel and Tipper_Stock Statement for Fuel and Tipper_Stock Statement for Fuel and Tipper_Stock Statement for Fuel and Tipper" xfId="196"/>
    <cellStyle name="Normal 23_Tipper &amp; Fue_Stock Statement for Fuel and Tipper_Stock Statement for Fuel and Tipper_Stock Statement for Fuel and Tipper_Stock Statement for Fuel and Tipper_Stock Statement for Fuel and Tipper" xfId="197"/>
    <cellStyle name="Normal 24_Tipper &amp; Fue_Stock Statement for Fuel and Tipper_Stock Statement for Fuel and Tipper_Stock Statement for Fuel and Tipper_Stock Statement for Fuel and Tipper_Stock Statement for Fuel and Tipper" xfId="198"/>
    <cellStyle name="Normal 25_Tipper &amp; Fue_Stock Statement for Fuel and Tipper_Stock Statement for Fuel and Tipper_Stock Statement for Fuel and Tipper_Stock Statement for Fuel and Tipper_Stock Statement for Fuel and Tipper" xfId="199"/>
    <cellStyle name="Normal 26_Tipper &amp; Fue_Stock Statement for Fuel and Tipper_Stock Statement for Fuel and Tipper_Stock Statement for Fuel and Tipper_Stock Statement for Fuel and Tipper_Stock Statement for Fuel and Tipper" xfId="200"/>
    <cellStyle name="Normal 27_Tipper &amp; Fue_Stock Statement for Fuel and Tipper_Stock Statement for Fuel and Tipper_Stock Statement for Fuel and Tipper_Stock Statement for Fuel and Tipper_Stock Statement for Fuel and Tipper" xfId="201"/>
    <cellStyle name="Normal 28_Tipper &amp; Fue_Stock Statement for Fuel and Tipper_Stock Statement for Fuel and Tipper_Stock Statement for Fuel and Tipper_Stock Statement for Fuel and Tipper_Stock Statement for Fuel and Tipper" xfId="202"/>
    <cellStyle name="Normal 29_Tipper &amp; Fue_Stock Statement for Fuel and Tipper_Stock Statement for Fuel and Tipper_Stock Statement for Fuel and Tipper_Stock Statement for Fuel and Tipper_Stock Statement for Fuel and Tipper" xfId="203"/>
    <cellStyle name="Normal 3" xfId="4"/>
    <cellStyle name="Normal 3 2" xfId="91"/>
    <cellStyle name="Normal 4" xfId="164"/>
    <cellStyle name="Normal 5" xfId="89"/>
    <cellStyle name="Normal 5 2" xfId="204"/>
    <cellStyle name="Normal 6" xfId="90"/>
    <cellStyle name="Normal 7_Tipper &amp; Fue_Stock Statement for Fuel and Tipper_Stock Statement for Fuel and Tipper_Stock Statement for Fuel and Tipper_Stock Statement for Fuel and Tipper_Stock Statement for Fuel and Tipper" xfId="205"/>
    <cellStyle name="Normal 8_Tipper &amp; Fue_Stock Statement for Fuel and Tipper_Stock Statement for Fuel and Tipper_Stock Statement for Fuel and Tipper_Stock Statement for Fuel and Tipper_Stock Statement for Fuel and Tipper" xfId="206"/>
    <cellStyle name="Normal 9_Tipper &amp; Fue_Stock Statement for Fuel and Tipper_Stock Statement for Fuel and Tipper_Stock Statement for Fuel and Tipper_Stock Statement for Fuel and Tipper_Stock Statement for Fuel and Tipper" xfId="207"/>
    <cellStyle name="Percent" xfId="3" builtinId="5"/>
    <cellStyle name="Percent 2" xfId="7"/>
    <cellStyle name="Percent 3" xfId="165"/>
    <cellStyle name="Percent 3 2" xfId="166"/>
    <cellStyle name="Percent 4" xfId="167"/>
    <cellStyle name="wrap" xfId="13"/>
    <cellStyle name="wrap 2" xfId="168"/>
    <cellStyle name="wrap 2 2" xfId="169"/>
    <cellStyle name="wrap 2 3" xfId="170"/>
    <cellStyle name="wrap 2 4" xfId="171"/>
    <cellStyle name="wrap 2 5" xfId="172"/>
    <cellStyle name="wrap 2 6" xfId="173"/>
    <cellStyle name="wrap 2 7" xfId="174"/>
    <cellStyle name="wrap 3" xfId="175"/>
    <cellStyle name="wrap 3 2" xfId="176"/>
    <cellStyle name="wrap 3 3" xfId="177"/>
    <cellStyle name="wrap 3 4" xfId="178"/>
    <cellStyle name="wrap 3 5" xfId="179"/>
    <cellStyle name="wrap 3 6" xfId="180"/>
    <cellStyle name="wrap 3 7" xfId="181"/>
    <cellStyle name="wrap 4" xfId="182"/>
    <cellStyle name="常规 2" xfId="14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1238255</xdr:colOff>
      <xdr:row>1</xdr:row>
      <xdr:rowOff>23813</xdr:rowOff>
    </xdr:from>
    <xdr:to>
      <xdr:col>7</xdr:col>
      <xdr:colOff>728667</xdr:colOff>
      <xdr:row>2</xdr:row>
      <xdr:rowOff>23813</xdr:rowOff>
    </xdr:to>
    <xdr:sp macro="" textlink="">
      <xdr:nvSpPr>
        <xdr:cNvPr id="4" name="Rounded Rectangle 3"/>
        <xdr:cNvSpPr/>
      </xdr:nvSpPr>
      <xdr:spPr>
        <a:xfrm>
          <a:off x="9870286" y="214313"/>
          <a:ext cx="1371600" cy="190500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OUTPUT SPACE</a:t>
          </a:r>
        </a:p>
      </xdr:txBody>
    </xdr:sp>
    <xdr:clientData/>
  </xdr:twoCellAnchor>
  <xdr:twoCellAnchor>
    <xdr:from>
      <xdr:col>0</xdr:col>
      <xdr:colOff>245271</xdr:colOff>
      <xdr:row>1</xdr:row>
      <xdr:rowOff>69058</xdr:rowOff>
    </xdr:from>
    <xdr:to>
      <xdr:col>4</xdr:col>
      <xdr:colOff>416719</xdr:colOff>
      <xdr:row>23</xdr:row>
      <xdr:rowOff>59531</xdr:rowOff>
    </xdr:to>
    <xdr:sp macro="" textlink="">
      <xdr:nvSpPr>
        <xdr:cNvPr id="5" name="Frame 4"/>
        <xdr:cNvSpPr/>
      </xdr:nvSpPr>
      <xdr:spPr>
        <a:xfrm>
          <a:off x="245271" y="259558"/>
          <a:ext cx="7684292" cy="8753473"/>
        </a:xfrm>
        <a:prstGeom prst="frame">
          <a:avLst>
            <a:gd name="adj1" fmla="val 1632"/>
          </a:avLst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2247908</xdr:colOff>
      <xdr:row>1</xdr:row>
      <xdr:rowOff>33337</xdr:rowOff>
    </xdr:from>
    <xdr:to>
      <xdr:col>2</xdr:col>
      <xdr:colOff>1190634</xdr:colOff>
      <xdr:row>2</xdr:row>
      <xdr:rowOff>35719</xdr:rowOff>
    </xdr:to>
    <xdr:sp macro="" textlink="">
      <xdr:nvSpPr>
        <xdr:cNvPr id="6" name="Rounded Rectangle 5"/>
        <xdr:cNvSpPr/>
      </xdr:nvSpPr>
      <xdr:spPr>
        <a:xfrm>
          <a:off x="2855127" y="223837"/>
          <a:ext cx="1300163" cy="192882"/>
        </a:xfrm>
        <a:prstGeom prst="roundRect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INPUT SPACE</a:t>
          </a:r>
        </a:p>
      </xdr:txBody>
    </xdr:sp>
    <xdr:clientData/>
  </xdr:twoCellAnchor>
  <xdr:twoCellAnchor editAs="oneCell">
    <xdr:from>
      <xdr:col>3</xdr:col>
      <xdr:colOff>304800</xdr:colOff>
      <xdr:row>4</xdr:row>
      <xdr:rowOff>38100</xdr:rowOff>
    </xdr:from>
    <xdr:to>
      <xdr:col>3</xdr:col>
      <xdr:colOff>1590675</xdr:colOff>
      <xdr:row>11</xdr:row>
      <xdr:rowOff>167033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800100"/>
          <a:ext cx="1285875" cy="1462433"/>
        </a:xfrm>
        <a:prstGeom prst="rect">
          <a:avLst/>
        </a:prstGeom>
      </xdr:spPr>
    </xdr:pic>
    <xdr:clientData/>
  </xdr:twoCellAnchor>
  <xdr:twoCellAnchor>
    <xdr:from>
      <xdr:col>5</xdr:col>
      <xdr:colOff>259558</xdr:colOff>
      <xdr:row>1</xdr:row>
      <xdr:rowOff>47625</xdr:rowOff>
    </xdr:from>
    <xdr:to>
      <xdr:col>9</xdr:col>
      <xdr:colOff>369095</xdr:colOff>
      <xdr:row>23</xdr:row>
      <xdr:rowOff>16935</xdr:rowOff>
    </xdr:to>
    <xdr:sp macro="" textlink="">
      <xdr:nvSpPr>
        <xdr:cNvPr id="12" name="Frame 11"/>
        <xdr:cNvSpPr/>
      </xdr:nvSpPr>
      <xdr:spPr>
        <a:xfrm>
          <a:off x="7098508" y="238125"/>
          <a:ext cx="4443412" cy="5112810"/>
        </a:xfrm>
        <a:prstGeom prst="frame">
          <a:avLst>
            <a:gd name="adj1" fmla="val 312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1238255</xdr:colOff>
      <xdr:row>1</xdr:row>
      <xdr:rowOff>23813</xdr:rowOff>
    </xdr:from>
    <xdr:to>
      <xdr:col>7</xdr:col>
      <xdr:colOff>728667</xdr:colOff>
      <xdr:row>2</xdr:row>
      <xdr:rowOff>23813</xdr:rowOff>
    </xdr:to>
    <xdr:sp macro="" textlink="">
      <xdr:nvSpPr>
        <xdr:cNvPr id="13" name="Rounded Rectangle 12"/>
        <xdr:cNvSpPr/>
      </xdr:nvSpPr>
      <xdr:spPr>
        <a:xfrm>
          <a:off x="8686805" y="214313"/>
          <a:ext cx="1557337" cy="190500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OUTPUT SPACE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33</xdr:row>
      <xdr:rowOff>66676</xdr:rowOff>
    </xdr:from>
    <xdr:to>
      <xdr:col>3</xdr:col>
      <xdr:colOff>361950</xdr:colOff>
      <xdr:row>43</xdr:row>
      <xdr:rowOff>118790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105401"/>
          <a:ext cx="4152900" cy="1957114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48</xdr:row>
      <xdr:rowOff>152400</xdr:rowOff>
    </xdr:from>
    <xdr:to>
      <xdr:col>16</xdr:col>
      <xdr:colOff>438994</xdr:colOff>
      <xdr:row>89</xdr:row>
      <xdr:rowOff>86806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8048625"/>
          <a:ext cx="6049219" cy="7744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160018</xdr:rowOff>
    </xdr:from>
    <xdr:to>
      <xdr:col>5</xdr:col>
      <xdr:colOff>828675</xdr:colOff>
      <xdr:row>83</xdr:row>
      <xdr:rowOff>161862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104743"/>
          <a:ext cx="5210175" cy="285934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78</xdr:row>
      <xdr:rowOff>133350</xdr:rowOff>
    </xdr:from>
    <xdr:to>
      <xdr:col>5</xdr:col>
      <xdr:colOff>1028701</xdr:colOff>
      <xdr:row>92</xdr:row>
      <xdr:rowOff>83794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6983075"/>
          <a:ext cx="5410200" cy="261744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48</xdr:row>
      <xdr:rowOff>152400</xdr:rowOff>
    </xdr:from>
    <xdr:to>
      <xdr:col>7</xdr:col>
      <xdr:colOff>686788</xdr:colOff>
      <xdr:row>52</xdr:row>
      <xdr:rowOff>104875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" y="8048625"/>
          <a:ext cx="7078063" cy="7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52</xdr:row>
      <xdr:rowOff>38100</xdr:rowOff>
    </xdr:from>
    <xdr:to>
      <xdr:col>7</xdr:col>
      <xdr:colOff>667728</xdr:colOff>
      <xdr:row>55</xdr:row>
      <xdr:rowOff>104864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8696325"/>
          <a:ext cx="7011378" cy="638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Master\110307%20Data%20&amp;%20Tools_0307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Senthil%20Nathan\Desktop\WORKING%20DATA%20OF%20SENTHIL\Utilities\Clean%20sheet%20costing\110307%20Data%20&amp;%20Tool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nthil%20Nathan\Desktop\WORKING%20DATA%20OF%20SENTHIL\Utilities\Clean%20sheet%20costing\110307%20Data%20&amp;%20Tool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usumilli%20Swathi\AppData\Roaming\Microsoft\Excel\120605%20Data%20&amp;%20Tools%20(version%20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jith.ale\Desktop\Casting%20template%20by%20n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Back up RM"/>
      <sheetName val="Sheet1"/>
      <sheetName val="Machinery"/>
      <sheetName val="INPUT - OUTPUT"/>
    </sheetNames>
    <sheetDataSet>
      <sheetData sheetId="0"/>
      <sheetData sheetId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Sheet1"/>
      <sheetName val="Back up RM"/>
    </sheetNames>
    <sheetDataSet>
      <sheetData sheetId="0"/>
      <sheetData sheetId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>
        <row r="4">
          <cell r="Y4">
            <v>0</v>
          </cell>
        </row>
        <row r="6">
          <cell r="E6" t="str">
            <v>St60</v>
          </cell>
        </row>
        <row r="8">
          <cell r="E8" t="str">
            <v>DIN EN 1.0330</v>
          </cell>
        </row>
        <row r="9">
          <cell r="E9" t="str">
            <v>DIN EN 1.0330</v>
          </cell>
        </row>
        <row r="10">
          <cell r="E10" t="str">
            <v>DIN EN 1.0347</v>
          </cell>
        </row>
        <row r="11">
          <cell r="E11" t="str">
            <v>DIN EN 1.0338</v>
          </cell>
        </row>
        <row r="12">
          <cell r="E12" t="str">
            <v>DIN EN 1.0312</v>
          </cell>
        </row>
        <row r="13">
          <cell r="E13" t="str">
            <v>DIN EN 1.0873</v>
          </cell>
        </row>
        <row r="14">
          <cell r="E14" t="str">
            <v>DIN EN 1.4016</v>
          </cell>
        </row>
        <row r="16">
          <cell r="E16" t="str">
            <v>DIN EN 1.4301</v>
          </cell>
        </row>
        <row r="18">
          <cell r="E18" t="str">
            <v>DIN EN 1.4401</v>
          </cell>
        </row>
        <row r="20">
          <cell r="E20" t="str">
            <v>DIN EN 1.4404</v>
          </cell>
        </row>
        <row r="22">
          <cell r="E22" t="str">
            <v>DIN EN 1.4466</v>
          </cell>
        </row>
        <row r="24">
          <cell r="E24" t="str">
            <v>DIN EN 1.4509</v>
          </cell>
        </row>
        <row r="26">
          <cell r="E26" t="str">
            <v>DIN EN 1.4510</v>
          </cell>
        </row>
        <row r="28">
          <cell r="E28" t="str">
            <v>DIN EN 1.4512</v>
          </cell>
        </row>
        <row r="30">
          <cell r="E30" t="str">
            <v>DIN EN 1.4513</v>
          </cell>
        </row>
        <row r="32">
          <cell r="E32" t="str">
            <v>DIN EN 1.4521</v>
          </cell>
        </row>
        <row r="34">
          <cell r="E34" t="str">
            <v xml:space="preserve">DIN EN 1.4526 </v>
          </cell>
        </row>
        <row r="36">
          <cell r="E36" t="str">
            <v>DIN EN 1.4828</v>
          </cell>
        </row>
        <row r="39">
          <cell r="E39" t="str">
            <v>Al 99.5</v>
          </cell>
        </row>
        <row r="40">
          <cell r="E40" t="str">
            <v>AlCu4Mg1</v>
          </cell>
        </row>
        <row r="41">
          <cell r="E41" t="str">
            <v>AC-AlSi9Cu3(Fe)</v>
          </cell>
        </row>
        <row r="42">
          <cell r="E42" t="str">
            <v>AlSi1MgMn</v>
          </cell>
        </row>
        <row r="49">
          <cell r="E49" t="str">
            <v>CuSn15</v>
          </cell>
        </row>
        <row r="50">
          <cell r="E50" t="str">
            <v>CuZn37</v>
          </cell>
        </row>
        <row r="51">
          <cell r="E51" t="str">
            <v>3.7065</v>
          </cell>
        </row>
        <row r="52">
          <cell r="E52" t="str">
            <v>3.0725</v>
          </cell>
        </row>
        <row r="54">
          <cell r="D54" t="str">
            <v>ABS</v>
          </cell>
        </row>
        <row r="55">
          <cell r="D55" t="str">
            <v>ABS+ASA+PMMA</v>
          </cell>
        </row>
        <row r="56">
          <cell r="D56" t="str">
            <v>ABS+PA</v>
          </cell>
        </row>
        <row r="57">
          <cell r="D57" t="str">
            <v>ABS+PBT</v>
          </cell>
        </row>
        <row r="58">
          <cell r="D58" t="str">
            <v>ABS+PC</v>
          </cell>
        </row>
        <row r="59">
          <cell r="D59" t="str">
            <v>ABS+PMMA</v>
          </cell>
        </row>
        <row r="60">
          <cell r="D60" t="str">
            <v>Acrylic, Unspecified</v>
          </cell>
        </row>
        <row r="61">
          <cell r="D61" t="str">
            <v>AES</v>
          </cell>
        </row>
        <row r="62">
          <cell r="D62" t="str">
            <v>ASA</v>
          </cell>
        </row>
        <row r="63">
          <cell r="D63" t="str">
            <v>ASA+AMSAN</v>
          </cell>
        </row>
        <row r="64">
          <cell r="D64" t="str">
            <v>ASA+PC</v>
          </cell>
        </row>
        <row r="65">
          <cell r="D65" t="str">
            <v>CA</v>
          </cell>
        </row>
        <row r="66">
          <cell r="D66" t="str">
            <v>Copolyester</v>
          </cell>
        </row>
        <row r="67">
          <cell r="D67" t="str">
            <v>CPVC</v>
          </cell>
        </row>
        <row r="68">
          <cell r="D68" t="str">
            <v>ECTFE</v>
          </cell>
        </row>
        <row r="69">
          <cell r="D69" t="str">
            <v>EPDM</v>
          </cell>
        </row>
        <row r="70">
          <cell r="D70" t="str">
            <v>EPM</v>
          </cell>
        </row>
        <row r="71">
          <cell r="D71" t="str">
            <v>ETFE</v>
          </cell>
        </row>
        <row r="72">
          <cell r="D72" t="str">
            <v>ETPU</v>
          </cell>
        </row>
        <row r="73">
          <cell r="D73" t="str">
            <v>EVA</v>
          </cell>
        </row>
        <row r="74">
          <cell r="D74" t="str">
            <v>EVOH</v>
          </cell>
        </row>
        <row r="75">
          <cell r="D75" t="str">
            <v>FEP</v>
          </cell>
        </row>
        <row r="76">
          <cell r="D76" t="str">
            <v>Glass/PP</v>
          </cell>
        </row>
        <row r="77">
          <cell r="D77" t="str">
            <v>HDPE</v>
          </cell>
        </row>
        <row r="78">
          <cell r="D78" t="str">
            <v>HDPE, HMW</v>
          </cell>
        </row>
        <row r="79">
          <cell r="D79" t="str">
            <v>HDPE, MMW</v>
          </cell>
        </row>
        <row r="80">
          <cell r="D80" t="str">
            <v>HMWPE</v>
          </cell>
        </row>
        <row r="81">
          <cell r="D81" t="str">
            <v>Ionomer</v>
          </cell>
        </row>
        <row r="82">
          <cell r="D82" t="str">
            <v>IR</v>
          </cell>
        </row>
        <row r="83">
          <cell r="D83" t="str">
            <v>LCP</v>
          </cell>
        </row>
        <row r="84">
          <cell r="D84" t="str">
            <v>LCP+PPS</v>
          </cell>
        </row>
        <row r="85">
          <cell r="D85" t="str">
            <v>LDPE</v>
          </cell>
        </row>
        <row r="86">
          <cell r="D86" t="str">
            <v>LDPE+HDPE</v>
          </cell>
        </row>
        <row r="87">
          <cell r="D87" t="str">
            <v>LLDPE</v>
          </cell>
        </row>
        <row r="88">
          <cell r="D88" t="str">
            <v>MABS</v>
          </cell>
        </row>
        <row r="89">
          <cell r="D89" t="str">
            <v>MDPE</v>
          </cell>
        </row>
        <row r="90">
          <cell r="D90" t="str">
            <v>MMS</v>
          </cell>
        </row>
        <row r="91">
          <cell r="D91" t="str">
            <v>NBR</v>
          </cell>
        </row>
        <row r="92">
          <cell r="D92" t="str">
            <v>PA 11</v>
          </cell>
        </row>
        <row r="93">
          <cell r="D93" t="str">
            <v>PA 12</v>
          </cell>
        </row>
        <row r="94">
          <cell r="D94" t="str">
            <v>PA 46</v>
          </cell>
        </row>
        <row r="95">
          <cell r="D95" t="str">
            <v>PA 6</v>
          </cell>
        </row>
        <row r="96">
          <cell r="D96" t="str">
            <v>PA 6 Alloy</v>
          </cell>
        </row>
        <row r="97">
          <cell r="D97" t="str">
            <v>PA 6/3T</v>
          </cell>
        </row>
        <row r="98">
          <cell r="D98" t="str">
            <v>PA 6/6T</v>
          </cell>
        </row>
        <row r="99">
          <cell r="D99" t="str">
            <v>PA 6+ABS</v>
          </cell>
        </row>
        <row r="100">
          <cell r="D100" t="str">
            <v>PA 6+PP</v>
          </cell>
        </row>
        <row r="101">
          <cell r="D101" t="str">
            <v>PA 610</v>
          </cell>
        </row>
        <row r="102">
          <cell r="D102" t="str">
            <v>PA 612</v>
          </cell>
        </row>
        <row r="103">
          <cell r="D103" t="str">
            <v>PA 66</v>
          </cell>
        </row>
        <row r="104">
          <cell r="D104" t="str">
            <v>PA 66 Alloy</v>
          </cell>
        </row>
        <row r="105">
          <cell r="D105" t="str">
            <v>PA 66/6</v>
          </cell>
        </row>
        <row r="106">
          <cell r="D106" t="str">
            <v>PA MXD6</v>
          </cell>
        </row>
        <row r="107">
          <cell r="D107" t="str">
            <v>PA, Unspecified</v>
          </cell>
        </row>
        <row r="108">
          <cell r="D108" t="str">
            <v>PA+PPO</v>
          </cell>
        </row>
        <row r="109">
          <cell r="D109" t="str">
            <v>PAI</v>
          </cell>
        </row>
        <row r="110">
          <cell r="D110" t="str">
            <v>PAMXD6</v>
          </cell>
        </row>
        <row r="111">
          <cell r="D111" t="str">
            <v>PAS</v>
          </cell>
        </row>
        <row r="112">
          <cell r="D112" t="str">
            <v>PB</v>
          </cell>
        </row>
        <row r="113">
          <cell r="D113" t="str">
            <v>PBT</v>
          </cell>
        </row>
        <row r="114">
          <cell r="D114" t="str">
            <v>PBT Alloy</v>
          </cell>
        </row>
        <row r="115">
          <cell r="D115" t="str">
            <v>PBT+ASA</v>
          </cell>
        </row>
        <row r="116">
          <cell r="D116" t="str">
            <v>PBT+PET</v>
          </cell>
        </row>
        <row r="117">
          <cell r="D117" t="str">
            <v>PC</v>
          </cell>
        </row>
        <row r="118">
          <cell r="D118" t="str">
            <v>PC</v>
          </cell>
        </row>
        <row r="119">
          <cell r="D119" t="str">
            <v>PC+PBT</v>
          </cell>
        </row>
        <row r="120">
          <cell r="D120" t="str">
            <v>PC+PE</v>
          </cell>
        </row>
        <row r="121">
          <cell r="D121" t="str">
            <v>PC+PET</v>
          </cell>
        </row>
        <row r="122">
          <cell r="D122" t="str">
            <v>PCT</v>
          </cell>
        </row>
        <row r="123">
          <cell r="D123" t="str">
            <v>PCTA</v>
          </cell>
        </row>
        <row r="124">
          <cell r="D124" t="str">
            <v>PCTFE</v>
          </cell>
        </row>
        <row r="125">
          <cell r="D125" t="str">
            <v>PE Alloy</v>
          </cell>
        </row>
        <row r="126">
          <cell r="D126" t="str">
            <v>PE Homopolymer</v>
          </cell>
        </row>
        <row r="127">
          <cell r="D127" t="str">
            <v>PE, TP</v>
          </cell>
        </row>
        <row r="128">
          <cell r="D128" t="str">
            <v>PE, Unspecified</v>
          </cell>
        </row>
        <row r="129">
          <cell r="D129" t="str">
            <v>PEBA-Ester</v>
          </cell>
        </row>
        <row r="130">
          <cell r="D130" t="str">
            <v>PEEK</v>
          </cell>
        </row>
        <row r="131">
          <cell r="D131" t="str">
            <v>PEEK-GF</v>
          </cell>
        </row>
        <row r="132">
          <cell r="D132" t="str">
            <v>PE-HD</v>
          </cell>
        </row>
        <row r="133">
          <cell r="D133" t="str">
            <v>PEI</v>
          </cell>
        </row>
        <row r="134">
          <cell r="D134" t="str">
            <v>PEI+PC</v>
          </cell>
        </row>
        <row r="135">
          <cell r="D135" t="str">
            <v>PE-LD</v>
          </cell>
        </row>
        <row r="136">
          <cell r="D136" t="str">
            <v>PEN</v>
          </cell>
        </row>
        <row r="137">
          <cell r="D137" t="str">
            <v>PES</v>
          </cell>
        </row>
        <row r="138">
          <cell r="D138" t="str">
            <v>PET</v>
          </cell>
        </row>
        <row r="139">
          <cell r="D139" t="str">
            <v>PET</v>
          </cell>
        </row>
        <row r="140">
          <cell r="D140" t="str">
            <v>PETG</v>
          </cell>
        </row>
        <row r="141">
          <cell r="D141" t="str">
            <v>PEX</v>
          </cell>
        </row>
        <row r="142">
          <cell r="D142" t="str">
            <v>PFA</v>
          </cell>
        </row>
        <row r="143">
          <cell r="D143" t="str">
            <v>PLA</v>
          </cell>
        </row>
        <row r="144">
          <cell r="D144" t="str">
            <v>Plastomer</v>
          </cell>
        </row>
        <row r="145">
          <cell r="D145" t="str">
            <v>PMMA</v>
          </cell>
        </row>
        <row r="146">
          <cell r="D146" t="str">
            <v>PMMA+PVC</v>
          </cell>
        </row>
        <row r="147">
          <cell r="D147" t="str">
            <v>PMMI</v>
          </cell>
        </row>
        <row r="148">
          <cell r="D148" t="str">
            <v>PMP</v>
          </cell>
        </row>
        <row r="149">
          <cell r="D149" t="str">
            <v>Polyarylate</v>
          </cell>
        </row>
        <row r="150">
          <cell r="D150" t="str">
            <v>Polyolefin, Unspecified</v>
          </cell>
        </row>
        <row r="151">
          <cell r="D151" t="str">
            <v>Polystyren</v>
          </cell>
        </row>
        <row r="152">
          <cell r="D152" t="str">
            <v>Polystyrol</v>
          </cell>
        </row>
        <row r="153">
          <cell r="D153" t="str">
            <v>POM</v>
          </cell>
        </row>
        <row r="154">
          <cell r="D154" t="str">
            <v>POM Copolymer</v>
          </cell>
        </row>
        <row r="155">
          <cell r="D155" t="str">
            <v>POM Copolymer Alloy</v>
          </cell>
        </row>
        <row r="156">
          <cell r="D156" t="str">
            <v>POM Copolymer+PE</v>
          </cell>
        </row>
        <row r="157">
          <cell r="D157" t="str">
            <v>POM Homopolymer</v>
          </cell>
        </row>
        <row r="158">
          <cell r="D158" t="str">
            <v>PP</v>
          </cell>
        </row>
        <row r="159">
          <cell r="D159" t="str">
            <v>PP Alloy</v>
          </cell>
        </row>
        <row r="160">
          <cell r="D160" t="str">
            <v>PP Block Copolymer</v>
          </cell>
        </row>
        <row r="161">
          <cell r="D161" t="str">
            <v>PP Copolymer</v>
          </cell>
        </row>
        <row r="162">
          <cell r="D162" t="str">
            <v>PP Homopolymer</v>
          </cell>
        </row>
        <row r="163">
          <cell r="D163" t="str">
            <v>PP Impact Copolymer</v>
          </cell>
        </row>
        <row r="164">
          <cell r="D164" t="str">
            <v>PP, Unspecified</v>
          </cell>
        </row>
        <row r="165">
          <cell r="D165" t="str">
            <v>PP+EPDM</v>
          </cell>
        </row>
        <row r="166">
          <cell r="D166" t="str">
            <v>PPA</v>
          </cell>
        </row>
        <row r="167">
          <cell r="D167" t="str">
            <v>PPE</v>
          </cell>
        </row>
        <row r="168">
          <cell r="D168" t="str">
            <v>PPE+PA 66</v>
          </cell>
        </row>
        <row r="169">
          <cell r="D169" t="str">
            <v>PPE+PS</v>
          </cell>
        </row>
        <row r="170">
          <cell r="D170" t="str">
            <v>PPE+PS+PA</v>
          </cell>
        </row>
        <row r="171">
          <cell r="D171" t="str">
            <v>PPE+PS+PBT</v>
          </cell>
        </row>
        <row r="172">
          <cell r="D172" t="str">
            <v>PPO</v>
          </cell>
        </row>
        <row r="173">
          <cell r="D173" t="str">
            <v>PPO+HIPS</v>
          </cell>
        </row>
        <row r="174">
          <cell r="D174" t="str">
            <v>PPS</v>
          </cell>
        </row>
        <row r="175">
          <cell r="D175" t="str">
            <v>PPS+PA</v>
          </cell>
        </row>
        <row r="176">
          <cell r="D176" t="str">
            <v>PPSU</v>
          </cell>
        </row>
        <row r="177">
          <cell r="D177" t="str">
            <v>Proprietary</v>
          </cell>
        </row>
        <row r="178">
          <cell r="D178" t="str">
            <v>PS (EPS)</v>
          </cell>
        </row>
        <row r="179">
          <cell r="D179" t="str">
            <v>PS (GPPS)</v>
          </cell>
        </row>
        <row r="180">
          <cell r="D180" t="str">
            <v>PS (HIPS)</v>
          </cell>
        </row>
        <row r="181">
          <cell r="D181" t="str">
            <v>PS (IRPS)</v>
          </cell>
        </row>
        <row r="182">
          <cell r="D182" t="str">
            <v>PS (MIPS)</v>
          </cell>
        </row>
        <row r="183">
          <cell r="D183" t="str">
            <v>PS (Specialty)</v>
          </cell>
        </row>
        <row r="184">
          <cell r="D184" t="str">
            <v>PS Alloy</v>
          </cell>
        </row>
        <row r="185">
          <cell r="D185" t="str">
            <v>PSU</v>
          </cell>
        </row>
        <row r="186">
          <cell r="D186" t="str">
            <v>PTFE</v>
          </cell>
        </row>
        <row r="187">
          <cell r="D187" t="str">
            <v>PUR, Unspecified</v>
          </cell>
        </row>
        <row r="188">
          <cell r="D188" t="str">
            <v>PUR-Ester</v>
          </cell>
        </row>
        <row r="189">
          <cell r="D189" t="str">
            <v>PUR-Ether</v>
          </cell>
        </row>
        <row r="190">
          <cell r="D190" t="str">
            <v>PVC Elastomer</v>
          </cell>
        </row>
        <row r="191">
          <cell r="D191" t="str">
            <v>PVC Flexible</v>
          </cell>
        </row>
        <row r="192">
          <cell r="D192" t="str">
            <v>PVC Homopolymer</v>
          </cell>
        </row>
        <row r="193">
          <cell r="D193" t="str">
            <v>PVC, Rigid</v>
          </cell>
        </row>
        <row r="194">
          <cell r="D194" t="str">
            <v>PVC, Semi-Rigid</v>
          </cell>
        </row>
        <row r="195">
          <cell r="D195" t="str">
            <v>PVC, Unspecified</v>
          </cell>
        </row>
        <row r="196">
          <cell r="D196" t="str">
            <v>PVC+PE</v>
          </cell>
        </row>
        <row r="197">
          <cell r="D197" t="str">
            <v>PVDF</v>
          </cell>
        </row>
        <row r="198">
          <cell r="D198" t="str">
            <v>SAN</v>
          </cell>
        </row>
        <row r="199">
          <cell r="D199" t="str">
            <v>SBC</v>
          </cell>
        </row>
        <row r="200">
          <cell r="D200" t="str">
            <v>SBS</v>
          </cell>
        </row>
        <row r="201">
          <cell r="D201" t="str">
            <v>SEBS</v>
          </cell>
        </row>
        <row r="202">
          <cell r="D202" t="str">
            <v>SEPS</v>
          </cell>
        </row>
        <row r="203">
          <cell r="D203" t="str">
            <v>SIS</v>
          </cell>
        </row>
        <row r="204">
          <cell r="D204" t="str">
            <v>SMA</v>
          </cell>
        </row>
        <row r="205">
          <cell r="D205" t="str">
            <v>SPS</v>
          </cell>
        </row>
        <row r="206">
          <cell r="D206" t="str">
            <v>TEEE</v>
          </cell>
        </row>
        <row r="207">
          <cell r="D207" t="str">
            <v>TPC-ET</v>
          </cell>
        </row>
        <row r="208">
          <cell r="D208" t="str">
            <v>TPE</v>
          </cell>
        </row>
        <row r="209">
          <cell r="D209" t="str">
            <v>TPEE</v>
          </cell>
        </row>
        <row r="210">
          <cell r="D210" t="str">
            <v>TPO (POE)</v>
          </cell>
        </row>
        <row r="211">
          <cell r="D211" t="str">
            <v>TPU, Unspecified</v>
          </cell>
        </row>
        <row r="212">
          <cell r="D212" t="str">
            <v>TPU-Ester/Ether</v>
          </cell>
        </row>
        <row r="213">
          <cell r="D213" t="str">
            <v>TPU-PE</v>
          </cell>
        </row>
        <row r="214">
          <cell r="D214" t="str">
            <v>TPU-Polyether</v>
          </cell>
        </row>
        <row r="215">
          <cell r="D215" t="str">
            <v>TPV</v>
          </cell>
        </row>
        <row r="216">
          <cell r="D216" t="str">
            <v>UHMWPE</v>
          </cell>
        </row>
        <row r="217">
          <cell r="D217" t="str">
            <v>Unspecified</v>
          </cell>
        </row>
        <row r="218">
          <cell r="D218" t="str">
            <v>UP</v>
          </cell>
        </row>
        <row r="219">
          <cell r="D219" t="str">
            <v>UP</v>
          </cell>
        </row>
        <row r="220">
          <cell r="D220" t="str">
            <v>UP</v>
          </cell>
        </row>
        <row r="221">
          <cell r="D221" t="str">
            <v>UP-GF</v>
          </cell>
        </row>
        <row r="222">
          <cell r="D222" t="str">
            <v>UP-GF</v>
          </cell>
        </row>
        <row r="223">
          <cell r="D223" t="str">
            <v>UP-GF</v>
          </cell>
        </row>
        <row r="224">
          <cell r="D224" t="str">
            <v>UP-GF</v>
          </cell>
        </row>
        <row r="225">
          <cell r="D225" t="str">
            <v>XLPE</v>
          </cell>
        </row>
        <row r="226">
          <cell r="D226" t="str">
            <v>GF Füllung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Sheet1"/>
      <sheetName val="Machinery"/>
      <sheetName val="Sheet2"/>
    </sheetNames>
    <sheetDataSet>
      <sheetData sheetId="0"/>
      <sheetData sheetId="1">
        <row r="14">
          <cell r="H14">
            <v>12.706</v>
          </cell>
        </row>
      </sheetData>
      <sheetData sheetId="2">
        <row r="47">
          <cell r="G47">
            <v>20</v>
          </cell>
          <cell r="H47">
            <v>100</v>
          </cell>
        </row>
        <row r="51">
          <cell r="G51">
            <v>38550</v>
          </cell>
          <cell r="H51">
            <v>6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showGridLines="0" tabSelected="1" zoomScaleNormal="100" workbookViewId="0">
      <selection activeCell="G28" sqref="G28"/>
    </sheetView>
  </sheetViews>
  <sheetFormatPr defaultColWidth="0" defaultRowHeight="15" zeroHeight="1" x14ac:dyDescent="0.25"/>
  <cols>
    <col min="1" max="1" width="9.140625" customWidth="1"/>
    <col min="2" max="2" width="35.28515625" customWidth="1"/>
    <col min="3" max="3" width="23.85546875" bestFit="1" customWidth="1"/>
    <col min="4" max="4" width="27.5703125" customWidth="1"/>
    <col min="5" max="6" width="9.140625" customWidth="1"/>
    <col min="7" max="7" width="31" bestFit="1" customWidth="1"/>
    <col min="8" max="8" width="11.5703125" customWidth="1"/>
    <col min="9" max="9" width="13.28515625" customWidth="1"/>
    <col min="10" max="11" width="9.140625" customWidth="1"/>
    <col min="12" max="16384" width="9.140625" hidden="1"/>
  </cols>
  <sheetData>
    <row r="1" spans="1:9" x14ac:dyDescent="0.25">
      <c r="A1" t="s">
        <v>34</v>
      </c>
    </row>
    <row r="2" spans="1:9" x14ac:dyDescent="0.25"/>
    <row r="3" spans="1:9" x14ac:dyDescent="0.25">
      <c r="H3" s="25"/>
      <c r="I3" s="25"/>
    </row>
    <row r="4" spans="1:9" x14ac:dyDescent="0.25">
      <c r="B4" s="255" t="s">
        <v>15</v>
      </c>
      <c r="C4" s="256"/>
      <c r="D4" s="256"/>
      <c r="G4" s="13" t="s">
        <v>14</v>
      </c>
      <c r="H4" s="26" t="s">
        <v>11</v>
      </c>
      <c r="I4" s="26" t="s">
        <v>12</v>
      </c>
    </row>
    <row r="5" spans="1:9" ht="15" customHeight="1" x14ac:dyDescent="0.25">
      <c r="B5" s="233" t="s">
        <v>3</v>
      </c>
      <c r="C5" s="253" t="s">
        <v>511</v>
      </c>
      <c r="D5" s="260"/>
      <c r="G5" s="12" t="s">
        <v>10</v>
      </c>
      <c r="H5" s="243">
        <f ca="1">MATERIAL!Z11</f>
        <v>143.85505813027819</v>
      </c>
      <c r="I5" s="27"/>
    </row>
    <row r="6" spans="1:9" x14ac:dyDescent="0.25">
      <c r="B6" s="234" t="s">
        <v>6</v>
      </c>
      <c r="C6" s="252" t="s">
        <v>512</v>
      </c>
      <c r="D6" s="261"/>
      <c r="G6" s="14" t="s">
        <v>9</v>
      </c>
      <c r="H6" s="243">
        <f>MATERIAL!Z12</f>
        <v>0</v>
      </c>
      <c r="I6" s="28"/>
    </row>
    <row r="7" spans="1:9" x14ac:dyDescent="0.25">
      <c r="B7" s="234" t="s">
        <v>505</v>
      </c>
      <c r="C7" s="235" t="s">
        <v>513</v>
      </c>
      <c r="D7" s="261"/>
      <c r="G7" s="11" t="s">
        <v>5</v>
      </c>
      <c r="H7" s="244">
        <f ca="1">SUM(H5:H6)</f>
        <v>143.85505813027819</v>
      </c>
      <c r="I7" s="29"/>
    </row>
    <row r="8" spans="1:9" x14ac:dyDescent="0.25">
      <c r="B8" s="234" t="s">
        <v>506</v>
      </c>
      <c r="C8" s="235" t="s">
        <v>480</v>
      </c>
      <c r="D8" s="261"/>
      <c r="G8" s="11" t="s">
        <v>517</v>
      </c>
      <c r="H8" s="245">
        <f>PROCESS!O2</f>
        <v>92.865526436411088</v>
      </c>
      <c r="I8" s="29"/>
    </row>
    <row r="9" spans="1:9" x14ac:dyDescent="0.25">
      <c r="B9" s="234" t="s">
        <v>507</v>
      </c>
      <c r="C9" s="236" t="s">
        <v>510</v>
      </c>
      <c r="D9" s="261"/>
      <c r="G9" s="15" t="s">
        <v>474</v>
      </c>
      <c r="H9" s="246">
        <f ca="1">H7*C14</f>
        <v>3.2367388079312591</v>
      </c>
      <c r="I9" s="30"/>
    </row>
    <row r="10" spans="1:9" x14ac:dyDescent="0.25">
      <c r="B10" s="237" t="s">
        <v>508</v>
      </c>
      <c r="C10" s="238">
        <v>44652</v>
      </c>
      <c r="D10" s="261"/>
      <c r="E10" s="8"/>
      <c r="G10" s="15" t="s">
        <v>476</v>
      </c>
      <c r="H10" s="246">
        <f ca="1">C15*H7</f>
        <v>0.71927529065139095</v>
      </c>
      <c r="I10" s="30"/>
    </row>
    <row r="11" spans="1:9" x14ac:dyDescent="0.25">
      <c r="B11" s="237" t="s">
        <v>509</v>
      </c>
      <c r="C11" s="238">
        <v>43466</v>
      </c>
      <c r="D11" s="261"/>
      <c r="E11" s="8"/>
      <c r="G11" s="15" t="s">
        <v>476</v>
      </c>
      <c r="H11" s="246">
        <f>C16*H8</f>
        <v>0.92865526436411094</v>
      </c>
      <c r="I11" s="30"/>
    </row>
    <row r="12" spans="1:9" x14ac:dyDescent="0.25">
      <c r="B12" s="239"/>
      <c r="C12" s="240"/>
      <c r="D12" s="262"/>
      <c r="E12" s="8"/>
      <c r="G12" s="15" t="s">
        <v>515</v>
      </c>
      <c r="H12" s="246">
        <f>C17*H8</f>
        <v>1.8573105287282219</v>
      </c>
      <c r="I12" s="30"/>
    </row>
    <row r="13" spans="1:9" x14ac:dyDescent="0.25">
      <c r="B13" s="257" t="s">
        <v>16</v>
      </c>
      <c r="C13" s="258"/>
      <c r="D13" s="259"/>
      <c r="E13" s="8"/>
      <c r="G13" s="15" t="s">
        <v>475</v>
      </c>
      <c r="H13" s="246">
        <f>C18*H8</f>
        <v>13.929828965461663</v>
      </c>
      <c r="I13" s="30"/>
    </row>
    <row r="14" spans="1:9" x14ac:dyDescent="0.25">
      <c r="B14" s="52" t="s">
        <v>474</v>
      </c>
      <c r="C14" s="241">
        <v>2.2499999999999999E-2</v>
      </c>
      <c r="D14" s="51" t="s">
        <v>42</v>
      </c>
      <c r="E14" s="8"/>
      <c r="G14" s="15" t="s">
        <v>0</v>
      </c>
      <c r="H14" s="247">
        <f ca="1">(H7+H8)*C19</f>
        <v>18.937646765335145</v>
      </c>
      <c r="I14" s="30"/>
    </row>
    <row r="15" spans="1:9" x14ac:dyDescent="0.25">
      <c r="B15" s="52" t="s">
        <v>476</v>
      </c>
      <c r="C15" s="70">
        <v>5.0000000000000001E-3</v>
      </c>
      <c r="D15" s="51" t="s">
        <v>42</v>
      </c>
      <c r="E15" s="8"/>
      <c r="G15" s="11" t="s">
        <v>518</v>
      </c>
      <c r="H15" s="244">
        <f ca="1">SUM(H9:H14)</f>
        <v>39.609455622471792</v>
      </c>
      <c r="I15" s="30"/>
    </row>
    <row r="16" spans="1:9" x14ac:dyDescent="0.25">
      <c r="B16" s="52" t="s">
        <v>476</v>
      </c>
      <c r="C16" s="242">
        <v>0.01</v>
      </c>
      <c r="D16" s="51" t="s">
        <v>514</v>
      </c>
      <c r="E16" s="8"/>
      <c r="G16" s="11" t="s">
        <v>94</v>
      </c>
      <c r="H16" s="248">
        <f ca="1">SUM(H8:H14)+H7</f>
        <v>276.33004018916108</v>
      </c>
      <c r="I16" s="30">
        <f ca="1">H16/H17</f>
        <v>706.72644549657559</v>
      </c>
    </row>
    <row r="17" spans="1:9" x14ac:dyDescent="0.25">
      <c r="B17" s="52" t="s">
        <v>515</v>
      </c>
      <c r="C17" s="242">
        <v>0.02</v>
      </c>
      <c r="D17" s="51" t="s">
        <v>514</v>
      </c>
      <c r="E17" s="8"/>
      <c r="G17" s="249" t="s">
        <v>519</v>
      </c>
      <c r="H17" s="250">
        <f>MATERIAL!K16</f>
        <v>0.39100000000000001</v>
      </c>
      <c r="I17" s="30"/>
    </row>
    <row r="18" spans="1:9" x14ac:dyDescent="0.25">
      <c r="B18" s="52" t="s">
        <v>475</v>
      </c>
      <c r="C18" s="242">
        <f>IF(C8="A",15%,IF(C8="B",12%,10%))</f>
        <v>0.15</v>
      </c>
      <c r="D18" s="51" t="s">
        <v>514</v>
      </c>
      <c r="E18" s="8"/>
      <c r="G18" s="11"/>
      <c r="H18" s="192"/>
      <c r="I18" s="30"/>
    </row>
    <row r="19" spans="1:9" x14ac:dyDescent="0.25">
      <c r="B19" s="52" t="s">
        <v>0</v>
      </c>
      <c r="C19" s="242">
        <f>IF(C8="A",8%,IF(C8="B",6%,5%))</f>
        <v>0.08</v>
      </c>
      <c r="D19" s="51" t="s">
        <v>516</v>
      </c>
      <c r="E19" s="8"/>
      <c r="G19" s="10" t="s">
        <v>8</v>
      </c>
      <c r="H19" s="263" t="s">
        <v>2</v>
      </c>
      <c r="I19" s="263"/>
    </row>
    <row r="20" spans="1:9" x14ac:dyDescent="0.25">
      <c r="B20" s="50"/>
      <c r="C20" s="54"/>
      <c r="D20" s="50"/>
      <c r="E20" s="8"/>
      <c r="G20" s="17" t="s">
        <v>7</v>
      </c>
      <c r="H20" s="22">
        <f ca="1">H7/H16</f>
        <v>0.5205914566212293</v>
      </c>
      <c r="I20" s="20"/>
    </row>
    <row r="21" spans="1:9" x14ac:dyDescent="0.25">
      <c r="E21" s="8"/>
      <c r="G21" s="18" t="s">
        <v>520</v>
      </c>
      <c r="H21" s="23">
        <f ca="1">H8/H16</f>
        <v>0.3360674299936417</v>
      </c>
      <c r="I21" s="21"/>
    </row>
    <row r="22" spans="1:9" x14ac:dyDescent="0.25">
      <c r="E22" s="8"/>
      <c r="G22" s="19" t="s">
        <v>521</v>
      </c>
      <c r="H22" s="251">
        <f ca="1">H15/H16</f>
        <v>0.143341113385129</v>
      </c>
      <c r="I22" s="21"/>
    </row>
    <row r="23" spans="1:9" x14ac:dyDescent="0.25">
      <c r="G23" s="55"/>
    </row>
    <row r="24" spans="1:9" x14ac:dyDescent="0.25">
      <c r="G24" s="55"/>
    </row>
    <row r="25" spans="1:9" x14ac:dyDescent="0.25"/>
    <row r="26" spans="1:9" x14ac:dyDescent="0.25">
      <c r="A26" s="16"/>
    </row>
    <row r="27" spans="1:9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hidden="1" x14ac:dyDescent="0.25"/>
    <row r="67" hidden="1" x14ac:dyDescent="0.25"/>
    <row r="68" hidden="1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hidden="1" x14ac:dyDescent="0.25"/>
    <row r="84" hidden="1" x14ac:dyDescent="0.25"/>
    <row r="85" hidden="1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hidden="1" x14ac:dyDescent="0.25"/>
    <row r="113" hidden="1" x14ac:dyDescent="0.25"/>
    <row r="114" hidden="1" x14ac:dyDescent="0.25"/>
  </sheetData>
  <mergeCells count="4">
    <mergeCell ref="B4:D4"/>
    <mergeCell ref="B13:D13"/>
    <mergeCell ref="D5:D12"/>
    <mergeCell ref="H19:I19"/>
  </mergeCells>
  <conditionalFormatting sqref="C8:C9">
    <cfRule type="containsBlanks" dxfId="1" priority="1">
      <formula>LEN(TRIM(C8))=0</formula>
    </cfRule>
  </conditionalFormatting>
  <conditionalFormatting sqref="D5:D12">
    <cfRule type="notContainsBlanks" dxfId="0" priority="2">
      <formula>LEN(TRIM(D5))&gt;0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8"/>
  <sheetViews>
    <sheetView showGridLines="0" topLeftCell="A11" zoomScale="90" zoomScaleNormal="90" workbookViewId="0">
      <selection activeCell="E35" sqref="E35"/>
    </sheetView>
  </sheetViews>
  <sheetFormatPr defaultColWidth="9.140625" defaultRowHeight="15" x14ac:dyDescent="0.25"/>
  <cols>
    <col min="1" max="1" width="3.7109375" style="24" customWidth="1"/>
    <col min="2" max="2" width="19.42578125" style="34" customWidth="1"/>
    <col min="3" max="3" width="25.85546875" style="34" customWidth="1"/>
    <col min="4" max="4" width="9.42578125" style="34" customWidth="1"/>
    <col min="5" max="5" width="5.7109375" style="34" customWidth="1"/>
    <col min="6" max="6" width="15" style="34" customWidth="1"/>
    <col min="7" max="7" width="14.5703125" style="24" customWidth="1"/>
    <col min="8" max="8" width="8.140625" style="24" customWidth="1"/>
    <col min="9" max="10" width="7.28515625" style="24" customWidth="1"/>
    <col min="11" max="14" width="11.7109375" style="34" customWidth="1"/>
    <col min="15" max="15" width="9.7109375" style="34" customWidth="1"/>
    <col min="16" max="17" width="11.7109375" style="34" customWidth="1"/>
    <col min="18" max="20" width="9.7109375" style="34" customWidth="1"/>
    <col min="21" max="21" width="11.7109375" style="34" customWidth="1"/>
    <col min="22" max="23" width="9.7109375" style="34" customWidth="1"/>
    <col min="24" max="24" width="10.5703125" style="34" customWidth="1"/>
    <col min="25" max="25" width="10" style="24" bestFit="1" customWidth="1"/>
    <col min="26" max="26" width="11.5703125" style="24" bestFit="1" customWidth="1"/>
    <col min="27" max="16384" width="9.140625" style="24"/>
  </cols>
  <sheetData>
    <row r="1" spans="1:33" hidden="1" x14ac:dyDescent="0.25"/>
    <row r="2" spans="1:33" hidden="1" x14ac:dyDescent="0.25"/>
    <row r="3" spans="1:33" hidden="1" x14ac:dyDescent="0.25"/>
    <row r="4" spans="1:33" hidden="1" x14ac:dyDescent="0.25"/>
    <row r="5" spans="1:33" hidden="1" x14ac:dyDescent="0.25"/>
    <row r="6" spans="1:33" hidden="1" x14ac:dyDescent="0.25"/>
    <row r="7" spans="1:33" hidden="1" x14ac:dyDescent="0.25"/>
    <row r="8" spans="1:33" hidden="1" x14ac:dyDescent="0.25"/>
    <row r="9" spans="1:33" hidden="1" x14ac:dyDescent="0.25"/>
    <row r="10" spans="1:33" hidden="1" x14ac:dyDescent="0.25"/>
    <row r="11" spans="1:33" ht="18.75" x14ac:dyDescent="0.3">
      <c r="A11" s="32" t="s">
        <v>36</v>
      </c>
      <c r="B11" s="35"/>
      <c r="C11" s="35"/>
      <c r="D11" s="35"/>
      <c r="G11" s="24" t="s">
        <v>477</v>
      </c>
      <c r="Q11" s="34" t="s">
        <v>468</v>
      </c>
      <c r="R11" s="34">
        <v>5</v>
      </c>
      <c r="S11" s="34" t="s">
        <v>469</v>
      </c>
      <c r="Y11" s="34" t="s">
        <v>42</v>
      </c>
      <c r="Z11" s="63">
        <f ca="1">SUMIF($D$14:$D$1048576,$Y11,$Z$14:$Z$81)</f>
        <v>143.85505813027819</v>
      </c>
      <c r="AA11" s="31"/>
      <c r="AD11" s="40"/>
      <c r="AE11" s="34"/>
      <c r="AF11" s="42"/>
    </row>
    <row r="12" spans="1:33" ht="15.75" x14ac:dyDescent="0.25">
      <c r="K12" s="34" t="s">
        <v>465</v>
      </c>
      <c r="M12" s="34" t="s">
        <v>462</v>
      </c>
      <c r="N12" s="34" t="s">
        <v>466</v>
      </c>
      <c r="P12" s="34" t="s">
        <v>463</v>
      </c>
      <c r="T12" s="34" t="s">
        <v>471</v>
      </c>
      <c r="W12" s="34" t="s">
        <v>462</v>
      </c>
      <c r="X12" s="34" t="s">
        <v>470</v>
      </c>
      <c r="Y12" s="34" t="s">
        <v>43</v>
      </c>
      <c r="Z12" s="85">
        <f>Z15</f>
        <v>0</v>
      </c>
      <c r="AB12" s="24">
        <f>SUM(AB14:AB1048576)</f>
        <v>113.39</v>
      </c>
      <c r="AC12" s="24">
        <f>SUM(AC14:AC1048576)</f>
        <v>30.465058130278194</v>
      </c>
      <c r="AE12" s="34"/>
      <c r="AF12" s="42"/>
      <c r="AG12" s="41"/>
    </row>
    <row r="13" spans="1:33" s="36" customFormat="1" ht="60" x14ac:dyDescent="0.25">
      <c r="A13" s="71" t="s">
        <v>37</v>
      </c>
      <c r="B13" s="72" t="s">
        <v>38</v>
      </c>
      <c r="C13" s="72" t="s">
        <v>45</v>
      </c>
      <c r="D13" s="72" t="s">
        <v>62</v>
      </c>
      <c r="E13" s="72" t="s">
        <v>33</v>
      </c>
      <c r="F13" s="72" t="s">
        <v>39</v>
      </c>
      <c r="G13" s="71" t="s">
        <v>78</v>
      </c>
      <c r="H13" s="71" t="s">
        <v>96</v>
      </c>
      <c r="I13" s="71" t="s">
        <v>97</v>
      </c>
      <c r="J13" s="71" t="s">
        <v>86</v>
      </c>
      <c r="K13" s="72" t="s">
        <v>63</v>
      </c>
      <c r="L13" s="72" t="s">
        <v>461</v>
      </c>
      <c r="M13" s="72" t="s">
        <v>479</v>
      </c>
      <c r="N13" s="72" t="s">
        <v>464</v>
      </c>
      <c r="O13" s="72" t="s">
        <v>478</v>
      </c>
      <c r="P13" s="72" t="s">
        <v>65</v>
      </c>
      <c r="Q13" s="72" t="s">
        <v>467</v>
      </c>
      <c r="R13" s="72" t="s">
        <v>49</v>
      </c>
      <c r="S13" s="72" t="s">
        <v>64</v>
      </c>
      <c r="T13" s="72" t="s">
        <v>47</v>
      </c>
      <c r="U13" s="72" t="s">
        <v>48</v>
      </c>
      <c r="V13" s="72" t="s">
        <v>50</v>
      </c>
      <c r="W13" s="72" t="s">
        <v>454</v>
      </c>
      <c r="X13" s="72" t="s">
        <v>500</v>
      </c>
      <c r="Y13" s="71" t="s">
        <v>40</v>
      </c>
      <c r="Z13" s="71" t="s">
        <v>41</v>
      </c>
      <c r="AA13" s="71" t="s">
        <v>44</v>
      </c>
      <c r="AB13" s="37" t="s">
        <v>408</v>
      </c>
      <c r="AC13" s="36" t="s">
        <v>409</v>
      </c>
      <c r="AE13" s="34"/>
      <c r="AF13" s="43"/>
      <c r="AG13" s="44"/>
    </row>
    <row r="14" spans="1:33" x14ac:dyDescent="0.25">
      <c r="A14" s="73">
        <v>1</v>
      </c>
      <c r="B14" s="220" t="s">
        <v>511</v>
      </c>
      <c r="C14" s="220" t="s">
        <v>512</v>
      </c>
      <c r="D14" s="254" t="s">
        <v>42</v>
      </c>
      <c r="E14" s="74">
        <v>1</v>
      </c>
      <c r="F14" s="74" t="s">
        <v>522</v>
      </c>
      <c r="G14" s="75">
        <f>VLOOKUP(F14,'RM database'!A:B,2,0)</f>
        <v>290</v>
      </c>
      <c r="H14" s="75"/>
      <c r="I14" s="75"/>
      <c r="J14" s="76"/>
      <c r="K14" s="76">
        <v>0.39100000000000001</v>
      </c>
      <c r="L14" s="76">
        <f>C38</f>
        <v>0.1638521865</v>
      </c>
      <c r="M14" s="76">
        <f>K14+L14</f>
        <v>0.55485218650000001</v>
      </c>
      <c r="N14" s="223">
        <f>M14*10%</f>
        <v>5.5485218650000001E-2</v>
      </c>
      <c r="O14" s="225">
        <f>N14+M14</f>
        <v>0.61033740515000001</v>
      </c>
      <c r="P14" s="77">
        <v>0.08</v>
      </c>
      <c r="Q14" s="82">
        <f>O14*P14*(G14)</f>
        <v>14.15982779948</v>
      </c>
      <c r="R14" s="82">
        <f>O14*G14+Q14</f>
        <v>191.15767529298</v>
      </c>
      <c r="S14" s="79">
        <f>O14-K14</f>
        <v>0.21933740515</v>
      </c>
      <c r="T14" s="80">
        <f>G14</f>
        <v>290</v>
      </c>
      <c r="U14" s="81">
        <v>0.8</v>
      </c>
      <c r="V14" s="82">
        <f>U14*S14*T14</f>
        <v>50.886277994800004</v>
      </c>
      <c r="W14" s="222">
        <f>C20</f>
        <v>0.39328594200000005</v>
      </c>
      <c r="X14" s="82">
        <f>E29</f>
        <v>3.5836608320982011</v>
      </c>
      <c r="Y14" s="83">
        <f>R14+X14-V14</f>
        <v>143.85505813027819</v>
      </c>
      <c r="Z14" s="84">
        <f>Y14*E14</f>
        <v>143.85505813027819</v>
      </c>
      <c r="AA14" s="65"/>
      <c r="AB14" s="24">
        <f>K14*G14</f>
        <v>113.39</v>
      </c>
      <c r="AC14" s="31">
        <f>Z14-AB14</f>
        <v>30.465058130278194</v>
      </c>
    </row>
    <row r="15" spans="1:33" x14ac:dyDescent="0.25">
      <c r="A15" s="73"/>
      <c r="B15" s="74"/>
      <c r="C15" s="74"/>
      <c r="D15" s="74"/>
      <c r="E15" s="74"/>
      <c r="F15" s="74"/>
      <c r="G15" s="75"/>
      <c r="H15" s="75"/>
      <c r="I15" s="75"/>
      <c r="J15" s="76"/>
      <c r="K15" s="76"/>
      <c r="L15" s="76"/>
      <c r="M15" s="76"/>
      <c r="N15" s="76"/>
      <c r="O15" s="78"/>
      <c r="P15" s="77"/>
      <c r="Q15" s="77"/>
      <c r="R15" s="82"/>
      <c r="S15" s="79"/>
      <c r="T15" s="80"/>
      <c r="U15" s="81"/>
      <c r="V15" s="82"/>
      <c r="W15" s="82"/>
      <c r="X15" s="82"/>
      <c r="Y15" s="83"/>
      <c r="Z15" s="84"/>
      <c r="AA15" s="65"/>
      <c r="AB15" s="31"/>
      <c r="AC15" s="31"/>
    </row>
    <row r="16" spans="1:33" x14ac:dyDescent="0.25">
      <c r="A16" s="46"/>
      <c r="G16" s="47"/>
      <c r="H16" s="47"/>
      <c r="I16" s="47"/>
      <c r="J16" s="47"/>
      <c r="K16" s="45">
        <f>SUM(K14:K15)</f>
        <v>0.39100000000000001</v>
      </c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8"/>
      <c r="W16" s="45"/>
      <c r="X16" s="45"/>
      <c r="Y16" s="39"/>
      <c r="Z16" s="49"/>
    </row>
    <row r="17" spans="2:6" x14ac:dyDescent="0.25">
      <c r="B17" s="228" t="s">
        <v>485</v>
      </c>
      <c r="C17" s="226"/>
      <c r="D17" s="226"/>
      <c r="E17" s="42"/>
      <c r="F17" s="42"/>
    </row>
    <row r="18" spans="2:6" x14ac:dyDescent="0.25">
      <c r="B18" s="226" t="s">
        <v>486</v>
      </c>
      <c r="C18" s="226">
        <f>3.14/4*47^2*120/10^9</f>
        <v>2.0808780000000003E-4</v>
      </c>
      <c r="D18" s="226" t="s">
        <v>487</v>
      </c>
    </row>
    <row r="19" spans="2:6" x14ac:dyDescent="0.25">
      <c r="B19" s="226" t="s">
        <v>488</v>
      </c>
      <c r="C19" s="226">
        <v>1800</v>
      </c>
      <c r="D19" s="226" t="s">
        <v>489</v>
      </c>
    </row>
    <row r="20" spans="2:6" x14ac:dyDescent="0.25">
      <c r="B20" s="226" t="s">
        <v>490</v>
      </c>
      <c r="C20" s="226">
        <f>C18*C19*1.05</f>
        <v>0.39328594200000005</v>
      </c>
      <c r="D20" s="226" t="s">
        <v>489</v>
      </c>
    </row>
    <row r="23" spans="2:6" x14ac:dyDescent="0.25">
      <c r="B23" s="65"/>
      <c r="C23" s="65" t="s">
        <v>491</v>
      </c>
      <c r="D23" s="65" t="s">
        <v>492</v>
      </c>
      <c r="E23" s="65" t="s">
        <v>493</v>
      </c>
    </row>
    <row r="24" spans="2:6" x14ac:dyDescent="0.25">
      <c r="B24" s="65" t="s">
        <v>494</v>
      </c>
      <c r="C24" s="229">
        <f>100%-C25-C26-C27</f>
        <v>0.97299999999999998</v>
      </c>
      <c r="D24" s="65">
        <v>5.7</v>
      </c>
      <c r="E24" s="227">
        <f>C24*D24*$C$20</f>
        <v>2.1812031629262005</v>
      </c>
    </row>
    <row r="25" spans="2:6" x14ac:dyDescent="0.25">
      <c r="B25" s="65" t="s">
        <v>495</v>
      </c>
      <c r="C25" s="65">
        <f>1.1%</f>
        <v>1.1000000000000001E-2</v>
      </c>
      <c r="D25" s="65">
        <v>73</v>
      </c>
      <c r="E25" s="227">
        <f t="shared" ref="E25:E28" si="0">C25*D25*$C$20</f>
        <v>0.31580861142600009</v>
      </c>
    </row>
    <row r="26" spans="2:6" x14ac:dyDescent="0.25">
      <c r="B26" s="65" t="s">
        <v>496</v>
      </c>
      <c r="C26" s="65">
        <f>1.1%</f>
        <v>1.1000000000000001E-2</v>
      </c>
      <c r="D26" s="65">
        <v>145</v>
      </c>
      <c r="E26" s="227">
        <f t="shared" si="0"/>
        <v>0.62729107749000013</v>
      </c>
    </row>
    <row r="27" spans="2:6" x14ac:dyDescent="0.25">
      <c r="B27" s="65" t="s">
        <v>497</v>
      </c>
      <c r="C27" s="65">
        <f>0.5%</f>
        <v>5.0000000000000001E-3</v>
      </c>
      <c r="D27" s="65">
        <v>140</v>
      </c>
      <c r="E27" s="227">
        <f t="shared" si="0"/>
        <v>0.27530015940000008</v>
      </c>
    </row>
    <row r="28" spans="2:6" x14ac:dyDescent="0.25">
      <c r="B28" s="65" t="s">
        <v>498</v>
      </c>
      <c r="C28" s="65">
        <f>1.8%</f>
        <v>1.8000000000000002E-2</v>
      </c>
      <c r="D28" s="65">
        <v>26</v>
      </c>
      <c r="E28" s="227">
        <f t="shared" si="0"/>
        <v>0.18405782085600006</v>
      </c>
    </row>
    <row r="29" spans="2:6" x14ac:dyDescent="0.25">
      <c r="B29" s="230" t="s">
        <v>499</v>
      </c>
      <c r="C29" s="65"/>
      <c r="D29" s="65"/>
      <c r="E29" s="231">
        <f>SUM(E24:E28)</f>
        <v>3.5836608320982011</v>
      </c>
    </row>
    <row r="31" spans="2:6" x14ac:dyDescent="0.25">
      <c r="B31" s="35" t="s">
        <v>523</v>
      </c>
    </row>
    <row r="33" spans="2:4" x14ac:dyDescent="0.25">
      <c r="B33" s="34" t="s">
        <v>525</v>
      </c>
      <c r="C33" s="34">
        <f>3.14*55*75*2*2700/10^9</f>
        <v>6.994350000000002E-2</v>
      </c>
      <c r="D33" s="34" t="s">
        <v>524</v>
      </c>
    </row>
    <row r="34" spans="2:4" x14ac:dyDescent="0.25">
      <c r="B34" s="34" t="s">
        <v>526</v>
      </c>
      <c r="C34" s="34">
        <f>3.14/4*55^2*2*2700/10^9*2</f>
        <v>2.5645950000000001E-2</v>
      </c>
      <c r="D34" s="34" t="s">
        <v>524</v>
      </c>
    </row>
    <row r="35" spans="2:4" x14ac:dyDescent="0.25">
      <c r="B35" s="34" t="s">
        <v>527</v>
      </c>
      <c r="C35" s="34">
        <f>3.14/4*23^2*43*2700/10^9</f>
        <v>4.8212266500000003E-2</v>
      </c>
      <c r="D35" s="34" t="s">
        <v>524</v>
      </c>
    </row>
    <row r="36" spans="2:4" x14ac:dyDescent="0.25">
      <c r="B36" s="34" t="s">
        <v>528</v>
      </c>
      <c r="C36" s="34">
        <f>3.14/4*15^2*12*2700/10^9</f>
        <v>5.7226500000000001E-3</v>
      </c>
      <c r="D36" s="34" t="s">
        <v>524</v>
      </c>
    </row>
    <row r="37" spans="2:4" x14ac:dyDescent="0.25">
      <c r="B37" s="34" t="s">
        <v>529</v>
      </c>
      <c r="C37" s="34">
        <f>3.14/4*13^2*40*2700/10^9</f>
        <v>1.4327819999999998E-2</v>
      </c>
      <c r="D37" s="34" t="s">
        <v>524</v>
      </c>
    </row>
    <row r="38" spans="2:4" x14ac:dyDescent="0.25">
      <c r="C38" s="34">
        <f>SUM(C33:C37)</f>
        <v>0.1638521865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42"/>
  <sheetViews>
    <sheetView showGridLines="0" zoomScaleNormal="100" workbookViewId="0">
      <pane xSplit="4" ySplit="4" topLeftCell="E5" activePane="bottomRight" state="frozen"/>
      <selection activeCell="G24" sqref="G24"/>
      <selection pane="topRight" activeCell="G24" sqref="G24"/>
      <selection pane="bottomLeft" activeCell="G24" sqref="G24"/>
      <selection pane="bottomRight" activeCell="L24" sqref="L24"/>
    </sheetView>
  </sheetViews>
  <sheetFormatPr defaultColWidth="0" defaultRowHeight="15" zeroHeight="1" x14ac:dyDescent="0.25"/>
  <cols>
    <col min="1" max="1" width="5.42578125" style="3" customWidth="1"/>
    <col min="2" max="2" width="13.85546875" style="9" customWidth="1"/>
    <col min="3" max="3" width="38.5703125" style="1" bestFit="1" customWidth="1"/>
    <col min="4" max="4" width="6" style="3" customWidth="1"/>
    <col min="5" max="5" width="1.85546875" style="4" customWidth="1"/>
    <col min="6" max="6" width="17.5703125" style="1" customWidth="1"/>
    <col min="7" max="9" width="13" style="1" customWidth="1"/>
    <col min="10" max="10" width="12.140625" style="179" bestFit="1" customWidth="1"/>
    <col min="11" max="12" width="7.7109375" style="179" customWidth="1"/>
    <col min="13" max="13" width="9.85546875" style="179" customWidth="1"/>
    <col min="14" max="14" width="10" style="180" bestFit="1" customWidth="1"/>
    <col min="15" max="15" width="12.42578125" style="3" customWidth="1"/>
    <col min="16" max="16" width="11.7109375" style="4" customWidth="1"/>
    <col min="17" max="17" width="9.28515625" style="3" customWidth="1"/>
    <col min="18" max="18" width="9.140625" style="1" customWidth="1"/>
    <col min="19" max="40" width="0" style="1" hidden="1" customWidth="1"/>
    <col min="41" max="16384" width="9.140625" style="1" hidden="1"/>
  </cols>
  <sheetData>
    <row r="1" spans="1:17" ht="21" x14ac:dyDescent="0.25">
      <c r="A1" s="33" t="s">
        <v>35</v>
      </c>
      <c r="C1" s="38"/>
      <c r="H1" s="179"/>
      <c r="I1" s="179"/>
      <c r="L1" s="180"/>
      <c r="N1" s="179"/>
      <c r="P1" s="1"/>
      <c r="Q1" s="1"/>
    </row>
    <row r="2" spans="1:17" x14ac:dyDescent="0.25">
      <c r="C2" s="38"/>
      <c r="F2" s="53"/>
      <c r="G2" s="53"/>
      <c r="H2" s="181"/>
      <c r="I2" s="181"/>
      <c r="J2" s="181"/>
      <c r="K2" s="181"/>
      <c r="L2" s="180"/>
      <c r="M2" s="182">
        <f>SUM(M5:M26)</f>
        <v>92.865526436411088</v>
      </c>
      <c r="N2" s="181"/>
      <c r="O2" s="177">
        <f>SUM(O5:O115)</f>
        <v>92.865526436411088</v>
      </c>
      <c r="P2" s="1"/>
      <c r="Q2" s="1"/>
    </row>
    <row r="3" spans="1:17" s="2" customFormat="1" ht="15.75" customHeight="1" x14ac:dyDescent="0.25">
      <c r="A3" s="264" t="s">
        <v>93</v>
      </c>
      <c r="B3" s="264" t="s">
        <v>17</v>
      </c>
      <c r="C3" s="264" t="s">
        <v>29</v>
      </c>
      <c r="D3" s="264" t="s">
        <v>18</v>
      </c>
      <c r="E3" s="66"/>
      <c r="F3" s="266" t="s">
        <v>32</v>
      </c>
      <c r="G3" s="267"/>
      <c r="H3" s="267"/>
      <c r="I3" s="267"/>
      <c r="J3" s="267"/>
      <c r="K3" s="267"/>
      <c r="L3" s="268"/>
      <c r="M3" s="195"/>
      <c r="N3" s="194"/>
      <c r="O3" s="264" t="s">
        <v>31</v>
      </c>
      <c r="P3" s="264" t="s">
        <v>30</v>
      </c>
    </row>
    <row r="4" spans="1:17" s="6" customFormat="1" ht="45" x14ac:dyDescent="0.25">
      <c r="A4" s="264"/>
      <c r="B4" s="264"/>
      <c r="C4" s="264"/>
      <c r="D4" s="264"/>
      <c r="E4" s="66"/>
      <c r="F4" s="193" t="s">
        <v>401</v>
      </c>
      <c r="G4" s="183" t="s">
        <v>402</v>
      </c>
      <c r="H4" s="183" t="s">
        <v>403</v>
      </c>
      <c r="I4" s="183" t="s">
        <v>404</v>
      </c>
      <c r="J4" s="183" t="s">
        <v>4</v>
      </c>
      <c r="K4" s="183" t="s">
        <v>410</v>
      </c>
      <c r="L4" s="183" t="s">
        <v>405</v>
      </c>
      <c r="M4" s="183" t="s">
        <v>406</v>
      </c>
      <c r="N4" s="183"/>
      <c r="O4" s="264"/>
      <c r="P4" s="264"/>
    </row>
    <row r="5" spans="1:17" x14ac:dyDescent="0.25">
      <c r="A5" s="64" t="s">
        <v>480</v>
      </c>
      <c r="B5" s="269" t="s">
        <v>104</v>
      </c>
      <c r="C5" s="68" t="s">
        <v>435</v>
      </c>
      <c r="D5" s="64">
        <v>1</v>
      </c>
      <c r="E5" s="66"/>
      <c r="F5" s="187" t="s">
        <v>400</v>
      </c>
      <c r="G5" s="187" t="s">
        <v>472</v>
      </c>
      <c r="H5" s="184">
        <v>82</v>
      </c>
      <c r="I5" s="185" t="s">
        <v>407</v>
      </c>
      <c r="J5" s="221">
        <f>MATERIAL!O14</f>
        <v>0.61033740515000001</v>
      </c>
      <c r="K5" s="185"/>
      <c r="L5" s="67"/>
      <c r="M5" s="67">
        <f>H5*J5</f>
        <v>50.047667222299999</v>
      </c>
      <c r="N5" s="186"/>
      <c r="O5" s="69">
        <f t="shared" ref="O5" si="0">M5*D5</f>
        <v>50.047667222299999</v>
      </c>
      <c r="P5" s="178"/>
      <c r="Q5" s="1"/>
    </row>
    <row r="6" spans="1:17" x14ac:dyDescent="0.25">
      <c r="A6" s="64" t="s">
        <v>481</v>
      </c>
      <c r="B6" s="270"/>
      <c r="C6" s="68" t="s">
        <v>51</v>
      </c>
      <c r="D6" s="64">
        <v>1</v>
      </c>
      <c r="E6" s="66"/>
      <c r="F6" s="187" t="s">
        <v>51</v>
      </c>
      <c r="G6" s="187"/>
      <c r="H6" s="184">
        <v>7</v>
      </c>
      <c r="I6" s="185" t="s">
        <v>407</v>
      </c>
      <c r="J6" s="190">
        <f>MATERIAL!M14</f>
        <v>0.55485218650000001</v>
      </c>
      <c r="K6" s="185"/>
      <c r="L6" s="67"/>
      <c r="M6" s="67">
        <f>H6*J6</f>
        <v>3.8839653055000003</v>
      </c>
      <c r="N6" s="186"/>
      <c r="O6" s="69">
        <f t="shared" ref="O6:O7" si="1">M6*D6</f>
        <v>3.8839653055000003</v>
      </c>
      <c r="P6" s="178"/>
      <c r="Q6" s="1"/>
    </row>
    <row r="7" spans="1:17" x14ac:dyDescent="0.25">
      <c r="A7" s="64" t="s">
        <v>482</v>
      </c>
      <c r="B7" s="270"/>
      <c r="C7" s="68" t="s">
        <v>455</v>
      </c>
      <c r="D7" s="64">
        <v>1</v>
      </c>
      <c r="E7" s="66"/>
      <c r="F7" s="187" t="s">
        <v>455</v>
      </c>
      <c r="G7" s="187"/>
      <c r="H7" s="184">
        <v>15</v>
      </c>
      <c r="I7" s="185" t="s">
        <v>407</v>
      </c>
      <c r="J7" s="190">
        <f>J6</f>
        <v>0.55485218650000001</v>
      </c>
      <c r="K7" s="185"/>
      <c r="L7" s="67"/>
      <c r="M7" s="67">
        <f>H7*J7</f>
        <v>8.3227827975000004</v>
      </c>
      <c r="N7" s="186"/>
      <c r="O7" s="69">
        <f t="shared" si="1"/>
        <v>8.3227827975000004</v>
      </c>
      <c r="P7" s="178"/>
      <c r="Q7" s="1"/>
    </row>
    <row r="8" spans="1:17" x14ac:dyDescent="0.25">
      <c r="A8" s="64" t="s">
        <v>484</v>
      </c>
      <c r="B8" s="271"/>
      <c r="C8" s="68" t="s">
        <v>457</v>
      </c>
      <c r="D8" s="64">
        <v>1</v>
      </c>
      <c r="E8" s="66"/>
      <c r="F8" s="187" t="s">
        <v>457</v>
      </c>
      <c r="G8" s="187" t="s">
        <v>473</v>
      </c>
      <c r="H8" s="184">
        <v>5</v>
      </c>
      <c r="I8" s="185" t="s">
        <v>460</v>
      </c>
      <c r="J8" s="190">
        <v>1</v>
      </c>
      <c r="K8" s="185"/>
      <c r="L8" s="67"/>
      <c r="M8" s="67">
        <f>H8*J8</f>
        <v>5</v>
      </c>
      <c r="N8" s="186"/>
      <c r="O8" s="69">
        <f t="shared" ref="O8:O9" si="2">M8*D8</f>
        <v>5</v>
      </c>
      <c r="P8" s="178"/>
      <c r="Q8" s="1"/>
    </row>
    <row r="9" spans="1:17" x14ac:dyDescent="0.25">
      <c r="A9" s="64">
        <v>1</v>
      </c>
      <c r="B9" s="265" t="s">
        <v>209</v>
      </c>
      <c r="C9" s="68" t="s">
        <v>501</v>
      </c>
      <c r="D9" s="64">
        <v>1</v>
      </c>
      <c r="E9" s="66"/>
      <c r="F9" s="187" t="s">
        <v>530</v>
      </c>
      <c r="G9" s="187"/>
      <c r="H9" s="184">
        <v>300</v>
      </c>
      <c r="I9" s="185" t="s">
        <v>502</v>
      </c>
      <c r="J9" s="190"/>
      <c r="K9" s="185">
        <v>15</v>
      </c>
      <c r="L9" s="67">
        <v>1</v>
      </c>
      <c r="M9" s="67">
        <f>H9/3600*K9</f>
        <v>1.25</v>
      </c>
      <c r="N9" s="186"/>
      <c r="O9" s="69">
        <f t="shared" si="2"/>
        <v>1.25</v>
      </c>
      <c r="P9" s="178"/>
      <c r="Q9" s="1"/>
    </row>
    <row r="10" spans="1:17" x14ac:dyDescent="0.25">
      <c r="A10" s="64">
        <v>2</v>
      </c>
      <c r="B10" s="265"/>
      <c r="C10" s="68" t="s">
        <v>531</v>
      </c>
      <c r="D10" s="64">
        <v>1</v>
      </c>
      <c r="E10" s="66"/>
      <c r="F10" s="187" t="s">
        <v>530</v>
      </c>
      <c r="G10" s="187"/>
      <c r="H10" s="184">
        <v>300</v>
      </c>
      <c r="I10" s="185" t="s">
        <v>502</v>
      </c>
      <c r="J10" s="190"/>
      <c r="K10" s="185">
        <v>15</v>
      </c>
      <c r="L10" s="67">
        <v>1</v>
      </c>
      <c r="M10" s="67">
        <f t="shared" ref="M10:M12" si="3">H10/3600*K10</f>
        <v>1.25</v>
      </c>
      <c r="N10" s="186"/>
      <c r="O10" s="69">
        <f t="shared" ref="O10:O12" si="4">M10*D10</f>
        <v>1.25</v>
      </c>
      <c r="P10" s="178"/>
      <c r="Q10" s="1"/>
    </row>
    <row r="11" spans="1:17" x14ac:dyDescent="0.25">
      <c r="A11" s="64">
        <v>3</v>
      </c>
      <c r="B11" s="265"/>
      <c r="C11" s="68" t="s">
        <v>532</v>
      </c>
      <c r="D11" s="64">
        <v>1</v>
      </c>
      <c r="E11" s="66"/>
      <c r="F11" s="187" t="s">
        <v>530</v>
      </c>
      <c r="G11" s="187"/>
      <c r="H11" s="184">
        <v>300</v>
      </c>
      <c r="I11" s="185" t="s">
        <v>502</v>
      </c>
      <c r="J11" s="190"/>
      <c r="K11" s="185">
        <v>40</v>
      </c>
      <c r="L11" s="67">
        <v>1</v>
      </c>
      <c r="M11" s="67">
        <f t="shared" si="3"/>
        <v>3.333333333333333</v>
      </c>
      <c r="N11" s="186"/>
      <c r="O11" s="69">
        <f t="shared" si="4"/>
        <v>3.333333333333333</v>
      </c>
      <c r="P11" s="178"/>
      <c r="Q11" s="1"/>
    </row>
    <row r="12" spans="1:17" x14ac:dyDescent="0.25">
      <c r="A12" s="64">
        <v>5</v>
      </c>
      <c r="B12" s="265"/>
      <c r="C12" s="68" t="s">
        <v>533</v>
      </c>
      <c r="D12" s="64">
        <v>1</v>
      </c>
      <c r="E12" s="66"/>
      <c r="F12" s="187" t="s">
        <v>530</v>
      </c>
      <c r="G12" s="187"/>
      <c r="H12" s="184">
        <v>300</v>
      </c>
      <c r="I12" s="185" t="s">
        <v>502</v>
      </c>
      <c r="J12" s="190"/>
      <c r="K12" s="185">
        <v>25</v>
      </c>
      <c r="L12" s="67">
        <v>1</v>
      </c>
      <c r="M12" s="67">
        <f t="shared" si="3"/>
        <v>2.083333333333333</v>
      </c>
      <c r="N12" s="186"/>
      <c r="O12" s="69">
        <f t="shared" si="4"/>
        <v>2.083333333333333</v>
      </c>
      <c r="P12" s="178"/>
      <c r="Q12" s="1"/>
    </row>
    <row r="13" spans="1:17" x14ac:dyDescent="0.25">
      <c r="A13" s="64">
        <v>6</v>
      </c>
      <c r="B13" s="265"/>
      <c r="C13" s="68" t="s">
        <v>534</v>
      </c>
      <c r="D13" s="64">
        <v>1</v>
      </c>
      <c r="E13" s="66"/>
      <c r="F13" s="187" t="s">
        <v>530</v>
      </c>
      <c r="G13" s="187"/>
      <c r="H13" s="184">
        <v>300</v>
      </c>
      <c r="I13" s="185" t="s">
        <v>502</v>
      </c>
      <c r="J13" s="190"/>
      <c r="K13" s="185">
        <v>25</v>
      </c>
      <c r="L13" s="67">
        <v>1</v>
      </c>
      <c r="M13" s="67">
        <f t="shared" ref="M13:M22" si="5">H13/3600*K13</f>
        <v>2.083333333333333</v>
      </c>
      <c r="N13" s="186"/>
      <c r="O13" s="69">
        <f t="shared" ref="O13:O26" si="6">M13*D13</f>
        <v>2.083333333333333</v>
      </c>
      <c r="P13" s="178"/>
      <c r="Q13" s="1"/>
    </row>
    <row r="14" spans="1:17" x14ac:dyDescent="0.25">
      <c r="A14" s="64">
        <v>3</v>
      </c>
      <c r="B14" s="265"/>
      <c r="C14" s="68" t="s">
        <v>535</v>
      </c>
      <c r="D14" s="64">
        <v>1</v>
      </c>
      <c r="E14" s="66"/>
      <c r="F14" s="187" t="s">
        <v>530</v>
      </c>
      <c r="G14" s="187"/>
      <c r="H14" s="184">
        <v>300</v>
      </c>
      <c r="I14" s="185" t="s">
        <v>502</v>
      </c>
      <c r="J14" s="190"/>
      <c r="K14" s="185">
        <v>15</v>
      </c>
      <c r="L14" s="67">
        <v>1</v>
      </c>
      <c r="M14" s="67">
        <f t="shared" si="5"/>
        <v>1.25</v>
      </c>
      <c r="N14" s="186"/>
      <c r="O14" s="69">
        <f t="shared" si="6"/>
        <v>1.25</v>
      </c>
      <c r="P14" s="178"/>
      <c r="Q14" s="1"/>
    </row>
    <row r="15" spans="1:17" x14ac:dyDescent="0.25">
      <c r="A15" s="64">
        <v>3</v>
      </c>
      <c r="B15" s="265"/>
      <c r="C15" s="68" t="s">
        <v>536</v>
      </c>
      <c r="D15" s="64">
        <v>1</v>
      </c>
      <c r="E15" s="66"/>
      <c r="F15" s="187" t="s">
        <v>530</v>
      </c>
      <c r="G15" s="187"/>
      <c r="H15" s="184">
        <v>300</v>
      </c>
      <c r="I15" s="185" t="s">
        <v>502</v>
      </c>
      <c r="J15" s="190"/>
      <c r="K15" s="185">
        <v>10</v>
      </c>
      <c r="L15" s="67">
        <v>1</v>
      </c>
      <c r="M15" s="67">
        <f t="shared" ref="M15" si="7">H15/3600*K15</f>
        <v>0.83333333333333326</v>
      </c>
      <c r="N15" s="186"/>
      <c r="O15" s="69">
        <f t="shared" ref="O15" si="8">M15*D15</f>
        <v>0.83333333333333326</v>
      </c>
      <c r="P15" s="178"/>
      <c r="Q15" s="1"/>
    </row>
    <row r="16" spans="1:17" x14ac:dyDescent="0.25">
      <c r="A16" s="64"/>
      <c r="B16" s="265"/>
      <c r="C16" s="68" t="s">
        <v>537</v>
      </c>
      <c r="D16" s="64">
        <v>1</v>
      </c>
      <c r="E16" s="66"/>
      <c r="F16" s="187" t="s">
        <v>530</v>
      </c>
      <c r="G16" s="187"/>
      <c r="H16" s="184">
        <v>300</v>
      </c>
      <c r="I16" s="185" t="s">
        <v>502</v>
      </c>
      <c r="J16" s="190"/>
      <c r="K16" s="185">
        <v>15</v>
      </c>
      <c r="L16" s="67">
        <v>1</v>
      </c>
      <c r="M16" s="67">
        <f t="shared" ref="M16" si="9">H16/3600*K16</f>
        <v>1.25</v>
      </c>
      <c r="N16" s="186"/>
      <c r="O16" s="69">
        <f t="shared" ref="O16" si="10">M16*D16</f>
        <v>1.25</v>
      </c>
      <c r="P16" s="178"/>
      <c r="Q16" s="1"/>
    </row>
    <row r="17" spans="1:40" x14ac:dyDescent="0.25">
      <c r="A17" s="64">
        <v>7</v>
      </c>
      <c r="B17" s="265"/>
      <c r="C17" s="68" t="s">
        <v>538</v>
      </c>
      <c r="D17" s="64">
        <v>1</v>
      </c>
      <c r="E17" s="66"/>
      <c r="F17" s="187" t="s">
        <v>530</v>
      </c>
      <c r="G17" s="187"/>
      <c r="H17" s="184">
        <v>300</v>
      </c>
      <c r="I17" s="185" t="s">
        <v>502</v>
      </c>
      <c r="J17" s="190"/>
      <c r="K17" s="185">
        <v>15</v>
      </c>
      <c r="L17" s="67">
        <v>1</v>
      </c>
      <c r="M17" s="67">
        <f t="shared" si="5"/>
        <v>1.25</v>
      </c>
      <c r="N17" s="186"/>
      <c r="O17" s="69">
        <f t="shared" si="6"/>
        <v>1.25</v>
      </c>
      <c r="P17" s="178"/>
      <c r="Q17" s="1"/>
    </row>
    <row r="18" spans="1:40" x14ac:dyDescent="0.25">
      <c r="A18" s="64">
        <v>3</v>
      </c>
      <c r="B18" s="265"/>
      <c r="C18" s="68" t="s">
        <v>501</v>
      </c>
      <c r="D18" s="232">
        <v>1</v>
      </c>
      <c r="E18" s="66"/>
      <c r="F18" s="187" t="s">
        <v>530</v>
      </c>
      <c r="G18" s="187"/>
      <c r="H18" s="184">
        <v>300</v>
      </c>
      <c r="I18" s="185" t="s">
        <v>502</v>
      </c>
      <c r="J18" s="190"/>
      <c r="K18" s="185">
        <v>15</v>
      </c>
      <c r="L18" s="67">
        <v>1</v>
      </c>
      <c r="M18" s="67">
        <f>H18/3600*K18</f>
        <v>1.25</v>
      </c>
      <c r="N18" s="186"/>
      <c r="O18" s="69">
        <f t="shared" si="6"/>
        <v>1.25</v>
      </c>
      <c r="P18" s="178"/>
      <c r="Q18" s="1"/>
    </row>
    <row r="19" spans="1:40" x14ac:dyDescent="0.25">
      <c r="A19" s="232">
        <v>2</v>
      </c>
      <c r="B19" s="265"/>
      <c r="C19" s="68" t="s">
        <v>531</v>
      </c>
      <c r="D19" s="232">
        <v>1</v>
      </c>
      <c r="E19" s="66"/>
      <c r="F19" s="187" t="s">
        <v>530</v>
      </c>
      <c r="G19" s="187"/>
      <c r="H19" s="184">
        <v>300</v>
      </c>
      <c r="I19" s="185" t="s">
        <v>502</v>
      </c>
      <c r="J19" s="190"/>
      <c r="K19" s="185">
        <v>15</v>
      </c>
      <c r="L19" s="67">
        <v>1</v>
      </c>
      <c r="M19" s="67">
        <f t="shared" ref="M19:M21" si="11">H19/3600*K19</f>
        <v>1.25</v>
      </c>
      <c r="N19" s="186"/>
      <c r="O19" s="69">
        <f t="shared" si="6"/>
        <v>1.25</v>
      </c>
      <c r="P19" s="178"/>
      <c r="Q19" s="1"/>
    </row>
    <row r="20" spans="1:40" x14ac:dyDescent="0.25">
      <c r="A20" s="232">
        <v>3</v>
      </c>
      <c r="B20" s="265"/>
      <c r="C20" s="68" t="s">
        <v>532</v>
      </c>
      <c r="D20" s="232">
        <v>1</v>
      </c>
      <c r="E20" s="66"/>
      <c r="F20" s="187" t="s">
        <v>530</v>
      </c>
      <c r="G20" s="187"/>
      <c r="H20" s="184">
        <v>300</v>
      </c>
      <c r="I20" s="185" t="s">
        <v>502</v>
      </c>
      <c r="J20" s="190"/>
      <c r="K20" s="185">
        <v>40</v>
      </c>
      <c r="L20" s="67">
        <v>1</v>
      </c>
      <c r="M20" s="67">
        <f t="shared" si="11"/>
        <v>3.333333333333333</v>
      </c>
      <c r="N20" s="186"/>
      <c r="O20" s="69">
        <f t="shared" si="6"/>
        <v>3.333333333333333</v>
      </c>
      <c r="P20" s="178"/>
      <c r="Q20" s="1"/>
    </row>
    <row r="21" spans="1:40" x14ac:dyDescent="0.25">
      <c r="A21" s="64">
        <v>3</v>
      </c>
      <c r="B21" s="265"/>
      <c r="C21" s="68" t="s">
        <v>538</v>
      </c>
      <c r="D21" s="232">
        <v>1</v>
      </c>
      <c r="E21" s="66"/>
      <c r="F21" s="187" t="s">
        <v>530</v>
      </c>
      <c r="G21" s="187"/>
      <c r="H21" s="184">
        <v>300</v>
      </c>
      <c r="I21" s="185" t="s">
        <v>502</v>
      </c>
      <c r="J21" s="190"/>
      <c r="K21" s="185">
        <v>15</v>
      </c>
      <c r="L21" s="67">
        <v>1</v>
      </c>
      <c r="M21" s="67">
        <f t="shared" si="11"/>
        <v>1.25</v>
      </c>
      <c r="N21" s="186"/>
      <c r="O21" s="69">
        <f t="shared" ref="O21" si="12">M21*D21</f>
        <v>1.25</v>
      </c>
      <c r="P21" s="178"/>
      <c r="Q21" s="1"/>
    </row>
    <row r="22" spans="1:40" x14ac:dyDescent="0.25">
      <c r="A22" s="64">
        <v>5</v>
      </c>
      <c r="B22" s="265"/>
      <c r="C22" s="68" t="s">
        <v>501</v>
      </c>
      <c r="D22" s="64">
        <v>1</v>
      </c>
      <c r="E22" s="66"/>
      <c r="F22" s="187" t="s">
        <v>58</v>
      </c>
      <c r="G22" s="187"/>
      <c r="H22" s="184">
        <v>100</v>
      </c>
      <c r="I22" s="185" t="s">
        <v>502</v>
      </c>
      <c r="J22" s="190"/>
      <c r="K22" s="185">
        <v>20</v>
      </c>
      <c r="L22" s="67">
        <v>1</v>
      </c>
      <c r="M22" s="67">
        <f t="shared" si="5"/>
        <v>0.55555555555555558</v>
      </c>
      <c r="N22" s="186"/>
      <c r="O22" s="69">
        <f t="shared" si="6"/>
        <v>0.55555555555555558</v>
      </c>
      <c r="P22" s="178"/>
      <c r="Q22" s="1"/>
    </row>
    <row r="23" spans="1:40" x14ac:dyDescent="0.25">
      <c r="A23" s="64">
        <v>6</v>
      </c>
      <c r="B23" s="265"/>
      <c r="C23" s="68" t="s">
        <v>534</v>
      </c>
      <c r="D23" s="64">
        <v>1</v>
      </c>
      <c r="E23" s="66"/>
      <c r="F23" s="187" t="s">
        <v>58</v>
      </c>
      <c r="G23" s="187"/>
      <c r="H23" s="184">
        <v>100</v>
      </c>
      <c r="I23" s="185" t="s">
        <v>502</v>
      </c>
      <c r="J23" s="190"/>
      <c r="K23" s="185">
        <v>30</v>
      </c>
      <c r="L23" s="67">
        <v>1</v>
      </c>
      <c r="M23" s="67">
        <f t="shared" ref="M23:M24" si="13">H23/3600*K23</f>
        <v>0.83333333333333326</v>
      </c>
      <c r="N23" s="186"/>
      <c r="O23" s="69">
        <f t="shared" ref="O23:O24" si="14">M23*D23</f>
        <v>0.83333333333333326</v>
      </c>
      <c r="P23" s="178"/>
      <c r="Q23" s="1"/>
    </row>
    <row r="24" spans="1:40" x14ac:dyDescent="0.25">
      <c r="A24" s="232">
        <v>5</v>
      </c>
      <c r="B24" s="265"/>
      <c r="C24" s="68" t="s">
        <v>539</v>
      </c>
      <c r="D24" s="232">
        <v>1</v>
      </c>
      <c r="E24" s="66"/>
      <c r="F24" s="187" t="s">
        <v>58</v>
      </c>
      <c r="G24" s="187"/>
      <c r="H24" s="184">
        <v>100</v>
      </c>
      <c r="I24" s="185" t="s">
        <v>502</v>
      </c>
      <c r="J24" s="190"/>
      <c r="K24" s="185">
        <v>20</v>
      </c>
      <c r="L24" s="67">
        <v>1</v>
      </c>
      <c r="M24" s="67">
        <f t="shared" si="13"/>
        <v>0.55555555555555558</v>
      </c>
      <c r="N24" s="186"/>
      <c r="O24" s="69">
        <f t="shared" si="14"/>
        <v>0.55555555555555558</v>
      </c>
      <c r="P24" s="178"/>
      <c r="Q24" s="1"/>
    </row>
    <row r="25" spans="1:40" x14ac:dyDescent="0.25">
      <c r="A25" s="64">
        <v>24</v>
      </c>
      <c r="B25" s="265"/>
      <c r="C25" s="191" t="s">
        <v>503</v>
      </c>
      <c r="D25" s="188">
        <v>1</v>
      </c>
      <c r="E25" s="66"/>
      <c r="F25" s="189" t="s">
        <v>191</v>
      </c>
      <c r="G25" s="189"/>
      <c r="H25" s="185"/>
      <c r="I25" s="184"/>
      <c r="J25" s="190"/>
      <c r="K25" s="190"/>
      <c r="L25" s="67"/>
      <c r="M25" s="67">
        <v>1</v>
      </c>
      <c r="N25" s="184"/>
      <c r="O25" s="69">
        <f t="shared" si="6"/>
        <v>1</v>
      </c>
      <c r="P25" s="68"/>
      <c r="Q25" s="1"/>
    </row>
    <row r="26" spans="1:40" x14ac:dyDescent="0.25">
      <c r="A26" s="64">
        <v>25</v>
      </c>
      <c r="B26" s="265"/>
      <c r="C26" s="191" t="s">
        <v>504</v>
      </c>
      <c r="D26" s="188">
        <v>1</v>
      </c>
      <c r="E26" s="66"/>
      <c r="F26" s="189" t="s">
        <v>191</v>
      </c>
      <c r="G26" s="189"/>
      <c r="H26" s="185"/>
      <c r="I26" s="184"/>
      <c r="J26" s="190"/>
      <c r="K26" s="190"/>
      <c r="L26" s="67"/>
      <c r="M26" s="67">
        <v>1</v>
      </c>
      <c r="N26" s="184"/>
      <c r="O26" s="69">
        <f t="shared" si="6"/>
        <v>1</v>
      </c>
      <c r="P26" s="68"/>
      <c r="Q26" s="1"/>
    </row>
    <row r="27" spans="1:40" x14ac:dyDescent="0.25"/>
    <row r="28" spans="1:40" x14ac:dyDescent="0.25"/>
    <row r="29" spans="1:40" x14ac:dyDescent="0.25">
      <c r="B29" s="9" t="s">
        <v>458</v>
      </c>
      <c r="C29" s="1" t="s">
        <v>51</v>
      </c>
      <c r="F29" s="196" t="s">
        <v>411</v>
      </c>
      <c r="H29" s="3"/>
      <c r="I29" s="3"/>
      <c r="J29" s="1"/>
      <c r="K29" s="1"/>
      <c r="L29" s="1"/>
      <c r="M29" s="7"/>
    </row>
    <row r="30" spans="1:40" s="179" customFormat="1" x14ac:dyDescent="0.25">
      <c r="A30" s="3"/>
      <c r="B30" s="9" t="s">
        <v>459</v>
      </c>
      <c r="C30" s="1" t="s">
        <v>455</v>
      </c>
      <c r="D30" s="3"/>
      <c r="E30" s="4"/>
      <c r="F30" s="197" t="s">
        <v>412</v>
      </c>
      <c r="G30" s="198" t="s">
        <v>413</v>
      </c>
      <c r="H30" s="197" t="s">
        <v>414</v>
      </c>
      <c r="I30" s="197" t="s">
        <v>415</v>
      </c>
      <c r="J30" s="199" t="s">
        <v>416</v>
      </c>
      <c r="K30" s="199" t="s">
        <v>417</v>
      </c>
      <c r="L30" s="1"/>
      <c r="M30" s="7"/>
      <c r="N30" s="180"/>
      <c r="O30" s="3"/>
      <c r="P30" s="4"/>
      <c r="Q30" s="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s="179" customFormat="1" x14ac:dyDescent="0.25">
      <c r="A31" s="3"/>
      <c r="B31" s="9">
        <v>5</v>
      </c>
      <c r="C31" s="1" t="s">
        <v>456</v>
      </c>
      <c r="D31" s="3"/>
      <c r="E31" s="4"/>
      <c r="F31" s="64">
        <v>14.5</v>
      </c>
      <c r="G31" s="200">
        <v>25</v>
      </c>
      <c r="H31" s="201">
        <v>120</v>
      </c>
      <c r="I31" s="202">
        <f>H31*1000/(PI()*F31)</f>
        <v>2634.2887132451642</v>
      </c>
      <c r="J31" s="201">
        <v>0.05</v>
      </c>
      <c r="K31" s="202">
        <f>(G31+12)/(I31*J31/60)+5</f>
        <v>21.854644586509238</v>
      </c>
      <c r="L31" s="1"/>
      <c r="M31" s="7"/>
      <c r="N31" s="180"/>
      <c r="O31" s="3"/>
      <c r="P31" s="4"/>
      <c r="Q31" s="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s="179" customFormat="1" x14ac:dyDescent="0.25">
      <c r="A32" s="3"/>
      <c r="B32" s="9">
        <v>5</v>
      </c>
      <c r="C32" s="1" t="s">
        <v>457</v>
      </c>
      <c r="D32" s="3"/>
      <c r="E32" s="4"/>
      <c r="F32" s="9"/>
      <c r="G32" s="1"/>
      <c r="H32" s="1"/>
      <c r="I32" s="1"/>
      <c r="J32" s="1"/>
      <c r="K32" s="1"/>
      <c r="L32" s="1"/>
      <c r="M32" s="1"/>
      <c r="N32" s="180"/>
      <c r="O32" s="3"/>
      <c r="P32" s="4"/>
      <c r="Q32" s="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s="179" customFormat="1" x14ac:dyDescent="0.25">
      <c r="A33" s="3"/>
      <c r="B33" s="9"/>
      <c r="C33" s="1"/>
      <c r="D33" s="3"/>
      <c r="E33" s="4"/>
      <c r="F33" s="196" t="s">
        <v>418</v>
      </c>
      <c r="G33" s="1"/>
      <c r="H33" s="3"/>
      <c r="I33" s="3"/>
      <c r="J33" s="1"/>
      <c r="K33" s="1"/>
      <c r="L33" s="1"/>
      <c r="M33" s="1"/>
      <c r="N33" s="180"/>
      <c r="O33" s="3"/>
      <c r="P33" s="4"/>
      <c r="Q33" s="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s="179" customFormat="1" x14ac:dyDescent="0.25">
      <c r="A34" s="3"/>
      <c r="B34" s="9"/>
      <c r="C34" s="1"/>
      <c r="D34" s="3"/>
      <c r="E34" s="4"/>
      <c r="F34" s="197" t="s">
        <v>419</v>
      </c>
      <c r="G34" s="198" t="s">
        <v>420</v>
      </c>
      <c r="H34" s="197" t="s">
        <v>421</v>
      </c>
      <c r="I34" s="199" t="s">
        <v>422</v>
      </c>
      <c r="J34" s="203" t="s">
        <v>423</v>
      </c>
      <c r="K34" s="197" t="s">
        <v>414</v>
      </c>
      <c r="L34" s="197" t="s">
        <v>415</v>
      </c>
      <c r="M34" s="199" t="s">
        <v>416</v>
      </c>
      <c r="N34" s="199" t="s">
        <v>417</v>
      </c>
      <c r="O34" s="3"/>
      <c r="P34" s="4"/>
      <c r="Q34" s="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s="179" customFormat="1" x14ac:dyDescent="0.25">
      <c r="A35" s="3"/>
      <c r="B35" s="9"/>
      <c r="C35" s="1"/>
      <c r="D35" s="3"/>
      <c r="E35" s="4"/>
      <c r="F35" s="64">
        <v>40</v>
      </c>
      <c r="G35" s="200">
        <v>30</v>
      </c>
      <c r="H35" s="200">
        <v>35</v>
      </c>
      <c r="I35" s="64">
        <v>1</v>
      </c>
      <c r="J35" s="184">
        <v>3</v>
      </c>
      <c r="K35" s="201">
        <v>600</v>
      </c>
      <c r="L35" s="202">
        <f>K35*1000/(PI()*F35)</f>
        <v>4774.6482927568604</v>
      </c>
      <c r="M35" s="201">
        <f>0.1*J35</f>
        <v>0.30000000000000004</v>
      </c>
      <c r="N35" s="202">
        <f>((G35+(F35+10)+IF(H35&lt;F35,0,((CEILING(H35/F35,1)-1)*G35)+((CEILING(H35/F35,1)-1)*F35)))/(M35*L35/60)+5)*I35</f>
        <v>8.3510321638291121</v>
      </c>
      <c r="O35" s="3"/>
      <c r="P35" s="4"/>
      <c r="Q35" s="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s="179" customFormat="1" x14ac:dyDescent="0.25">
      <c r="A36" s="3"/>
      <c r="B36" s="9"/>
      <c r="C36" s="1"/>
      <c r="D36" s="3"/>
      <c r="E36" s="4"/>
      <c r="F36" s="3"/>
      <c r="G36" s="3"/>
      <c r="H36" s="3"/>
      <c r="I36" s="3"/>
      <c r="J36" s="1"/>
      <c r="K36" s="1"/>
      <c r="L36" s="1"/>
      <c r="M36" s="204"/>
      <c r="N36" s="180"/>
      <c r="O36" s="3"/>
      <c r="P36" s="4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s="179" customFormat="1" x14ac:dyDescent="0.25">
      <c r="A37" s="3"/>
      <c r="B37" s="9"/>
      <c r="C37" s="1"/>
      <c r="D37" s="3"/>
      <c r="E37" s="4"/>
      <c r="F37" s="3"/>
      <c r="G37" s="3"/>
      <c r="H37" s="3"/>
      <c r="I37" s="3"/>
      <c r="J37" s="1"/>
      <c r="K37" s="1"/>
      <c r="L37" s="1"/>
      <c r="M37" s="7"/>
      <c r="N37" s="180"/>
      <c r="O37" s="3"/>
      <c r="P37" s="4"/>
      <c r="Q37" s="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s="179" customFormat="1" x14ac:dyDescent="0.25">
      <c r="A38" s="3"/>
      <c r="B38" s="9"/>
      <c r="C38" s="1"/>
      <c r="D38" s="3"/>
      <c r="E38" s="4"/>
      <c r="F38" s="9" t="s">
        <v>424</v>
      </c>
      <c r="G38" s="3"/>
      <c r="H38" s="3"/>
      <c r="I38" s="1"/>
      <c r="J38" s="1"/>
      <c r="K38" s="1"/>
      <c r="L38" s="7"/>
      <c r="M38" s="9"/>
      <c r="N38" s="180"/>
      <c r="O38" s="3"/>
      <c r="P38" s="4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s="179" customFormat="1" x14ac:dyDescent="0.25">
      <c r="A39" s="3"/>
      <c r="B39" s="9"/>
      <c r="C39" s="1"/>
      <c r="D39" s="3"/>
      <c r="E39" s="4"/>
      <c r="F39" s="9" t="s">
        <v>425</v>
      </c>
      <c r="G39" s="3"/>
      <c r="H39" s="3"/>
      <c r="I39" s="1"/>
      <c r="J39" s="1"/>
      <c r="K39" s="1"/>
      <c r="L39" s="7"/>
      <c r="M39" s="9"/>
      <c r="N39" s="180"/>
      <c r="O39" s="3"/>
      <c r="P39" s="4"/>
      <c r="Q39" s="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s="179" customFormat="1" x14ac:dyDescent="0.25">
      <c r="A40" s="3"/>
      <c r="B40" s="9"/>
      <c r="C40" s="1"/>
      <c r="D40" s="3"/>
      <c r="E40" s="4"/>
      <c r="F40" s="9" t="s">
        <v>436</v>
      </c>
      <c r="G40" s="3"/>
      <c r="H40" s="3"/>
      <c r="I40" s="1"/>
      <c r="J40" s="1"/>
      <c r="K40" s="1"/>
      <c r="L40" s="7"/>
      <c r="M40" s="9"/>
      <c r="N40" s="180"/>
      <c r="O40" s="3"/>
      <c r="P40" s="4"/>
      <c r="Q40" s="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s="179" customFormat="1" x14ac:dyDescent="0.25">
      <c r="A41" s="3"/>
      <c r="B41" s="9"/>
      <c r="C41" s="1"/>
      <c r="D41" s="3"/>
      <c r="E41" s="4"/>
      <c r="F41" s="1"/>
      <c r="G41" s="1"/>
      <c r="H41" s="1"/>
      <c r="I41" s="1"/>
      <c r="N41" s="180"/>
      <c r="O41" s="3"/>
      <c r="P41" s="4"/>
      <c r="Q41" s="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s="179" customFormat="1" x14ac:dyDescent="0.25">
      <c r="A42" s="3"/>
      <c r="B42" s="9"/>
      <c r="C42" s="1"/>
      <c r="D42" s="3"/>
      <c r="E42" s="4"/>
      <c r="F42" s="205" t="s">
        <v>426</v>
      </c>
      <c r="G42" s="1"/>
      <c r="H42" s="1"/>
      <c r="I42" s="1"/>
      <c r="N42" s="180"/>
      <c r="O42" s="3"/>
      <c r="P42" s="4"/>
      <c r="Q42" s="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s="179" customFormat="1" x14ac:dyDescent="0.25">
      <c r="A43" s="3"/>
      <c r="B43" s="9"/>
      <c r="C43" s="1"/>
      <c r="D43" s="3"/>
      <c r="E43" s="4"/>
      <c r="F43" s="206" t="s">
        <v>36</v>
      </c>
      <c r="G43" s="207" t="s">
        <v>427</v>
      </c>
      <c r="H43" s="197" t="s">
        <v>428</v>
      </c>
      <c r="I43" s="197" t="s">
        <v>429</v>
      </c>
      <c r="N43" s="180"/>
      <c r="O43" s="3"/>
      <c r="P43" s="4"/>
      <c r="Q43" s="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s="179" customFormat="1" x14ac:dyDescent="0.25">
      <c r="A44" s="3"/>
      <c r="B44" s="9"/>
      <c r="C44" s="1"/>
      <c r="D44" s="3"/>
      <c r="E44" s="4"/>
      <c r="F44" s="208" t="s">
        <v>439</v>
      </c>
      <c r="G44" s="208">
        <v>20</v>
      </c>
      <c r="H44" s="208">
        <v>100</v>
      </c>
      <c r="I44" s="202">
        <f>IF(F44=0, ,VLOOKUP(TRUE,'Tool Life'!$A:$F,IF(PROCESS!F44='Tool Life'!E1,5,6),0))</f>
        <v>400</v>
      </c>
      <c r="N44" s="180"/>
      <c r="O44" s="3"/>
      <c r="P44" s="4"/>
      <c r="Q44" s="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s="179" customFormat="1" x14ac:dyDescent="0.25">
      <c r="A45" s="3"/>
      <c r="B45" s="9"/>
      <c r="C45" s="1"/>
      <c r="D45" s="3"/>
      <c r="E45" s="4"/>
      <c r="F45" s="1"/>
      <c r="G45" s="1"/>
      <c r="H45" s="1"/>
      <c r="I45" s="1"/>
      <c r="N45" s="180"/>
      <c r="O45" s="3"/>
      <c r="P45" s="4"/>
      <c r="Q45" s="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s="179" customFormat="1" x14ac:dyDescent="0.25">
      <c r="A46" s="3"/>
      <c r="B46" s="9"/>
      <c r="C46" s="1"/>
      <c r="D46" s="3"/>
      <c r="E46" s="4"/>
      <c r="F46" s="205" t="s">
        <v>431</v>
      </c>
      <c r="G46" s="1"/>
      <c r="H46" s="1"/>
      <c r="I46" s="1"/>
      <c r="N46" s="180"/>
      <c r="O46" s="3"/>
      <c r="P46" s="4"/>
      <c r="Q46" s="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s="179" customFormat="1" x14ac:dyDescent="0.25">
      <c r="A47" s="3"/>
      <c r="B47" s="9"/>
      <c r="C47" s="1"/>
      <c r="D47" s="3"/>
      <c r="E47" s="4"/>
      <c r="F47" s="206" t="s">
        <v>36</v>
      </c>
      <c r="G47" s="207" t="s">
        <v>432</v>
      </c>
      <c r="H47" s="197" t="s">
        <v>423</v>
      </c>
      <c r="I47" s="203" t="s">
        <v>433</v>
      </c>
      <c r="J47" s="197" t="s">
        <v>434</v>
      </c>
      <c r="N47" s="180"/>
      <c r="O47" s="3"/>
      <c r="P47" s="4"/>
      <c r="Q47" s="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s="179" customFormat="1" x14ac:dyDescent="0.25">
      <c r="A48" s="3"/>
      <c r="B48" s="9"/>
      <c r="C48" s="1"/>
      <c r="D48" s="3"/>
      <c r="E48" s="4"/>
      <c r="F48" s="208" t="s">
        <v>438</v>
      </c>
      <c r="G48" s="68">
        <f>150*257</f>
        <v>38550</v>
      </c>
      <c r="H48" s="208">
        <v>6</v>
      </c>
      <c r="I48" s="209">
        <f>'Tool Life'!C27</f>
        <v>3</v>
      </c>
      <c r="J48" s="202">
        <f>IF(F48="",0,IF(PROCESS!F48='Tool Life'!E25,'Tool Life'!E27,'Tool Life'!F27))</f>
        <v>466.92607003891055</v>
      </c>
      <c r="N48" s="180"/>
      <c r="O48" s="3"/>
      <c r="P48" s="4"/>
      <c r="Q48" s="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s="179" customFormat="1" x14ac:dyDescent="0.25">
      <c r="A49" s="3"/>
      <c r="B49" s="9"/>
      <c r="C49" s="1"/>
      <c r="D49" s="3"/>
      <c r="E49" s="4"/>
      <c r="F49" s="1"/>
      <c r="G49" s="1"/>
      <c r="H49" s="1"/>
      <c r="I49" s="1"/>
      <c r="N49" s="180"/>
      <c r="O49" s="3"/>
      <c r="P49" s="4"/>
      <c r="Q49" s="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s="179" customFormat="1" x14ac:dyDescent="0.25">
      <c r="A50" s="3"/>
      <c r="B50" s="9"/>
      <c r="C50" s="1"/>
      <c r="D50" s="3"/>
      <c r="E50" s="4"/>
      <c r="F50" s="1"/>
      <c r="G50" s="1"/>
      <c r="H50" s="1"/>
      <c r="I50" s="1"/>
      <c r="N50" s="180"/>
      <c r="O50" s="3"/>
      <c r="P50" s="4"/>
      <c r="Q50" s="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s="179" customFormat="1" x14ac:dyDescent="0.25">
      <c r="A51" s="3"/>
      <c r="B51" s="9"/>
      <c r="C51" s="1"/>
      <c r="D51" s="3"/>
      <c r="E51" s="4"/>
      <c r="F51" s="1"/>
      <c r="G51" s="1"/>
      <c r="H51" s="1"/>
      <c r="I51" s="1"/>
      <c r="N51" s="180"/>
      <c r="O51" s="3"/>
      <c r="P51" s="4"/>
      <c r="Q51" s="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s="179" customFormat="1" x14ac:dyDescent="0.25">
      <c r="A52" s="3"/>
      <c r="B52" s="9"/>
      <c r="C52" s="1"/>
      <c r="D52" s="3"/>
      <c r="E52" s="4"/>
      <c r="F52" s="1"/>
      <c r="G52" s="1"/>
      <c r="H52" s="1"/>
      <c r="I52" s="1"/>
      <c r="N52" s="180"/>
      <c r="O52" s="3"/>
      <c r="P52" s="4"/>
      <c r="Q52" s="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s="179" customFormat="1" x14ac:dyDescent="0.25">
      <c r="A53" s="3"/>
      <c r="B53" s="9"/>
      <c r="C53" s="1"/>
      <c r="D53" s="3"/>
      <c r="E53" s="4"/>
      <c r="F53" s="1"/>
      <c r="G53" s="1"/>
      <c r="H53" s="1"/>
      <c r="I53" s="1"/>
      <c r="N53" s="180"/>
      <c r="O53" s="3"/>
      <c r="P53" s="4"/>
      <c r="Q53" s="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s="179" customFormat="1" x14ac:dyDescent="0.25">
      <c r="A54" s="3"/>
      <c r="B54" s="9"/>
      <c r="C54" s="1"/>
      <c r="D54" s="3"/>
      <c r="E54" s="4"/>
      <c r="F54" s="1"/>
      <c r="G54" s="1"/>
      <c r="H54" s="1"/>
      <c r="I54" s="1"/>
      <c r="N54" s="180"/>
      <c r="O54" s="3"/>
      <c r="P54" s="4"/>
      <c r="Q54" s="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s="179" customFormat="1" x14ac:dyDescent="0.25">
      <c r="A55" s="3"/>
      <c r="B55" s="9"/>
      <c r="C55" s="1"/>
      <c r="D55" s="3"/>
      <c r="E55" s="4"/>
      <c r="F55" s="1"/>
      <c r="G55" s="1"/>
      <c r="H55" s="1"/>
      <c r="I55" s="1"/>
      <c r="N55" s="180"/>
      <c r="O55" s="3"/>
      <c r="P55" s="4"/>
      <c r="Q55" s="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s="179" customFormat="1" x14ac:dyDescent="0.25">
      <c r="A56" s="3"/>
      <c r="B56" s="9"/>
      <c r="C56" s="1"/>
      <c r="D56" s="3"/>
      <c r="E56" s="4"/>
      <c r="F56" s="1"/>
      <c r="G56" s="1"/>
      <c r="H56" s="1"/>
      <c r="I56" s="1"/>
      <c r="N56" s="180"/>
      <c r="O56" s="3"/>
      <c r="P56" s="4"/>
      <c r="Q56" s="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s="179" customFormat="1" x14ac:dyDescent="0.25">
      <c r="A57" s="3"/>
      <c r="B57" s="9"/>
      <c r="C57" s="1"/>
      <c r="D57" s="3"/>
      <c r="E57" s="4"/>
      <c r="F57" s="1"/>
      <c r="G57" s="1"/>
      <c r="H57" s="1"/>
      <c r="I57" s="1"/>
      <c r="N57" s="180"/>
      <c r="O57" s="3"/>
      <c r="P57" s="4"/>
      <c r="Q57" s="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s="179" customFormat="1" x14ac:dyDescent="0.25">
      <c r="A58" s="3"/>
      <c r="B58" s="9"/>
      <c r="C58" s="1"/>
      <c r="D58" s="3"/>
      <c r="E58" s="4"/>
      <c r="F58" s="1"/>
      <c r="G58" s="1"/>
      <c r="H58" s="1"/>
      <c r="I58" s="1"/>
      <c r="N58" s="180"/>
      <c r="O58" s="3"/>
      <c r="P58" s="4"/>
      <c r="Q58" s="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s="179" customFormat="1" x14ac:dyDescent="0.25">
      <c r="A59" s="3"/>
      <c r="B59" s="9"/>
      <c r="C59" s="1"/>
      <c r="D59" s="3"/>
      <c r="E59" s="4"/>
      <c r="F59" s="1"/>
      <c r="G59" s="1"/>
      <c r="H59" s="1"/>
      <c r="I59" s="1"/>
      <c r="N59" s="180"/>
      <c r="O59" s="3"/>
      <c r="P59" s="4"/>
      <c r="Q59" s="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s="179" customFormat="1" x14ac:dyDescent="0.25">
      <c r="A60" s="3"/>
      <c r="B60" s="9"/>
      <c r="C60" s="1"/>
      <c r="D60" s="3"/>
      <c r="E60" s="4"/>
      <c r="F60" s="1"/>
      <c r="G60" s="1"/>
      <c r="H60" s="1"/>
      <c r="I60" s="1"/>
      <c r="N60" s="180"/>
      <c r="O60" s="3"/>
      <c r="P60" s="4"/>
      <c r="Q60" s="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s="179" customFormat="1" x14ac:dyDescent="0.25">
      <c r="A61" s="3"/>
      <c r="B61" s="9"/>
      <c r="C61" s="1"/>
      <c r="D61" s="3"/>
      <c r="E61" s="4"/>
      <c r="F61" s="1"/>
      <c r="G61" s="1"/>
      <c r="H61" s="1"/>
      <c r="I61" s="1"/>
      <c r="N61" s="180"/>
      <c r="O61" s="3"/>
      <c r="P61" s="4"/>
      <c r="Q61" s="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s="3" customFormat="1" x14ac:dyDescent="0.25">
      <c r="B62" s="9"/>
      <c r="C62" s="1"/>
      <c r="E62" s="4"/>
      <c r="F62" s="1"/>
      <c r="G62" s="1"/>
      <c r="H62" s="1"/>
      <c r="I62" s="1"/>
      <c r="J62" s="179"/>
      <c r="K62" s="179"/>
      <c r="L62" s="179"/>
      <c r="M62" s="179"/>
      <c r="N62" s="180"/>
      <c r="P62" s="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s="3" customFormat="1" x14ac:dyDescent="0.25">
      <c r="B63" s="9"/>
      <c r="C63" s="1"/>
      <c r="E63" s="4"/>
      <c r="F63" s="1"/>
      <c r="G63" s="1"/>
      <c r="H63" s="1"/>
      <c r="I63" s="1"/>
      <c r="J63" s="179"/>
      <c r="K63" s="179"/>
      <c r="L63" s="179"/>
      <c r="M63" s="179"/>
      <c r="N63" s="180"/>
      <c r="P63" s="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s="3" customFormat="1" x14ac:dyDescent="0.25">
      <c r="B64" s="9"/>
      <c r="C64" s="1"/>
      <c r="E64" s="4"/>
      <c r="F64" s="1"/>
      <c r="G64" s="1"/>
      <c r="H64" s="1"/>
      <c r="I64" s="1"/>
      <c r="J64" s="179"/>
      <c r="K64" s="179"/>
      <c r="L64" s="179"/>
      <c r="M64" s="179"/>
      <c r="N64" s="180"/>
      <c r="P64" s="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2:40" s="3" customFormat="1" x14ac:dyDescent="0.25">
      <c r="B65" s="9"/>
      <c r="C65" s="1"/>
      <c r="E65" s="4"/>
      <c r="F65" s="1"/>
      <c r="G65" s="1"/>
      <c r="H65" s="1"/>
      <c r="I65" s="1"/>
      <c r="J65" s="179"/>
      <c r="K65" s="179"/>
      <c r="L65" s="179"/>
      <c r="M65" s="179"/>
      <c r="N65" s="180"/>
      <c r="P65" s="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2:40" s="3" customFormat="1" x14ac:dyDescent="0.25">
      <c r="B66" s="9"/>
      <c r="C66" s="1"/>
      <c r="E66" s="4"/>
      <c r="F66" s="1"/>
      <c r="G66" s="1"/>
      <c r="H66" s="1"/>
      <c r="I66" s="1"/>
      <c r="J66" s="179"/>
      <c r="K66" s="179"/>
      <c r="L66" s="179"/>
      <c r="M66" s="179"/>
      <c r="N66" s="180"/>
      <c r="P66" s="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2:40" s="3" customFormat="1" x14ac:dyDescent="0.25">
      <c r="B67" s="9"/>
      <c r="C67" s="1"/>
      <c r="E67" s="4"/>
      <c r="F67" s="1"/>
      <c r="G67" s="1"/>
      <c r="H67" s="1"/>
      <c r="I67" s="1"/>
      <c r="J67" s="179"/>
      <c r="K67" s="179"/>
      <c r="L67" s="179"/>
      <c r="M67" s="179"/>
      <c r="N67" s="180"/>
      <c r="P67" s="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2:40" s="3" customFormat="1" x14ac:dyDescent="0.25">
      <c r="B68" s="9"/>
      <c r="C68" s="1"/>
      <c r="E68" s="4"/>
      <c r="F68" s="1"/>
      <c r="G68" s="1"/>
      <c r="H68" s="1"/>
      <c r="I68" s="1"/>
      <c r="J68" s="179"/>
      <c r="K68" s="179"/>
      <c r="L68" s="179"/>
      <c r="M68" s="179"/>
      <c r="N68" s="180"/>
      <c r="P68" s="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2:40" s="3" customFormat="1" x14ac:dyDescent="0.25">
      <c r="B69" s="9"/>
      <c r="C69" s="1"/>
      <c r="E69" s="4"/>
      <c r="F69" s="1"/>
      <c r="G69" s="1"/>
      <c r="H69" s="1"/>
      <c r="I69" s="1"/>
      <c r="J69" s="179"/>
      <c r="K69" s="179"/>
      <c r="L69" s="179"/>
      <c r="M69" s="179"/>
      <c r="N69" s="180"/>
      <c r="P69" s="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2:40" s="3" customFormat="1" x14ac:dyDescent="0.25">
      <c r="B70" s="9"/>
      <c r="C70" s="1"/>
      <c r="E70" s="4"/>
      <c r="F70" s="1"/>
      <c r="G70" s="1"/>
      <c r="H70" s="1"/>
      <c r="I70" s="1"/>
      <c r="J70" s="179"/>
      <c r="K70" s="179"/>
      <c r="L70" s="179"/>
      <c r="M70" s="179"/>
      <c r="N70" s="180"/>
      <c r="P70" s="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2:40" s="3" customFormat="1" x14ac:dyDescent="0.25">
      <c r="B71" s="9"/>
      <c r="C71" s="1"/>
      <c r="E71" s="4"/>
      <c r="F71" s="1"/>
      <c r="G71" s="1"/>
      <c r="H71" s="1"/>
      <c r="I71" s="1"/>
      <c r="J71" s="179"/>
      <c r="K71" s="179"/>
      <c r="L71" s="179"/>
      <c r="M71" s="179"/>
      <c r="N71" s="180"/>
      <c r="P71" s="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2:40" s="3" customFormat="1" x14ac:dyDescent="0.25">
      <c r="B72" s="9"/>
      <c r="C72" s="1"/>
      <c r="E72" s="4"/>
      <c r="F72" s="1"/>
      <c r="G72" s="1"/>
      <c r="H72" s="1"/>
      <c r="I72" s="1"/>
      <c r="J72" s="179"/>
      <c r="K72" s="179"/>
      <c r="L72" s="179"/>
      <c r="M72" s="179"/>
      <c r="N72" s="180"/>
      <c r="P72" s="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2:40" s="3" customFormat="1" x14ac:dyDescent="0.25">
      <c r="B73" s="9"/>
      <c r="C73" s="1"/>
      <c r="E73" s="4"/>
      <c r="F73" s="1"/>
      <c r="G73" s="1"/>
      <c r="H73" s="1"/>
      <c r="I73" s="1"/>
      <c r="J73" s="179"/>
      <c r="K73" s="179"/>
      <c r="L73" s="179"/>
      <c r="M73" s="179"/>
      <c r="N73" s="180"/>
      <c r="P73" s="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2:40" s="3" customFormat="1" x14ac:dyDescent="0.25">
      <c r="B74" s="9"/>
      <c r="C74" s="1"/>
      <c r="E74" s="4"/>
      <c r="F74" s="1"/>
      <c r="G74" s="1"/>
      <c r="H74" s="1"/>
      <c r="I74" s="1"/>
      <c r="J74" s="179"/>
      <c r="K74" s="179"/>
      <c r="L74" s="179"/>
      <c r="M74" s="179"/>
      <c r="N74" s="180"/>
      <c r="P74" s="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2:40" s="3" customFormat="1" x14ac:dyDescent="0.25">
      <c r="B75" s="9"/>
      <c r="C75" s="1"/>
      <c r="E75" s="4"/>
      <c r="F75" s="1"/>
      <c r="G75" s="1"/>
      <c r="H75" s="1"/>
      <c r="I75" s="1"/>
      <c r="J75" s="179"/>
      <c r="K75" s="179"/>
      <c r="L75" s="179"/>
      <c r="M75" s="179"/>
      <c r="N75" s="180"/>
      <c r="P75" s="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2:40" s="3" customFormat="1" x14ac:dyDescent="0.25">
      <c r="B76" s="9"/>
      <c r="C76" s="1"/>
      <c r="E76" s="4"/>
      <c r="F76" s="1"/>
      <c r="G76" s="1"/>
      <c r="H76" s="1"/>
      <c r="I76" s="1"/>
      <c r="J76" s="179"/>
      <c r="K76" s="179"/>
      <c r="L76" s="179"/>
      <c r="M76" s="179"/>
      <c r="N76" s="180"/>
      <c r="P76" s="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2:40" s="3" customFormat="1" x14ac:dyDescent="0.25">
      <c r="B77" s="9"/>
      <c r="C77" s="1"/>
      <c r="E77" s="4"/>
      <c r="F77" s="1"/>
      <c r="G77" s="1"/>
      <c r="H77" s="1"/>
      <c r="I77" s="1"/>
      <c r="J77" s="179"/>
      <c r="K77" s="179"/>
      <c r="L77" s="179"/>
      <c r="M77" s="179"/>
      <c r="N77" s="180"/>
      <c r="P77" s="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2:40" s="3" customFormat="1" x14ac:dyDescent="0.25">
      <c r="B78" s="9"/>
      <c r="C78" s="1"/>
      <c r="E78" s="4"/>
      <c r="F78" s="1"/>
      <c r="G78" s="1"/>
      <c r="H78" s="1"/>
      <c r="I78" s="1"/>
      <c r="J78" s="179"/>
      <c r="K78" s="179"/>
      <c r="L78" s="179"/>
      <c r="M78" s="179"/>
      <c r="N78" s="180"/>
      <c r="P78" s="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2:40" s="3" customFormat="1" x14ac:dyDescent="0.25">
      <c r="B79" s="9"/>
      <c r="C79" s="1"/>
      <c r="E79" s="4"/>
      <c r="F79" s="1"/>
      <c r="G79" s="1"/>
      <c r="H79" s="1"/>
      <c r="I79" s="1"/>
      <c r="J79" s="179"/>
      <c r="K79" s="179"/>
      <c r="L79" s="179"/>
      <c r="M79" s="179"/>
      <c r="N79" s="180"/>
      <c r="P79" s="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2:40" s="3" customFormat="1" x14ac:dyDescent="0.25">
      <c r="B80" s="9"/>
      <c r="C80" s="1"/>
      <c r="E80" s="4"/>
      <c r="F80" s="1"/>
      <c r="G80" s="1"/>
      <c r="H80" s="1"/>
      <c r="I80" s="1"/>
      <c r="J80" s="179"/>
      <c r="K80" s="179"/>
      <c r="L80" s="179"/>
      <c r="M80" s="179"/>
      <c r="N80" s="180"/>
      <c r="P80" s="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2:40" s="3" customFormat="1" x14ac:dyDescent="0.25">
      <c r="B81" s="9"/>
      <c r="C81" s="1"/>
      <c r="E81" s="4"/>
      <c r="F81" s="1"/>
      <c r="G81" s="1"/>
      <c r="H81" s="1"/>
      <c r="I81" s="1"/>
      <c r="J81" s="179"/>
      <c r="K81" s="179"/>
      <c r="L81" s="179"/>
      <c r="M81" s="179"/>
      <c r="N81" s="180"/>
      <c r="P81" s="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2:40" s="3" customFormat="1" x14ac:dyDescent="0.25">
      <c r="B82" s="9"/>
      <c r="C82" s="1"/>
      <c r="E82" s="4"/>
      <c r="F82" s="1"/>
      <c r="G82" s="1"/>
      <c r="H82" s="1"/>
      <c r="I82" s="1"/>
      <c r="J82" s="179"/>
      <c r="K82" s="179"/>
      <c r="L82" s="179"/>
      <c r="M82" s="179"/>
      <c r="N82" s="180"/>
      <c r="P82" s="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2:40" s="3" customFormat="1" x14ac:dyDescent="0.25">
      <c r="B83" s="9"/>
      <c r="C83" s="1"/>
      <c r="E83" s="4"/>
      <c r="F83" s="1"/>
      <c r="G83" s="1"/>
      <c r="H83" s="1"/>
      <c r="I83" s="1"/>
      <c r="J83" s="179"/>
      <c r="K83" s="179"/>
      <c r="L83" s="179"/>
      <c r="M83" s="179"/>
      <c r="N83" s="180"/>
      <c r="P83" s="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2:40" s="3" customFormat="1" x14ac:dyDescent="0.25">
      <c r="B84" s="9"/>
      <c r="C84" s="1"/>
      <c r="E84" s="4"/>
      <c r="F84" s="1"/>
      <c r="G84" s="1"/>
      <c r="H84" s="1"/>
      <c r="I84" s="1"/>
      <c r="J84" s="179"/>
      <c r="K84" s="179"/>
      <c r="L84" s="179"/>
      <c r="M84" s="179"/>
      <c r="N84" s="180"/>
      <c r="P84" s="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2:40" s="3" customFormat="1" x14ac:dyDescent="0.25">
      <c r="B85" s="9"/>
      <c r="C85" s="1"/>
      <c r="E85" s="4"/>
      <c r="F85" s="1"/>
      <c r="G85" s="1"/>
      <c r="H85" s="1"/>
      <c r="I85" s="1"/>
      <c r="J85" s="179"/>
      <c r="K85" s="179"/>
      <c r="L85" s="179"/>
      <c r="M85" s="179"/>
      <c r="N85" s="180"/>
      <c r="P85" s="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2:40" s="3" customFormat="1" x14ac:dyDescent="0.25">
      <c r="B86" s="9"/>
      <c r="C86" s="1"/>
      <c r="E86" s="4"/>
      <c r="F86" s="1"/>
      <c r="G86" s="1"/>
      <c r="H86" s="1"/>
      <c r="I86" s="1"/>
      <c r="J86" s="179"/>
      <c r="K86" s="179"/>
      <c r="L86" s="179"/>
      <c r="M86" s="179"/>
      <c r="N86" s="180"/>
      <c r="P86" s="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2:40" s="3" customFormat="1" x14ac:dyDescent="0.25">
      <c r="B87" s="9"/>
      <c r="C87" s="1"/>
      <c r="E87" s="4"/>
      <c r="F87" s="1"/>
      <c r="G87" s="1"/>
      <c r="H87" s="1"/>
      <c r="I87" s="1"/>
      <c r="J87" s="179"/>
      <c r="K87" s="179"/>
      <c r="L87" s="179"/>
      <c r="M87" s="179"/>
      <c r="N87" s="180"/>
      <c r="P87" s="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2:40" s="3" customFormat="1" x14ac:dyDescent="0.25">
      <c r="B88" s="9"/>
      <c r="C88" s="1"/>
      <c r="E88" s="4"/>
      <c r="F88" s="1"/>
      <c r="G88" s="1"/>
      <c r="H88" s="1"/>
      <c r="I88" s="1"/>
      <c r="J88" s="179"/>
      <c r="K88" s="179"/>
      <c r="L88" s="179"/>
      <c r="M88" s="179"/>
      <c r="N88" s="180"/>
      <c r="P88" s="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2:40" s="3" customFormat="1" x14ac:dyDescent="0.25">
      <c r="B89" s="9"/>
      <c r="C89" s="1"/>
      <c r="E89" s="4"/>
      <c r="F89" s="1"/>
      <c r="G89" s="1"/>
      <c r="H89" s="1"/>
      <c r="I89" s="1"/>
      <c r="J89" s="179"/>
      <c r="K89" s="179"/>
      <c r="L89" s="179"/>
      <c r="M89" s="179"/>
      <c r="N89" s="180"/>
      <c r="P89" s="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s="3" customFormat="1" x14ac:dyDescent="0.25">
      <c r="B90" s="9"/>
      <c r="C90" s="1"/>
      <c r="E90" s="4"/>
      <c r="F90" s="1"/>
      <c r="G90" s="1"/>
      <c r="H90" s="1"/>
      <c r="I90" s="1"/>
      <c r="J90" s="179"/>
      <c r="K90" s="179"/>
      <c r="L90" s="179"/>
      <c r="M90" s="179"/>
      <c r="N90" s="180"/>
      <c r="P90" s="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2:40" s="3" customFormat="1" x14ac:dyDescent="0.25">
      <c r="B91" s="9"/>
      <c r="C91" s="1"/>
      <c r="E91" s="4"/>
      <c r="F91" s="1"/>
      <c r="G91" s="1"/>
      <c r="H91" s="1"/>
      <c r="I91" s="1"/>
      <c r="J91" s="179"/>
      <c r="K91" s="179"/>
      <c r="L91" s="179"/>
      <c r="M91" s="179"/>
      <c r="N91" s="180"/>
      <c r="P91" s="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2:40" s="3" customFormat="1" x14ac:dyDescent="0.25">
      <c r="B92" s="9"/>
      <c r="C92" s="1"/>
      <c r="E92" s="4"/>
      <c r="F92" s="1"/>
      <c r="G92" s="1"/>
      <c r="H92" s="1"/>
      <c r="I92" s="1"/>
      <c r="J92" s="179"/>
      <c r="K92" s="179"/>
      <c r="L92" s="179"/>
      <c r="M92" s="179"/>
      <c r="N92" s="180"/>
      <c r="P92" s="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2:40" s="3" customFormat="1" x14ac:dyDescent="0.25">
      <c r="B93" s="9"/>
      <c r="C93" s="1"/>
      <c r="E93" s="4"/>
      <c r="F93" s="1"/>
      <c r="G93" s="1"/>
      <c r="H93" s="1"/>
      <c r="I93" s="1"/>
      <c r="J93" s="179"/>
      <c r="K93" s="179"/>
      <c r="L93" s="179"/>
      <c r="M93" s="179"/>
      <c r="N93" s="180"/>
      <c r="P93" s="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2:40" s="3" customFormat="1" x14ac:dyDescent="0.25">
      <c r="B94" s="9"/>
      <c r="C94" s="1"/>
      <c r="E94" s="4"/>
      <c r="F94" s="1"/>
      <c r="G94" s="1"/>
      <c r="H94" s="1"/>
      <c r="I94" s="1"/>
      <c r="J94" s="179"/>
      <c r="K94" s="179"/>
      <c r="L94" s="179"/>
      <c r="M94" s="179"/>
      <c r="N94" s="180"/>
      <c r="P94" s="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2:40" s="3" customFormat="1" x14ac:dyDescent="0.25">
      <c r="B95" s="9"/>
      <c r="C95" s="1"/>
      <c r="E95" s="4"/>
      <c r="F95" s="1"/>
      <c r="G95" s="1"/>
      <c r="H95" s="1"/>
      <c r="I95" s="1"/>
      <c r="J95" s="179"/>
      <c r="K95" s="179"/>
      <c r="L95" s="179"/>
      <c r="M95" s="179"/>
      <c r="N95" s="180"/>
      <c r="P95" s="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2:40" s="3" customFormat="1" x14ac:dyDescent="0.25">
      <c r="B96" s="9"/>
      <c r="C96" s="1"/>
      <c r="E96" s="4"/>
      <c r="F96" s="1"/>
      <c r="G96" s="1"/>
      <c r="H96" s="1"/>
      <c r="I96" s="1"/>
      <c r="J96" s="179"/>
      <c r="K96" s="179"/>
      <c r="L96" s="179"/>
      <c r="M96" s="179"/>
      <c r="N96" s="180"/>
      <c r="P96" s="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2:40" s="3" customFormat="1" x14ac:dyDescent="0.25">
      <c r="B97" s="9"/>
      <c r="C97" s="1"/>
      <c r="E97" s="4"/>
      <c r="F97" s="1"/>
      <c r="G97" s="1"/>
      <c r="H97" s="1"/>
      <c r="I97" s="1"/>
      <c r="J97" s="179"/>
      <c r="K97" s="179"/>
      <c r="L97" s="179"/>
      <c r="M97" s="179"/>
      <c r="N97" s="180"/>
      <c r="P97" s="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2:40" s="3" customFormat="1" x14ac:dyDescent="0.25">
      <c r="B98" s="9"/>
      <c r="C98" s="1"/>
      <c r="E98" s="4"/>
      <c r="F98" s="1"/>
      <c r="G98" s="1"/>
      <c r="H98" s="1"/>
      <c r="I98" s="1"/>
      <c r="J98" s="179"/>
      <c r="K98" s="179"/>
      <c r="L98" s="179"/>
      <c r="M98" s="179"/>
      <c r="N98" s="180"/>
      <c r="P98" s="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2:40" s="3" customFormat="1" x14ac:dyDescent="0.25">
      <c r="B99" s="9"/>
      <c r="C99" s="1"/>
      <c r="E99" s="4"/>
      <c r="F99" s="1"/>
      <c r="G99" s="1"/>
      <c r="H99" s="1"/>
      <c r="I99" s="1"/>
      <c r="J99" s="179"/>
      <c r="K99" s="179"/>
      <c r="L99" s="179"/>
      <c r="M99" s="179"/>
      <c r="N99" s="180"/>
      <c r="P99" s="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2:40" s="3" customFormat="1" x14ac:dyDescent="0.25">
      <c r="B100" s="9"/>
      <c r="C100" s="1"/>
      <c r="E100" s="4"/>
      <c r="F100" s="1"/>
      <c r="G100" s="1"/>
      <c r="H100" s="1"/>
      <c r="I100" s="1"/>
      <c r="J100" s="179"/>
      <c r="K100" s="179"/>
      <c r="L100" s="179"/>
      <c r="M100" s="179"/>
      <c r="N100" s="180"/>
      <c r="P100" s="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2:40" s="3" customFormat="1" x14ac:dyDescent="0.25">
      <c r="B101" s="9"/>
      <c r="C101" s="1"/>
      <c r="E101" s="4"/>
      <c r="F101" s="1"/>
      <c r="G101" s="1"/>
      <c r="H101" s="1"/>
      <c r="I101" s="1"/>
      <c r="J101" s="179"/>
      <c r="K101" s="179"/>
      <c r="L101" s="179"/>
      <c r="M101" s="179"/>
      <c r="N101" s="180"/>
      <c r="P101" s="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2:40" s="3" customFormat="1" x14ac:dyDescent="0.25">
      <c r="B102" s="9"/>
      <c r="C102" s="1"/>
      <c r="E102" s="4"/>
      <c r="F102" s="1"/>
      <c r="G102" s="1"/>
      <c r="H102" s="1"/>
      <c r="I102" s="1"/>
      <c r="J102" s="179"/>
      <c r="K102" s="179"/>
      <c r="L102" s="179"/>
      <c r="M102" s="179"/>
      <c r="N102" s="180"/>
      <c r="P102" s="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2:40" s="3" customFormat="1" x14ac:dyDescent="0.25">
      <c r="B103" s="9"/>
      <c r="C103" s="1"/>
      <c r="E103" s="4"/>
      <c r="F103" s="1"/>
      <c r="G103" s="1"/>
      <c r="H103" s="1"/>
      <c r="I103" s="1"/>
      <c r="J103" s="179"/>
      <c r="K103" s="179"/>
      <c r="L103" s="179"/>
      <c r="M103" s="179"/>
      <c r="N103" s="180"/>
      <c r="P103" s="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2:40" s="3" customFormat="1" x14ac:dyDescent="0.25">
      <c r="B104" s="9"/>
      <c r="C104" s="1"/>
      <c r="E104" s="4"/>
      <c r="F104" s="1"/>
      <c r="G104" s="1"/>
      <c r="H104" s="1"/>
      <c r="I104" s="1"/>
      <c r="J104" s="179"/>
      <c r="K104" s="179"/>
      <c r="L104" s="179"/>
      <c r="M104" s="179"/>
      <c r="N104" s="180"/>
      <c r="P104" s="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2:40" s="3" customFormat="1" x14ac:dyDescent="0.25">
      <c r="B105" s="9"/>
      <c r="C105" s="1"/>
      <c r="E105" s="4"/>
      <c r="F105" s="1"/>
      <c r="G105" s="1"/>
      <c r="H105" s="1"/>
      <c r="I105" s="1"/>
      <c r="J105" s="179"/>
      <c r="K105" s="179"/>
      <c r="L105" s="179"/>
      <c r="M105" s="179"/>
      <c r="N105" s="180"/>
      <c r="P105" s="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2:40" s="3" customFormat="1" x14ac:dyDescent="0.25">
      <c r="B106" s="9"/>
      <c r="C106" s="1"/>
      <c r="E106" s="4"/>
      <c r="F106" s="1"/>
      <c r="G106" s="1"/>
      <c r="H106" s="1"/>
      <c r="I106" s="1"/>
      <c r="J106" s="179"/>
      <c r="K106" s="179"/>
      <c r="L106" s="179"/>
      <c r="M106" s="179"/>
      <c r="N106" s="180"/>
      <c r="P106" s="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2:40" s="3" customFormat="1" x14ac:dyDescent="0.25">
      <c r="B107" s="9"/>
      <c r="C107" s="1"/>
      <c r="E107" s="4"/>
      <c r="F107" s="1"/>
      <c r="G107" s="1"/>
      <c r="H107" s="1"/>
      <c r="I107" s="1"/>
      <c r="J107" s="179"/>
      <c r="K107" s="179"/>
      <c r="L107" s="179"/>
      <c r="M107" s="179"/>
      <c r="N107" s="180"/>
      <c r="P107" s="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2:40" s="3" customFormat="1" x14ac:dyDescent="0.25">
      <c r="B108" s="9"/>
      <c r="C108" s="1"/>
      <c r="E108" s="4"/>
      <c r="F108" s="1"/>
      <c r="G108" s="1"/>
      <c r="H108" s="1"/>
      <c r="I108" s="1"/>
      <c r="J108" s="179"/>
      <c r="K108" s="179"/>
      <c r="L108" s="179"/>
      <c r="M108" s="179"/>
      <c r="N108" s="180"/>
      <c r="P108" s="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2:40" s="3" customFormat="1" x14ac:dyDescent="0.25">
      <c r="B109" s="9"/>
      <c r="C109" s="1"/>
      <c r="E109" s="4"/>
      <c r="F109" s="1"/>
      <c r="G109" s="1"/>
      <c r="H109" s="1"/>
      <c r="I109" s="1"/>
      <c r="J109" s="179"/>
      <c r="K109" s="179"/>
      <c r="L109" s="179"/>
      <c r="M109" s="179"/>
      <c r="N109" s="180"/>
      <c r="P109" s="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2:40" s="3" customFormat="1" x14ac:dyDescent="0.25">
      <c r="B110" s="9"/>
      <c r="C110" s="1"/>
      <c r="E110" s="4"/>
      <c r="F110" s="1"/>
      <c r="G110" s="1"/>
      <c r="H110" s="1"/>
      <c r="I110" s="1"/>
      <c r="J110" s="179"/>
      <c r="K110" s="179"/>
      <c r="L110" s="179"/>
      <c r="M110" s="179"/>
      <c r="N110" s="180"/>
      <c r="P110" s="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2:40" s="3" customFormat="1" x14ac:dyDescent="0.25">
      <c r="B111" s="9"/>
      <c r="C111" s="1"/>
      <c r="E111" s="4"/>
      <c r="F111" s="1"/>
      <c r="G111" s="1"/>
      <c r="H111" s="1"/>
      <c r="I111" s="1"/>
      <c r="J111" s="179"/>
      <c r="K111" s="179"/>
      <c r="L111" s="179"/>
      <c r="M111" s="179"/>
      <c r="N111" s="180"/>
      <c r="P111" s="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2:40" s="3" customFormat="1" x14ac:dyDescent="0.25">
      <c r="B112" s="9"/>
      <c r="C112" s="1"/>
      <c r="E112" s="4"/>
      <c r="F112" s="1"/>
      <c r="G112" s="1"/>
      <c r="H112" s="1"/>
      <c r="I112" s="1"/>
      <c r="J112" s="179"/>
      <c r="K112" s="179"/>
      <c r="L112" s="179"/>
      <c r="M112" s="179"/>
      <c r="N112" s="180"/>
      <c r="P112" s="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2:40" s="3" customFormat="1" x14ac:dyDescent="0.25">
      <c r="B113" s="9"/>
      <c r="C113" s="1"/>
      <c r="E113" s="4"/>
      <c r="F113" s="1"/>
      <c r="G113" s="1"/>
      <c r="H113" s="1"/>
      <c r="I113" s="1"/>
      <c r="J113" s="179"/>
      <c r="K113" s="179"/>
      <c r="L113" s="179"/>
      <c r="M113" s="179"/>
      <c r="N113" s="180"/>
      <c r="P113" s="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2:40" s="3" customFormat="1" x14ac:dyDescent="0.25">
      <c r="B114" s="9"/>
      <c r="C114" s="1"/>
      <c r="E114" s="4"/>
      <c r="F114" s="1"/>
      <c r="G114" s="1"/>
      <c r="H114" s="1"/>
      <c r="I114" s="1"/>
      <c r="J114" s="179"/>
      <c r="K114" s="179"/>
      <c r="L114" s="179"/>
      <c r="M114" s="179"/>
      <c r="N114" s="180"/>
      <c r="P114" s="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2:40" s="3" customFormat="1" x14ac:dyDescent="0.25">
      <c r="B115" s="9"/>
      <c r="C115" s="1"/>
      <c r="E115" s="4"/>
      <c r="F115" s="1"/>
      <c r="G115" s="1"/>
      <c r="H115" s="1"/>
      <c r="I115" s="1"/>
      <c r="J115" s="179"/>
      <c r="K115" s="179"/>
      <c r="L115" s="179"/>
      <c r="M115" s="179"/>
      <c r="N115" s="180"/>
      <c r="P115" s="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2:40" s="3" customFormat="1" x14ac:dyDescent="0.25">
      <c r="B116" s="9"/>
      <c r="C116" s="1"/>
      <c r="E116" s="4"/>
      <c r="F116" s="1"/>
      <c r="G116" s="1"/>
      <c r="H116" s="1"/>
      <c r="I116" s="1"/>
      <c r="J116" s="179"/>
      <c r="K116" s="179"/>
      <c r="L116" s="179"/>
      <c r="M116" s="179"/>
      <c r="N116" s="180"/>
      <c r="P116" s="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2:40" s="3" customFormat="1" x14ac:dyDescent="0.25">
      <c r="B117" s="9"/>
      <c r="C117" s="1"/>
      <c r="E117" s="4"/>
      <c r="F117" s="1"/>
      <c r="G117" s="1"/>
      <c r="H117" s="1"/>
      <c r="I117" s="1"/>
      <c r="J117" s="179"/>
      <c r="K117" s="179"/>
      <c r="L117" s="179"/>
      <c r="M117" s="179"/>
      <c r="N117" s="180"/>
      <c r="P117" s="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2:40" s="3" customFormat="1" x14ac:dyDescent="0.25">
      <c r="B118" s="9"/>
      <c r="C118" s="1"/>
      <c r="E118" s="4"/>
      <c r="F118" s="1"/>
      <c r="G118" s="1"/>
      <c r="H118" s="1"/>
      <c r="I118" s="1"/>
      <c r="J118" s="179"/>
      <c r="K118" s="179"/>
      <c r="L118" s="179"/>
      <c r="M118" s="179"/>
      <c r="N118" s="180"/>
      <c r="P118" s="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2:40" s="3" customFormat="1" x14ac:dyDescent="0.25">
      <c r="B119" s="9"/>
      <c r="C119" s="1"/>
      <c r="E119" s="4"/>
      <c r="F119" s="1"/>
      <c r="G119" s="1"/>
      <c r="H119" s="1"/>
      <c r="I119" s="1"/>
      <c r="J119" s="179"/>
      <c r="K119" s="179"/>
      <c r="L119" s="179"/>
      <c r="M119" s="179"/>
      <c r="N119" s="180"/>
      <c r="P119" s="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2:40" s="3" customFormat="1" x14ac:dyDescent="0.25">
      <c r="B120" s="9"/>
      <c r="C120" s="1"/>
      <c r="E120" s="4"/>
      <c r="F120" s="1"/>
      <c r="G120" s="1"/>
      <c r="H120" s="1"/>
      <c r="I120" s="1"/>
      <c r="J120" s="179"/>
      <c r="K120" s="179"/>
      <c r="L120" s="179"/>
      <c r="M120" s="179"/>
      <c r="N120" s="180"/>
      <c r="P120" s="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2:40" s="3" customFormat="1" x14ac:dyDescent="0.25">
      <c r="B121" s="9"/>
      <c r="C121" s="1"/>
      <c r="E121" s="4"/>
      <c r="F121" s="1"/>
      <c r="G121" s="1"/>
      <c r="H121" s="1"/>
      <c r="I121" s="1"/>
      <c r="J121" s="179"/>
      <c r="K121" s="179"/>
      <c r="L121" s="179"/>
      <c r="M121" s="179"/>
      <c r="N121" s="180"/>
      <c r="P121" s="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2:40" s="3" customFormat="1" x14ac:dyDescent="0.25">
      <c r="B122" s="9"/>
      <c r="C122" s="1"/>
      <c r="E122" s="4"/>
      <c r="F122" s="1"/>
      <c r="G122" s="1"/>
      <c r="H122" s="1"/>
      <c r="I122" s="1"/>
      <c r="J122" s="179"/>
      <c r="K122" s="179"/>
      <c r="L122" s="179"/>
      <c r="M122" s="179"/>
      <c r="N122" s="180"/>
      <c r="P122" s="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2:40" s="3" customFormat="1" x14ac:dyDescent="0.25">
      <c r="B123" s="9"/>
      <c r="C123" s="1"/>
      <c r="E123" s="4"/>
      <c r="F123" s="1"/>
      <c r="G123" s="1"/>
      <c r="H123" s="1"/>
      <c r="I123" s="1"/>
      <c r="J123" s="179"/>
      <c r="K123" s="179"/>
      <c r="L123" s="179"/>
      <c r="M123" s="179"/>
      <c r="N123" s="180"/>
      <c r="P123" s="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2:40" s="3" customFormat="1" x14ac:dyDescent="0.25">
      <c r="B124" s="9"/>
      <c r="C124" s="1"/>
      <c r="E124" s="4"/>
      <c r="F124" s="1"/>
      <c r="G124" s="1"/>
      <c r="H124" s="1"/>
      <c r="I124" s="1"/>
      <c r="J124" s="179"/>
      <c r="K124" s="179"/>
      <c r="L124" s="179"/>
      <c r="M124" s="179"/>
      <c r="N124" s="180"/>
      <c r="P124" s="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2:40" s="3" customFormat="1" x14ac:dyDescent="0.25">
      <c r="B125" s="9"/>
      <c r="C125" s="1"/>
      <c r="E125" s="4"/>
      <c r="F125" s="1"/>
      <c r="G125" s="1"/>
      <c r="H125" s="1"/>
      <c r="I125" s="1"/>
      <c r="J125" s="179"/>
      <c r="K125" s="179"/>
      <c r="L125" s="179"/>
      <c r="M125" s="179"/>
      <c r="N125" s="180"/>
      <c r="P125" s="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2:40" s="3" customFormat="1" x14ac:dyDescent="0.25">
      <c r="B126" s="9"/>
      <c r="C126" s="1"/>
      <c r="E126" s="4"/>
      <c r="F126" s="1"/>
      <c r="G126" s="1"/>
      <c r="H126" s="1"/>
      <c r="I126" s="1"/>
      <c r="J126" s="179"/>
      <c r="K126" s="179"/>
      <c r="L126" s="179"/>
      <c r="M126" s="179"/>
      <c r="N126" s="180"/>
      <c r="P126" s="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2:40" s="3" customFormat="1" x14ac:dyDescent="0.25">
      <c r="B127" s="9"/>
      <c r="C127" s="1"/>
      <c r="E127" s="4"/>
      <c r="F127" s="1"/>
      <c r="G127" s="1"/>
      <c r="H127" s="1"/>
      <c r="I127" s="1"/>
      <c r="J127" s="179"/>
      <c r="K127" s="179"/>
      <c r="L127" s="179"/>
      <c r="M127" s="179"/>
      <c r="N127" s="180"/>
      <c r="P127" s="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2:40" s="3" customFormat="1" x14ac:dyDescent="0.25">
      <c r="B128" s="9"/>
      <c r="C128" s="1"/>
      <c r="E128" s="4"/>
      <c r="F128" s="1"/>
      <c r="G128" s="1"/>
      <c r="H128" s="1"/>
      <c r="I128" s="1"/>
      <c r="J128" s="179"/>
      <c r="K128" s="179"/>
      <c r="L128" s="179"/>
      <c r="M128" s="179"/>
      <c r="N128" s="180"/>
      <c r="P128" s="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2:40" s="3" customFormat="1" x14ac:dyDescent="0.25">
      <c r="B129" s="9"/>
      <c r="C129" s="1"/>
      <c r="E129" s="4"/>
      <c r="F129" s="1"/>
      <c r="G129" s="1"/>
      <c r="H129" s="1"/>
      <c r="I129" s="1"/>
      <c r="J129" s="179"/>
      <c r="K129" s="179"/>
      <c r="L129" s="179"/>
      <c r="M129" s="179"/>
      <c r="N129" s="180"/>
      <c r="P129" s="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2:40" s="3" customFormat="1" x14ac:dyDescent="0.25">
      <c r="B130" s="9"/>
      <c r="C130" s="1"/>
      <c r="E130" s="4"/>
      <c r="F130" s="1"/>
      <c r="G130" s="1"/>
      <c r="H130" s="1"/>
      <c r="I130" s="1"/>
      <c r="J130" s="179"/>
      <c r="K130" s="179"/>
      <c r="L130" s="179"/>
      <c r="M130" s="179"/>
      <c r="N130" s="180"/>
      <c r="P130" s="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2:40" s="3" customFormat="1" x14ac:dyDescent="0.25">
      <c r="B131" s="9"/>
      <c r="C131" s="1"/>
      <c r="E131" s="4"/>
      <c r="F131" s="1"/>
      <c r="G131" s="1"/>
      <c r="H131" s="1"/>
      <c r="I131" s="1"/>
      <c r="J131" s="179"/>
      <c r="K131" s="179"/>
      <c r="L131" s="179"/>
      <c r="M131" s="179"/>
      <c r="N131" s="180"/>
      <c r="P131" s="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2:40" s="3" customFormat="1" x14ac:dyDescent="0.25">
      <c r="B132" s="9"/>
      <c r="C132" s="1"/>
      <c r="E132" s="4"/>
      <c r="F132" s="1"/>
      <c r="G132" s="1"/>
      <c r="H132" s="1"/>
      <c r="I132" s="1"/>
      <c r="J132" s="179"/>
      <c r="K132" s="179"/>
      <c r="L132" s="179"/>
      <c r="M132" s="179"/>
      <c r="N132" s="180"/>
      <c r="P132" s="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2:40" s="3" customFormat="1" x14ac:dyDescent="0.25">
      <c r="B133" s="9"/>
      <c r="C133" s="1"/>
      <c r="E133" s="4"/>
      <c r="F133" s="1"/>
      <c r="G133" s="1"/>
      <c r="H133" s="1"/>
      <c r="I133" s="1"/>
      <c r="J133" s="179"/>
      <c r="K133" s="179"/>
      <c r="L133" s="179"/>
      <c r="M133" s="179"/>
      <c r="N133" s="180"/>
      <c r="P133" s="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2:40" s="3" customFormat="1" x14ac:dyDescent="0.25">
      <c r="B134" s="9"/>
      <c r="C134" s="1"/>
      <c r="E134" s="4"/>
      <c r="F134" s="1"/>
      <c r="G134" s="1"/>
      <c r="H134" s="1"/>
      <c r="I134" s="1"/>
      <c r="J134" s="179"/>
      <c r="K134" s="179"/>
      <c r="L134" s="179"/>
      <c r="M134" s="179"/>
      <c r="N134" s="180"/>
      <c r="P134" s="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2:40" s="3" customFormat="1" x14ac:dyDescent="0.25">
      <c r="B135" s="9"/>
      <c r="C135" s="1"/>
      <c r="E135" s="4"/>
      <c r="F135" s="1"/>
      <c r="G135" s="1"/>
      <c r="H135" s="1"/>
      <c r="I135" s="1"/>
      <c r="J135" s="179"/>
      <c r="K135" s="179"/>
      <c r="L135" s="179"/>
      <c r="M135" s="179"/>
      <c r="N135" s="180"/>
      <c r="P135" s="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2:40" s="3" customFormat="1" x14ac:dyDescent="0.25">
      <c r="B136" s="9"/>
      <c r="C136" s="1"/>
      <c r="E136" s="4"/>
      <c r="F136" s="1"/>
      <c r="G136" s="1"/>
      <c r="H136" s="1"/>
      <c r="I136" s="1"/>
      <c r="J136" s="179"/>
      <c r="K136" s="179"/>
      <c r="L136" s="179"/>
      <c r="M136" s="179"/>
      <c r="N136" s="180"/>
      <c r="P136" s="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2:40" s="3" customFormat="1" x14ac:dyDescent="0.25">
      <c r="B137" s="9"/>
      <c r="C137" s="1"/>
      <c r="E137" s="4"/>
      <c r="F137" s="1"/>
      <c r="G137" s="1"/>
      <c r="H137" s="1"/>
      <c r="I137" s="1"/>
      <c r="J137" s="179"/>
      <c r="K137" s="179"/>
      <c r="L137" s="179"/>
      <c r="M137" s="179"/>
      <c r="N137" s="180"/>
      <c r="P137" s="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2:40" s="3" customFormat="1" x14ac:dyDescent="0.25">
      <c r="B138" s="9"/>
      <c r="C138" s="1"/>
      <c r="E138" s="4"/>
      <c r="F138" s="1"/>
      <c r="G138" s="1"/>
      <c r="H138" s="1"/>
      <c r="I138" s="1"/>
      <c r="J138" s="179"/>
      <c r="K138" s="179"/>
      <c r="L138" s="179"/>
      <c r="M138" s="179"/>
      <c r="N138" s="180"/>
      <c r="P138" s="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2:40" s="3" customFormat="1" x14ac:dyDescent="0.25">
      <c r="B139" s="9"/>
      <c r="C139" s="1"/>
      <c r="E139" s="4"/>
      <c r="F139" s="1"/>
      <c r="G139" s="1"/>
      <c r="H139" s="1"/>
      <c r="I139" s="1"/>
      <c r="J139" s="179"/>
      <c r="K139" s="179"/>
      <c r="L139" s="179"/>
      <c r="M139" s="179"/>
      <c r="N139" s="180"/>
      <c r="P139" s="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2:40" s="3" customFormat="1" x14ac:dyDescent="0.25">
      <c r="B140" s="9"/>
      <c r="C140" s="1"/>
      <c r="E140" s="4"/>
      <c r="F140" s="1"/>
      <c r="G140" s="1"/>
      <c r="H140" s="1"/>
      <c r="I140" s="1"/>
      <c r="J140" s="179"/>
      <c r="K140" s="179"/>
      <c r="L140" s="179"/>
      <c r="M140" s="179"/>
      <c r="N140" s="180"/>
      <c r="P140" s="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2:40" s="3" customFormat="1" x14ac:dyDescent="0.25">
      <c r="B141" s="9"/>
      <c r="C141" s="1"/>
      <c r="E141" s="4"/>
      <c r="F141" s="1"/>
      <c r="G141" s="1"/>
      <c r="H141" s="1"/>
      <c r="I141" s="1"/>
      <c r="J141" s="179"/>
      <c r="K141" s="179"/>
      <c r="L141" s="179"/>
      <c r="M141" s="179"/>
      <c r="N141" s="180"/>
      <c r="P141" s="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2:40" s="3" customFormat="1" x14ac:dyDescent="0.25">
      <c r="B142" s="9"/>
      <c r="C142" s="1"/>
      <c r="E142" s="4"/>
      <c r="F142" s="1"/>
      <c r="G142" s="1"/>
      <c r="H142" s="1"/>
      <c r="I142" s="1"/>
      <c r="J142" s="179"/>
      <c r="K142" s="179"/>
      <c r="L142" s="179"/>
      <c r="M142" s="179"/>
      <c r="N142" s="180"/>
      <c r="P142" s="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2:40" s="3" customFormat="1" x14ac:dyDescent="0.25">
      <c r="B143" s="9"/>
      <c r="C143" s="1"/>
      <c r="E143" s="4"/>
      <c r="F143" s="1"/>
      <c r="G143" s="1"/>
      <c r="H143" s="1"/>
      <c r="I143" s="1"/>
      <c r="J143" s="179"/>
      <c r="K143" s="179"/>
      <c r="L143" s="179"/>
      <c r="M143" s="179"/>
      <c r="N143" s="180"/>
      <c r="P143" s="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2:40" s="3" customFormat="1" x14ac:dyDescent="0.25">
      <c r="B144" s="9"/>
      <c r="C144" s="1"/>
      <c r="E144" s="4"/>
      <c r="F144" s="1"/>
      <c r="G144" s="1"/>
      <c r="H144" s="1"/>
      <c r="I144" s="1"/>
      <c r="J144" s="179"/>
      <c r="K144" s="179"/>
      <c r="L144" s="179"/>
      <c r="M144" s="179"/>
      <c r="N144" s="180"/>
      <c r="P144" s="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2:40" s="3" customFormat="1" x14ac:dyDescent="0.25">
      <c r="B145" s="9"/>
      <c r="C145" s="1"/>
      <c r="E145" s="4"/>
      <c r="F145" s="1"/>
      <c r="G145" s="1"/>
      <c r="H145" s="1"/>
      <c r="I145" s="1"/>
      <c r="J145" s="179"/>
      <c r="K145" s="179"/>
      <c r="L145" s="179"/>
      <c r="M145" s="179"/>
      <c r="N145" s="180"/>
      <c r="P145" s="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2:40" s="3" customFormat="1" x14ac:dyDescent="0.25">
      <c r="B146" s="9"/>
      <c r="C146" s="1"/>
      <c r="E146" s="4"/>
      <c r="F146" s="1"/>
      <c r="G146" s="1"/>
      <c r="H146" s="1"/>
      <c r="I146" s="1"/>
      <c r="J146" s="179"/>
      <c r="K146" s="179"/>
      <c r="L146" s="179"/>
      <c r="M146" s="179"/>
      <c r="N146" s="180"/>
      <c r="P146" s="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2:40" s="3" customFormat="1" x14ac:dyDescent="0.25">
      <c r="B147" s="9"/>
      <c r="C147" s="1"/>
      <c r="E147" s="4"/>
      <c r="F147" s="1"/>
      <c r="G147" s="1"/>
      <c r="H147" s="1"/>
      <c r="I147" s="1"/>
      <c r="J147" s="179"/>
      <c r="K147" s="179"/>
      <c r="L147" s="179"/>
      <c r="M147" s="179"/>
      <c r="N147" s="180"/>
      <c r="P147" s="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2:40" s="3" customFormat="1" x14ac:dyDescent="0.25">
      <c r="B148" s="9"/>
      <c r="C148" s="1"/>
      <c r="E148" s="4"/>
      <c r="F148" s="1"/>
      <c r="G148" s="1"/>
      <c r="H148" s="1"/>
      <c r="I148" s="1"/>
      <c r="J148" s="179"/>
      <c r="K148" s="179"/>
      <c r="L148" s="179"/>
      <c r="M148" s="179"/>
      <c r="N148" s="180"/>
      <c r="P148" s="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2:40" s="3" customFormat="1" x14ac:dyDescent="0.25">
      <c r="B149" s="9"/>
      <c r="C149" s="1"/>
      <c r="E149" s="4"/>
      <c r="F149" s="1"/>
      <c r="G149" s="1"/>
      <c r="H149" s="1"/>
      <c r="I149" s="1"/>
      <c r="J149" s="179"/>
      <c r="K149" s="179"/>
      <c r="L149" s="179"/>
      <c r="M149" s="179"/>
      <c r="N149" s="180"/>
      <c r="P149" s="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2:40" s="3" customFormat="1" x14ac:dyDescent="0.25">
      <c r="B150" s="9"/>
      <c r="C150" s="1"/>
      <c r="E150" s="4"/>
      <c r="F150" s="1"/>
      <c r="G150" s="1"/>
      <c r="H150" s="1"/>
      <c r="I150" s="1"/>
      <c r="J150" s="179"/>
      <c r="K150" s="179"/>
      <c r="L150" s="179"/>
      <c r="M150" s="179"/>
      <c r="N150" s="180"/>
      <c r="P150" s="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2:40" s="3" customFormat="1" x14ac:dyDescent="0.25">
      <c r="B151" s="9"/>
      <c r="C151" s="1"/>
      <c r="E151" s="4"/>
      <c r="F151" s="1"/>
      <c r="G151" s="1"/>
      <c r="H151" s="1"/>
      <c r="I151" s="1"/>
      <c r="J151" s="179"/>
      <c r="K151" s="179"/>
      <c r="L151" s="179"/>
      <c r="M151" s="179"/>
      <c r="N151" s="180"/>
      <c r="P151" s="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2:40" s="3" customFormat="1" x14ac:dyDescent="0.25">
      <c r="B152" s="9"/>
      <c r="C152" s="1"/>
      <c r="E152" s="4"/>
      <c r="F152" s="1"/>
      <c r="G152" s="1"/>
      <c r="H152" s="1"/>
      <c r="I152" s="1"/>
      <c r="J152" s="179"/>
      <c r="K152" s="179"/>
      <c r="L152" s="179"/>
      <c r="M152" s="179"/>
      <c r="N152" s="180"/>
      <c r="P152" s="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2:40" s="3" customFormat="1" x14ac:dyDescent="0.25">
      <c r="B153" s="9"/>
      <c r="C153" s="1"/>
      <c r="E153" s="4"/>
      <c r="F153" s="1"/>
      <c r="G153" s="1"/>
      <c r="H153" s="1"/>
      <c r="I153" s="1"/>
      <c r="J153" s="179"/>
      <c r="K153" s="179"/>
      <c r="L153" s="179"/>
      <c r="M153" s="179"/>
      <c r="N153" s="180"/>
      <c r="P153" s="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2:40" s="3" customFormat="1" x14ac:dyDescent="0.25">
      <c r="B154" s="9"/>
      <c r="C154" s="1"/>
      <c r="E154" s="4"/>
      <c r="F154" s="1"/>
      <c r="G154" s="1"/>
      <c r="H154" s="1"/>
      <c r="I154" s="1"/>
      <c r="J154" s="179"/>
      <c r="K154" s="179"/>
      <c r="L154" s="179"/>
      <c r="M154" s="179"/>
      <c r="N154" s="180"/>
      <c r="P154" s="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2:40" s="3" customFormat="1" x14ac:dyDescent="0.25">
      <c r="B155" s="9"/>
      <c r="C155" s="1"/>
      <c r="E155" s="4"/>
      <c r="F155" s="1"/>
      <c r="G155" s="1"/>
      <c r="H155" s="1"/>
      <c r="I155" s="1"/>
      <c r="J155" s="179"/>
      <c r="K155" s="179"/>
      <c r="L155" s="179"/>
      <c r="M155" s="179"/>
      <c r="N155" s="180"/>
      <c r="P155" s="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2:40" s="3" customFormat="1" x14ac:dyDescent="0.25">
      <c r="B156" s="9"/>
      <c r="C156" s="1"/>
      <c r="E156" s="4"/>
      <c r="F156" s="1"/>
      <c r="G156" s="1"/>
      <c r="H156" s="1"/>
      <c r="I156" s="1"/>
      <c r="J156" s="179"/>
      <c r="K156" s="179"/>
      <c r="L156" s="179"/>
      <c r="M156" s="179"/>
      <c r="N156" s="180"/>
      <c r="P156" s="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2:40" s="3" customFormat="1" x14ac:dyDescent="0.25">
      <c r="B157" s="9"/>
      <c r="C157" s="1"/>
      <c r="E157" s="4"/>
      <c r="F157" s="1"/>
      <c r="G157" s="1"/>
      <c r="H157" s="1"/>
      <c r="I157" s="1"/>
      <c r="J157" s="179"/>
      <c r="K157" s="179"/>
      <c r="L157" s="179"/>
      <c r="M157" s="179"/>
      <c r="N157" s="180"/>
      <c r="P157" s="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2:40" s="3" customFormat="1" x14ac:dyDescent="0.25">
      <c r="B158" s="9"/>
      <c r="C158" s="1"/>
      <c r="E158" s="4"/>
      <c r="F158" s="1"/>
      <c r="G158" s="1"/>
      <c r="H158" s="1"/>
      <c r="I158" s="1"/>
      <c r="J158" s="179"/>
      <c r="K158" s="179"/>
      <c r="L158" s="179"/>
      <c r="M158" s="179"/>
      <c r="N158" s="180"/>
      <c r="P158" s="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2:40" s="3" customFormat="1" x14ac:dyDescent="0.25">
      <c r="B159" s="9"/>
      <c r="C159" s="1"/>
      <c r="E159" s="4"/>
      <c r="F159" s="1"/>
      <c r="G159" s="1"/>
      <c r="H159" s="1"/>
      <c r="I159" s="1"/>
      <c r="J159" s="179"/>
      <c r="K159" s="179"/>
      <c r="L159" s="179"/>
      <c r="M159" s="179"/>
      <c r="N159" s="180"/>
      <c r="P159" s="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2:40" s="3" customFormat="1" x14ac:dyDescent="0.25">
      <c r="B160" s="9"/>
      <c r="C160" s="1"/>
      <c r="E160" s="4"/>
      <c r="F160" s="1"/>
      <c r="G160" s="1"/>
      <c r="H160" s="1"/>
      <c r="I160" s="1"/>
      <c r="J160" s="179"/>
      <c r="K160" s="179"/>
      <c r="L160" s="179"/>
      <c r="M160" s="179"/>
      <c r="N160" s="180"/>
      <c r="P160" s="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2:40" s="3" customFormat="1" x14ac:dyDescent="0.25">
      <c r="B161" s="9"/>
      <c r="C161" s="1"/>
      <c r="E161" s="4"/>
      <c r="F161" s="1"/>
      <c r="G161" s="1"/>
      <c r="H161" s="1"/>
      <c r="I161" s="1"/>
      <c r="J161" s="179"/>
      <c r="K161" s="179"/>
      <c r="L161" s="179"/>
      <c r="M161" s="179"/>
      <c r="N161" s="180"/>
      <c r="P161" s="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2:40" s="3" customFormat="1" x14ac:dyDescent="0.25">
      <c r="B162" s="9"/>
      <c r="C162" s="1"/>
      <c r="E162" s="4"/>
      <c r="F162" s="1"/>
      <c r="G162" s="1"/>
      <c r="H162" s="1"/>
      <c r="I162" s="1"/>
      <c r="J162" s="179"/>
      <c r="K162" s="179"/>
      <c r="L162" s="179"/>
      <c r="M162" s="179"/>
      <c r="N162" s="180"/>
      <c r="P162" s="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2:40" s="3" customFormat="1" x14ac:dyDescent="0.25">
      <c r="B163" s="9"/>
      <c r="C163" s="1"/>
      <c r="E163" s="4"/>
      <c r="F163" s="1"/>
      <c r="G163" s="1"/>
      <c r="H163" s="1"/>
      <c r="I163" s="1"/>
      <c r="J163" s="179"/>
      <c r="K163" s="179"/>
      <c r="L163" s="179"/>
      <c r="M163" s="179"/>
      <c r="N163" s="180"/>
      <c r="P163" s="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2:40" s="3" customFormat="1" x14ac:dyDescent="0.25">
      <c r="B164" s="9"/>
      <c r="C164" s="1"/>
      <c r="E164" s="4"/>
      <c r="F164" s="1"/>
      <c r="G164" s="1"/>
      <c r="H164" s="1"/>
      <c r="I164" s="1"/>
      <c r="J164" s="179"/>
      <c r="K164" s="179"/>
      <c r="L164" s="179"/>
      <c r="M164" s="179"/>
      <c r="N164" s="180"/>
      <c r="P164" s="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2:40" s="3" customFormat="1" x14ac:dyDescent="0.25">
      <c r="B165" s="9"/>
      <c r="C165" s="1"/>
      <c r="E165" s="4"/>
      <c r="F165" s="1"/>
      <c r="G165" s="1"/>
      <c r="H165" s="1"/>
      <c r="I165" s="1"/>
      <c r="J165" s="179"/>
      <c r="K165" s="179"/>
      <c r="L165" s="179"/>
      <c r="M165" s="179"/>
      <c r="N165" s="180"/>
      <c r="P165" s="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2:40" s="3" customFormat="1" x14ac:dyDescent="0.25">
      <c r="B166" s="9"/>
      <c r="C166" s="1"/>
      <c r="E166" s="4"/>
      <c r="F166" s="1"/>
      <c r="G166" s="1"/>
      <c r="H166" s="1"/>
      <c r="I166" s="1"/>
      <c r="J166" s="179"/>
      <c r="K166" s="179"/>
      <c r="L166" s="179"/>
      <c r="M166" s="179"/>
      <c r="N166" s="180"/>
      <c r="P166" s="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2:40" s="3" customFormat="1" x14ac:dyDescent="0.25">
      <c r="B167" s="9"/>
      <c r="C167" s="1"/>
      <c r="E167" s="4"/>
      <c r="F167" s="1"/>
      <c r="G167" s="1"/>
      <c r="H167" s="1"/>
      <c r="I167" s="1"/>
      <c r="J167" s="179"/>
      <c r="K167" s="179"/>
      <c r="L167" s="179"/>
      <c r="M167" s="179"/>
      <c r="N167" s="180"/>
      <c r="P167" s="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2:40" s="3" customFormat="1" x14ac:dyDescent="0.25">
      <c r="B168" s="9"/>
      <c r="C168" s="1"/>
      <c r="E168" s="4"/>
      <c r="F168" s="1"/>
      <c r="G168" s="1"/>
      <c r="H168" s="1"/>
      <c r="I168" s="1"/>
      <c r="J168" s="179"/>
      <c r="K168" s="179"/>
      <c r="L168" s="179"/>
      <c r="M168" s="179"/>
      <c r="N168" s="180"/>
      <c r="P168" s="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2:40" s="3" customFormat="1" x14ac:dyDescent="0.25">
      <c r="B169" s="9"/>
      <c r="C169" s="1"/>
      <c r="E169" s="4"/>
      <c r="F169" s="1"/>
      <c r="G169" s="1"/>
      <c r="H169" s="1"/>
      <c r="I169" s="1"/>
      <c r="J169" s="179"/>
      <c r="K169" s="179"/>
      <c r="L169" s="179"/>
      <c r="M169" s="179"/>
      <c r="N169" s="180"/>
      <c r="P169" s="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2:40" s="3" customFormat="1" x14ac:dyDescent="0.25">
      <c r="B170" s="9"/>
      <c r="C170" s="1"/>
      <c r="E170" s="4"/>
      <c r="F170" s="1"/>
      <c r="G170" s="1"/>
      <c r="H170" s="1"/>
      <c r="I170" s="1"/>
      <c r="J170" s="179"/>
      <c r="K170" s="179"/>
      <c r="L170" s="179"/>
      <c r="M170" s="179"/>
      <c r="N170" s="180"/>
      <c r="P170" s="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2:40" s="3" customFormat="1" x14ac:dyDescent="0.25">
      <c r="B171" s="9"/>
      <c r="C171" s="1"/>
      <c r="E171" s="4"/>
      <c r="F171" s="1"/>
      <c r="G171" s="1"/>
      <c r="H171" s="1"/>
      <c r="I171" s="1"/>
      <c r="J171" s="179"/>
      <c r="K171" s="179"/>
      <c r="L171" s="179"/>
      <c r="M171" s="179"/>
      <c r="N171" s="180"/>
      <c r="P171" s="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2:40" s="3" customFormat="1" x14ac:dyDescent="0.25">
      <c r="B172" s="9"/>
      <c r="C172" s="1"/>
      <c r="E172" s="4"/>
      <c r="F172" s="1"/>
      <c r="G172" s="1"/>
      <c r="H172" s="1"/>
      <c r="I172" s="1"/>
      <c r="J172" s="179"/>
      <c r="K172" s="179"/>
      <c r="L172" s="179"/>
      <c r="M172" s="179"/>
      <c r="N172" s="180"/>
      <c r="P172" s="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2:40" s="3" customFormat="1" x14ac:dyDescent="0.25">
      <c r="B173" s="9"/>
      <c r="C173" s="1"/>
      <c r="E173" s="4"/>
      <c r="F173" s="1"/>
      <c r="G173" s="1"/>
      <c r="H173" s="1"/>
      <c r="I173" s="1"/>
      <c r="J173" s="179"/>
      <c r="K173" s="179"/>
      <c r="L173" s="179"/>
      <c r="M173" s="179"/>
      <c r="N173" s="180"/>
      <c r="P173" s="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2:40" s="3" customFormat="1" x14ac:dyDescent="0.25">
      <c r="B174" s="9"/>
      <c r="C174" s="1"/>
      <c r="E174" s="4"/>
      <c r="F174" s="1"/>
      <c r="G174" s="1"/>
      <c r="H174" s="1"/>
      <c r="I174" s="1"/>
      <c r="J174" s="179"/>
      <c r="K174" s="179"/>
      <c r="L174" s="179"/>
      <c r="M174" s="179"/>
      <c r="N174" s="180"/>
      <c r="P174" s="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2:40" s="3" customFormat="1" x14ac:dyDescent="0.25">
      <c r="B175" s="9"/>
      <c r="C175" s="1"/>
      <c r="E175" s="4"/>
      <c r="F175" s="1"/>
      <c r="G175" s="1"/>
      <c r="H175" s="1"/>
      <c r="I175" s="1"/>
      <c r="J175" s="179"/>
      <c r="K175" s="179"/>
      <c r="L175" s="179"/>
      <c r="M175" s="179"/>
      <c r="N175" s="180"/>
      <c r="P175" s="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2:40" s="3" customFormat="1" x14ac:dyDescent="0.25">
      <c r="B176" s="9"/>
      <c r="C176" s="1"/>
      <c r="E176" s="4"/>
      <c r="F176" s="1"/>
      <c r="G176" s="1"/>
      <c r="H176" s="1"/>
      <c r="I176" s="1"/>
      <c r="J176" s="179"/>
      <c r="K176" s="179"/>
      <c r="L176" s="179"/>
      <c r="M176" s="179"/>
      <c r="N176" s="180"/>
      <c r="P176" s="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2:40" s="3" customFormat="1" x14ac:dyDescent="0.25">
      <c r="B177" s="9"/>
      <c r="C177" s="1"/>
      <c r="E177" s="4"/>
      <c r="F177" s="1"/>
      <c r="G177" s="1"/>
      <c r="H177" s="1"/>
      <c r="I177" s="1"/>
      <c r="J177" s="179"/>
      <c r="K177" s="179"/>
      <c r="L177" s="179"/>
      <c r="M177" s="179"/>
      <c r="N177" s="180"/>
      <c r="P177" s="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2:40" s="3" customFormat="1" x14ac:dyDescent="0.25">
      <c r="B178" s="9"/>
      <c r="C178" s="1"/>
      <c r="E178" s="4"/>
      <c r="F178" s="1"/>
      <c r="G178" s="1"/>
      <c r="H178" s="1"/>
      <c r="I178" s="1"/>
      <c r="J178" s="179"/>
      <c r="K178" s="179"/>
      <c r="L178" s="179"/>
      <c r="M178" s="179"/>
      <c r="N178" s="180"/>
      <c r="P178" s="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2:40" s="3" customFormat="1" x14ac:dyDescent="0.25">
      <c r="B179" s="9"/>
      <c r="C179" s="1"/>
      <c r="E179" s="4"/>
      <c r="F179" s="1"/>
      <c r="G179" s="1"/>
      <c r="H179" s="1"/>
      <c r="I179" s="1"/>
      <c r="J179" s="179"/>
      <c r="K179" s="179"/>
      <c r="L179" s="179"/>
      <c r="M179" s="179"/>
      <c r="N179" s="180"/>
      <c r="P179" s="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2:40" s="3" customFormat="1" x14ac:dyDescent="0.25">
      <c r="B180" s="9"/>
      <c r="C180" s="1"/>
      <c r="E180" s="4"/>
      <c r="F180" s="1"/>
      <c r="G180" s="1"/>
      <c r="H180" s="1"/>
      <c r="I180" s="1"/>
      <c r="J180" s="179"/>
      <c r="K180" s="179"/>
      <c r="L180" s="179"/>
      <c r="M180" s="179"/>
      <c r="N180" s="180"/>
      <c r="P180" s="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2:40" s="3" customFormat="1" x14ac:dyDescent="0.25">
      <c r="B181" s="9"/>
      <c r="C181" s="1"/>
      <c r="E181" s="4"/>
      <c r="F181" s="1"/>
      <c r="G181" s="1"/>
      <c r="H181" s="1"/>
      <c r="I181" s="1"/>
      <c r="J181" s="179"/>
      <c r="K181" s="179"/>
      <c r="L181" s="179"/>
      <c r="M181" s="179"/>
      <c r="N181" s="180"/>
      <c r="P181" s="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2:40" s="3" customFormat="1" x14ac:dyDescent="0.25">
      <c r="B182" s="9"/>
      <c r="C182" s="1"/>
      <c r="E182" s="4"/>
      <c r="F182" s="1"/>
      <c r="G182" s="1"/>
      <c r="H182" s="1"/>
      <c r="I182" s="1"/>
      <c r="J182" s="179"/>
      <c r="K182" s="179"/>
      <c r="L182" s="179"/>
      <c r="M182" s="179"/>
      <c r="N182" s="180"/>
      <c r="P182" s="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2:40" s="3" customFormat="1" x14ac:dyDescent="0.25">
      <c r="B183" s="9"/>
      <c r="C183" s="1"/>
      <c r="E183" s="4"/>
      <c r="F183" s="1"/>
      <c r="G183" s="1"/>
      <c r="H183" s="1"/>
      <c r="I183" s="1"/>
      <c r="J183" s="179"/>
      <c r="K183" s="179"/>
      <c r="L183" s="179"/>
      <c r="M183" s="179"/>
      <c r="N183" s="180"/>
      <c r="P183" s="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2:40" s="3" customFormat="1" x14ac:dyDescent="0.25">
      <c r="B184" s="9"/>
      <c r="C184" s="1"/>
      <c r="E184" s="4"/>
      <c r="F184" s="1"/>
      <c r="G184" s="1"/>
      <c r="H184" s="1"/>
      <c r="I184" s="1"/>
      <c r="J184" s="179"/>
      <c r="K184" s="179"/>
      <c r="L184" s="179"/>
      <c r="M184" s="179"/>
      <c r="N184" s="180"/>
      <c r="P184" s="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2:40" s="3" customFormat="1" x14ac:dyDescent="0.25">
      <c r="B185" s="9"/>
      <c r="C185" s="1"/>
      <c r="E185" s="4"/>
      <c r="F185" s="1"/>
      <c r="G185" s="1"/>
      <c r="H185" s="1"/>
      <c r="I185" s="1"/>
      <c r="J185" s="179"/>
      <c r="K185" s="179"/>
      <c r="L185" s="179"/>
      <c r="M185" s="179"/>
      <c r="N185" s="180"/>
      <c r="P185" s="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2:40" s="3" customFormat="1" x14ac:dyDescent="0.25">
      <c r="B186" s="9"/>
      <c r="C186" s="1"/>
      <c r="E186" s="4"/>
      <c r="F186" s="1"/>
      <c r="G186" s="1"/>
      <c r="H186" s="1"/>
      <c r="I186" s="1"/>
      <c r="J186" s="179"/>
      <c r="K186" s="179"/>
      <c r="L186" s="179"/>
      <c r="M186" s="179"/>
      <c r="N186" s="180"/>
      <c r="P186" s="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2:40" s="3" customFormat="1" x14ac:dyDescent="0.25">
      <c r="B187" s="9"/>
      <c r="C187" s="1"/>
      <c r="E187" s="4"/>
      <c r="F187" s="1"/>
      <c r="G187" s="1"/>
      <c r="H187" s="1"/>
      <c r="I187" s="1"/>
      <c r="J187" s="179"/>
      <c r="K187" s="179"/>
      <c r="L187" s="179"/>
      <c r="M187" s="179"/>
      <c r="N187" s="180"/>
      <c r="P187" s="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2:40" s="3" customFormat="1" x14ac:dyDescent="0.25">
      <c r="B188" s="9"/>
      <c r="C188" s="1"/>
      <c r="E188" s="4"/>
      <c r="F188" s="1"/>
      <c r="G188" s="1"/>
      <c r="H188" s="1"/>
      <c r="I188" s="1"/>
      <c r="J188" s="179"/>
      <c r="K188" s="179"/>
      <c r="L188" s="179"/>
      <c r="M188" s="179"/>
      <c r="N188" s="180"/>
      <c r="P188" s="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2:40" s="3" customFormat="1" x14ac:dyDescent="0.25">
      <c r="B189" s="9"/>
      <c r="C189" s="1"/>
      <c r="E189" s="4"/>
      <c r="F189" s="1"/>
      <c r="G189" s="1"/>
      <c r="H189" s="1"/>
      <c r="I189" s="1"/>
      <c r="J189" s="179"/>
      <c r="K189" s="179"/>
      <c r="L189" s="179"/>
      <c r="M189" s="179"/>
      <c r="N189" s="180"/>
      <c r="P189" s="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2:40" s="3" customFormat="1" x14ac:dyDescent="0.25">
      <c r="B190" s="9"/>
      <c r="C190" s="1"/>
      <c r="E190" s="4"/>
      <c r="F190" s="1"/>
      <c r="G190" s="1"/>
      <c r="H190" s="1"/>
      <c r="I190" s="1"/>
      <c r="J190" s="179"/>
      <c r="K190" s="179"/>
      <c r="L190" s="179"/>
      <c r="M190" s="179"/>
      <c r="N190" s="180"/>
      <c r="P190" s="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2:40" x14ac:dyDescent="0.25"/>
    <row r="192" spans="2:40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</sheetData>
  <mergeCells count="9">
    <mergeCell ref="O3:O4"/>
    <mergeCell ref="P3:P4"/>
    <mergeCell ref="B9:B26"/>
    <mergeCell ref="A3:A4"/>
    <mergeCell ref="B3:B4"/>
    <mergeCell ref="C3:C4"/>
    <mergeCell ref="D3:D4"/>
    <mergeCell ref="F3:L3"/>
    <mergeCell ref="B5:B8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'Tool Life'!$E$1:$G$1</xm:f>
          </x14:formula1>
          <xm:sqref>F44 F48</xm:sqref>
        </x14:dataValidation>
        <x14:dataValidation type="list" allowBlank="1" showInputMessage="1" showErrorMessage="1">
          <x14:formula1>
            <xm:f>'C:\Users\harjith.ale\Desktop\[Casting template by norms.xlsx]Sheet1'!#REF!</xm:f>
          </x14:formula1>
          <xm:sqref>G44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D10" sqref="D10"/>
    </sheetView>
  </sheetViews>
  <sheetFormatPr defaultRowHeight="15" x14ac:dyDescent="0.25"/>
  <cols>
    <col min="1" max="1" width="17.28515625" bestFit="1" customWidth="1"/>
  </cols>
  <sheetData>
    <row r="2" spans="1:4" ht="30" x14ac:dyDescent="0.25">
      <c r="A2" s="72" t="s">
        <v>39</v>
      </c>
      <c r="B2" s="224" t="s">
        <v>78</v>
      </c>
    </row>
    <row r="3" spans="1:4" x14ac:dyDescent="0.25">
      <c r="A3" s="74" t="s">
        <v>522</v>
      </c>
      <c r="B3" s="75">
        <v>290</v>
      </c>
      <c r="C3" t="s">
        <v>540</v>
      </c>
      <c r="D3" t="s">
        <v>483</v>
      </c>
    </row>
    <row r="4" spans="1:4" x14ac:dyDescent="0.25">
      <c r="A4" s="65"/>
      <c r="B4" s="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C27" sqref="C27"/>
    </sheetView>
  </sheetViews>
  <sheetFormatPr defaultRowHeight="15" x14ac:dyDescent="0.25"/>
  <cols>
    <col min="4" max="4" width="9.140625" customWidth="1"/>
    <col min="5" max="5" width="12.28515625" bestFit="1" customWidth="1"/>
    <col min="6" max="6" width="14.7109375" bestFit="1" customWidth="1"/>
    <col min="7" max="7" width="13.85546875" customWidth="1"/>
    <col min="8" max="8" width="12.28515625" bestFit="1" customWidth="1"/>
    <col min="9" max="9" width="12.140625" customWidth="1"/>
    <col min="10" max="10" width="14.7109375" bestFit="1" customWidth="1"/>
  </cols>
  <sheetData>
    <row r="1" spans="1:10" ht="15.75" x14ac:dyDescent="0.25">
      <c r="B1" s="210" t="s">
        <v>437</v>
      </c>
      <c r="C1" s="211"/>
      <c r="E1" s="212" t="s">
        <v>438</v>
      </c>
      <c r="F1" s="213" t="s">
        <v>439</v>
      </c>
      <c r="I1" s="272" t="s">
        <v>440</v>
      </c>
      <c r="J1" s="272"/>
    </row>
    <row r="2" spans="1:10" x14ac:dyDescent="0.25">
      <c r="B2" s="214" t="s">
        <v>441</v>
      </c>
      <c r="C2" s="214" t="s">
        <v>442</v>
      </c>
      <c r="D2" s="214" t="s">
        <v>420</v>
      </c>
      <c r="E2" s="214" t="s">
        <v>443</v>
      </c>
      <c r="F2" s="214" t="s">
        <v>443</v>
      </c>
      <c r="G2" s="214" t="s">
        <v>44</v>
      </c>
      <c r="H2" s="215"/>
      <c r="I2" s="65" t="s">
        <v>430</v>
      </c>
      <c r="J2" s="65" t="s">
        <v>439</v>
      </c>
    </row>
    <row r="3" spans="1:10" x14ac:dyDescent="0.25">
      <c r="A3" t="b">
        <f>C3=[5]PROCESS!$G$47</f>
        <v>0</v>
      </c>
      <c r="B3" s="73">
        <v>1</v>
      </c>
      <c r="C3" s="216">
        <v>5</v>
      </c>
      <c r="D3" s="65">
        <f>[5]PROCESS!$H$47</f>
        <v>100</v>
      </c>
      <c r="E3" s="217">
        <f t="shared" ref="E3:E21" si="0">IF(D3&lt;=10,I3,IF(D3&gt;100,I3/100*10,(I3/D3*10)))</f>
        <v>200</v>
      </c>
      <c r="F3" s="217">
        <f t="shared" ref="F3:F21" si="1">IF(D3&lt;=10,J3,IF(D3&gt;100,J3/100*10,(J3/D3*10)))</f>
        <v>360</v>
      </c>
      <c r="G3" s="65" t="s">
        <v>444</v>
      </c>
      <c r="I3" s="217">
        <v>2000</v>
      </c>
      <c r="J3" s="217">
        <f>I3*1.8</f>
        <v>3600</v>
      </c>
    </row>
    <row r="4" spans="1:10" x14ac:dyDescent="0.25">
      <c r="A4" t="b">
        <f>C4=[5]PROCESS!$G$47</f>
        <v>0</v>
      </c>
      <c r="B4" s="73">
        <v>2</v>
      </c>
      <c r="C4" s="216">
        <v>7.5</v>
      </c>
      <c r="D4" s="65">
        <f>[5]PROCESS!$H$47</f>
        <v>100</v>
      </c>
      <c r="E4" s="217">
        <f t="shared" si="0"/>
        <v>180</v>
      </c>
      <c r="F4" s="217">
        <f t="shared" si="1"/>
        <v>324</v>
      </c>
      <c r="G4" s="65" t="s">
        <v>444</v>
      </c>
      <c r="I4" s="217">
        <v>1800</v>
      </c>
      <c r="J4" s="217">
        <f t="shared" ref="J4:J6" si="2">I4*1.8</f>
        <v>3240</v>
      </c>
    </row>
    <row r="5" spans="1:10" x14ac:dyDescent="0.25">
      <c r="A5" t="b">
        <f>C5=[5]PROCESS!$G$47</f>
        <v>0</v>
      </c>
      <c r="B5" s="73">
        <v>3</v>
      </c>
      <c r="C5" s="216">
        <v>10</v>
      </c>
      <c r="D5" s="65">
        <f>[5]PROCESS!$H$47</f>
        <v>100</v>
      </c>
      <c r="E5" s="217">
        <f t="shared" si="0"/>
        <v>170</v>
      </c>
      <c r="F5" s="217">
        <f t="shared" si="1"/>
        <v>306</v>
      </c>
      <c r="G5" s="65" t="s">
        <v>444</v>
      </c>
      <c r="I5" s="217">
        <v>1700</v>
      </c>
      <c r="J5" s="217">
        <f t="shared" si="2"/>
        <v>3060</v>
      </c>
    </row>
    <row r="6" spans="1:10" x14ac:dyDescent="0.25">
      <c r="A6" t="b">
        <f>C6=[5]PROCESS!$G$47</f>
        <v>0</v>
      </c>
      <c r="B6" s="73">
        <v>4</v>
      </c>
      <c r="C6" s="216">
        <v>12.5</v>
      </c>
      <c r="D6" s="65">
        <f>[5]PROCESS!$H$47</f>
        <v>100</v>
      </c>
      <c r="E6" s="217">
        <f t="shared" si="0"/>
        <v>160</v>
      </c>
      <c r="F6" s="217">
        <f t="shared" si="1"/>
        <v>288</v>
      </c>
      <c r="G6" s="65" t="s">
        <v>444</v>
      </c>
      <c r="I6" s="217">
        <v>1600</v>
      </c>
      <c r="J6" s="217">
        <f t="shared" si="2"/>
        <v>2880</v>
      </c>
    </row>
    <row r="7" spans="1:10" x14ac:dyDescent="0.25">
      <c r="A7" t="b">
        <f>C7=[5]PROCESS!$G$47</f>
        <v>0</v>
      </c>
      <c r="B7" s="73">
        <v>5</v>
      </c>
      <c r="C7" s="216">
        <v>15</v>
      </c>
      <c r="D7" s="65">
        <f>[5]PROCESS!$H$47</f>
        <v>100</v>
      </c>
      <c r="E7" s="217">
        <f t="shared" si="0"/>
        <v>200</v>
      </c>
      <c r="F7" s="217">
        <f t="shared" si="1"/>
        <v>400</v>
      </c>
      <c r="G7" s="65" t="s">
        <v>445</v>
      </c>
      <c r="I7" s="217">
        <v>2000</v>
      </c>
      <c r="J7" s="217">
        <f>I7*2</f>
        <v>4000</v>
      </c>
    </row>
    <row r="8" spans="1:10" x14ac:dyDescent="0.25">
      <c r="A8" t="b">
        <f>C8=[5]PROCESS!$G$47</f>
        <v>0</v>
      </c>
      <c r="B8" s="73">
        <v>6</v>
      </c>
      <c r="C8" s="216">
        <v>17.5</v>
      </c>
      <c r="D8" s="65">
        <f>[5]PROCESS!$H$47</f>
        <v>100</v>
      </c>
      <c r="E8" s="217">
        <f t="shared" si="0"/>
        <v>200</v>
      </c>
      <c r="F8" s="217">
        <f t="shared" si="1"/>
        <v>400</v>
      </c>
      <c r="G8" s="65" t="s">
        <v>445</v>
      </c>
      <c r="I8" s="217">
        <v>2000</v>
      </c>
      <c r="J8" s="217">
        <f>I8*2</f>
        <v>4000</v>
      </c>
    </row>
    <row r="9" spans="1:10" x14ac:dyDescent="0.25">
      <c r="A9" t="b">
        <f>C9=[5]PROCESS!$G$47</f>
        <v>1</v>
      </c>
      <c r="B9" s="73">
        <v>7</v>
      </c>
      <c r="C9" s="216">
        <v>20</v>
      </c>
      <c r="D9" s="65">
        <f>[5]PROCESS!$H$47</f>
        <v>100</v>
      </c>
      <c r="E9" s="217">
        <f t="shared" si="0"/>
        <v>200</v>
      </c>
      <c r="F9" s="217">
        <f t="shared" si="1"/>
        <v>400</v>
      </c>
      <c r="G9" s="65" t="s">
        <v>445</v>
      </c>
      <c r="I9" s="217">
        <v>2000</v>
      </c>
      <c r="J9" s="217">
        <f>I9*2</f>
        <v>4000</v>
      </c>
    </row>
    <row r="10" spans="1:10" x14ac:dyDescent="0.25">
      <c r="A10" t="b">
        <f>C10=[5]PROCESS!$G$47</f>
        <v>0</v>
      </c>
      <c r="B10" s="73">
        <v>8</v>
      </c>
      <c r="C10" s="216">
        <v>22.5</v>
      </c>
      <c r="D10" s="65">
        <f>[5]PROCESS!$H$47</f>
        <v>100</v>
      </c>
      <c r="E10" s="217">
        <f t="shared" si="0"/>
        <v>225</v>
      </c>
      <c r="F10" s="217">
        <f t="shared" si="1"/>
        <v>450</v>
      </c>
      <c r="G10" s="65" t="s">
        <v>445</v>
      </c>
      <c r="I10" s="217">
        <v>2250</v>
      </c>
      <c r="J10" s="217">
        <f>I10*2</f>
        <v>4500</v>
      </c>
    </row>
    <row r="11" spans="1:10" x14ac:dyDescent="0.25">
      <c r="A11" t="b">
        <f>C11=[5]PROCESS!$G$47</f>
        <v>0</v>
      </c>
      <c r="B11" s="73">
        <v>9</v>
      </c>
      <c r="C11" s="216">
        <v>25</v>
      </c>
      <c r="D11" s="65">
        <f>[5]PROCESS!$H$47</f>
        <v>100</v>
      </c>
      <c r="E11" s="217">
        <f t="shared" si="0"/>
        <v>225</v>
      </c>
      <c r="F11" s="217">
        <f t="shared" si="1"/>
        <v>450</v>
      </c>
      <c r="G11" s="65" t="s">
        <v>445</v>
      </c>
      <c r="I11" s="217">
        <v>2250</v>
      </c>
      <c r="J11" s="217">
        <f t="shared" ref="J11:J14" si="3">I11*2</f>
        <v>4500</v>
      </c>
    </row>
    <row r="12" spans="1:10" x14ac:dyDescent="0.25">
      <c r="A12" t="b">
        <f>C12=[5]PROCESS!$G$47</f>
        <v>0</v>
      </c>
      <c r="B12" s="73">
        <v>10</v>
      </c>
      <c r="C12" s="216">
        <v>27.5</v>
      </c>
      <c r="D12" s="65">
        <f>[5]PROCESS!$H$47</f>
        <v>100</v>
      </c>
      <c r="E12" s="217">
        <f t="shared" si="0"/>
        <v>225</v>
      </c>
      <c r="F12" s="217">
        <f t="shared" si="1"/>
        <v>450</v>
      </c>
      <c r="G12" s="65" t="s">
        <v>445</v>
      </c>
      <c r="I12" s="217">
        <v>2250</v>
      </c>
      <c r="J12" s="217">
        <f t="shared" si="3"/>
        <v>4500</v>
      </c>
    </row>
    <row r="13" spans="1:10" x14ac:dyDescent="0.25">
      <c r="A13" t="b">
        <f>C13=[5]PROCESS!$G$47</f>
        <v>0</v>
      </c>
      <c r="B13" s="73">
        <v>11</v>
      </c>
      <c r="C13" s="216">
        <v>30</v>
      </c>
      <c r="D13" s="65">
        <f>[5]PROCESS!$H$47</f>
        <v>100</v>
      </c>
      <c r="E13" s="217">
        <f t="shared" si="0"/>
        <v>250</v>
      </c>
      <c r="F13" s="217">
        <f t="shared" si="1"/>
        <v>500</v>
      </c>
      <c r="G13" s="65" t="s">
        <v>445</v>
      </c>
      <c r="I13" s="217">
        <v>2500</v>
      </c>
      <c r="J13" s="217">
        <f t="shared" si="3"/>
        <v>5000</v>
      </c>
    </row>
    <row r="14" spans="1:10" x14ac:dyDescent="0.25">
      <c r="A14" t="b">
        <f>C14=[5]PROCESS!$G$47</f>
        <v>0</v>
      </c>
      <c r="B14" s="73">
        <v>12</v>
      </c>
      <c r="C14" s="216">
        <v>32.5</v>
      </c>
      <c r="D14" s="65">
        <f>[5]PROCESS!$H$47</f>
        <v>100</v>
      </c>
      <c r="E14" s="217">
        <f t="shared" si="0"/>
        <v>250</v>
      </c>
      <c r="F14" s="217">
        <f t="shared" si="1"/>
        <v>500</v>
      </c>
      <c r="G14" s="65" t="s">
        <v>445</v>
      </c>
      <c r="I14" s="217">
        <v>2500</v>
      </c>
      <c r="J14" s="217">
        <f t="shared" si="3"/>
        <v>5000</v>
      </c>
    </row>
    <row r="15" spans="1:10" x14ac:dyDescent="0.25">
      <c r="A15" t="b">
        <f>C15=[5]PROCESS!$G$47</f>
        <v>0</v>
      </c>
      <c r="B15" s="73">
        <v>13</v>
      </c>
      <c r="C15" s="216">
        <v>35</v>
      </c>
      <c r="D15" s="65">
        <f>[5]PROCESS!$H$47</f>
        <v>100</v>
      </c>
      <c r="E15" s="217">
        <f t="shared" si="0"/>
        <v>300</v>
      </c>
      <c r="F15" s="217">
        <f t="shared" si="1"/>
        <v>660.00000000000011</v>
      </c>
      <c r="G15" s="65" t="s">
        <v>445</v>
      </c>
      <c r="I15" s="217">
        <v>3000</v>
      </c>
      <c r="J15" s="217">
        <f>I15*2.2</f>
        <v>6600.0000000000009</v>
      </c>
    </row>
    <row r="16" spans="1:10" x14ac:dyDescent="0.25">
      <c r="A16" t="b">
        <f>C16=[5]PROCESS!$G$47</f>
        <v>0</v>
      </c>
      <c r="B16" s="73">
        <v>14</v>
      </c>
      <c r="C16" s="216">
        <v>37.5</v>
      </c>
      <c r="D16" s="65">
        <f>[5]PROCESS!$H$47</f>
        <v>100</v>
      </c>
      <c r="E16" s="217">
        <f t="shared" si="0"/>
        <v>300</v>
      </c>
      <c r="F16" s="217">
        <f t="shared" si="1"/>
        <v>660.00000000000011</v>
      </c>
      <c r="G16" s="65" t="s">
        <v>445</v>
      </c>
      <c r="I16" s="217">
        <v>3000</v>
      </c>
      <c r="J16" s="217">
        <f t="shared" ref="J16:J21" si="4">I16*2.2</f>
        <v>6600.0000000000009</v>
      </c>
    </row>
    <row r="17" spans="1:11" x14ac:dyDescent="0.25">
      <c r="A17" t="b">
        <f>C17=[5]PROCESS!$G$47</f>
        <v>0</v>
      </c>
      <c r="B17" s="73">
        <v>15</v>
      </c>
      <c r="C17" s="216">
        <v>40</v>
      </c>
      <c r="D17" s="65">
        <f>[5]PROCESS!$H$47</f>
        <v>100</v>
      </c>
      <c r="E17" s="217">
        <f t="shared" si="0"/>
        <v>350</v>
      </c>
      <c r="F17" s="217">
        <f t="shared" si="1"/>
        <v>770.00000000000011</v>
      </c>
      <c r="G17" s="65" t="s">
        <v>445</v>
      </c>
      <c r="I17" s="217">
        <v>3500</v>
      </c>
      <c r="J17" s="217">
        <f t="shared" si="4"/>
        <v>7700.0000000000009</v>
      </c>
    </row>
    <row r="18" spans="1:11" x14ac:dyDescent="0.25">
      <c r="A18" t="b">
        <f>C18=[5]PROCESS!$G$47</f>
        <v>0</v>
      </c>
      <c r="B18" s="73">
        <v>16</v>
      </c>
      <c r="C18" s="216">
        <v>42.5</v>
      </c>
      <c r="D18" s="65">
        <f>[5]PROCESS!$H$47</f>
        <v>100</v>
      </c>
      <c r="E18" s="217">
        <f t="shared" si="0"/>
        <v>350</v>
      </c>
      <c r="F18" s="217">
        <f t="shared" si="1"/>
        <v>770.00000000000011</v>
      </c>
      <c r="G18" s="65" t="s">
        <v>445</v>
      </c>
      <c r="I18" s="217">
        <v>3500</v>
      </c>
      <c r="J18" s="217">
        <f t="shared" si="4"/>
        <v>7700.0000000000009</v>
      </c>
    </row>
    <row r="19" spans="1:11" x14ac:dyDescent="0.25">
      <c r="A19" t="b">
        <f>C19=[5]PROCESS!$G$47</f>
        <v>0</v>
      </c>
      <c r="B19" s="73">
        <v>17</v>
      </c>
      <c r="C19" s="216">
        <v>45</v>
      </c>
      <c r="D19" s="65">
        <f>[5]PROCESS!$H$47</f>
        <v>100</v>
      </c>
      <c r="E19" s="217">
        <f t="shared" si="0"/>
        <v>400</v>
      </c>
      <c r="F19" s="217">
        <f t="shared" si="1"/>
        <v>880</v>
      </c>
      <c r="G19" s="65" t="s">
        <v>445</v>
      </c>
      <c r="I19" s="217">
        <v>4000</v>
      </c>
      <c r="J19" s="217">
        <f t="shared" si="4"/>
        <v>8800</v>
      </c>
    </row>
    <row r="20" spans="1:11" x14ac:dyDescent="0.25">
      <c r="A20" t="b">
        <f>C20=[5]PROCESS!$G$47</f>
        <v>0</v>
      </c>
      <c r="B20" s="73">
        <v>18</v>
      </c>
      <c r="C20" s="216">
        <v>47.5</v>
      </c>
      <c r="D20" s="65">
        <f>[5]PROCESS!$H$47</f>
        <v>100</v>
      </c>
      <c r="E20" s="217">
        <f t="shared" si="0"/>
        <v>400</v>
      </c>
      <c r="F20" s="217">
        <f t="shared" si="1"/>
        <v>880</v>
      </c>
      <c r="G20" s="65" t="s">
        <v>445</v>
      </c>
      <c r="I20" s="217">
        <v>4000</v>
      </c>
      <c r="J20" s="217">
        <f t="shared" si="4"/>
        <v>8800</v>
      </c>
    </row>
    <row r="21" spans="1:11" x14ac:dyDescent="0.25">
      <c r="A21" t="b">
        <f>C21=[5]PROCESS!$G$47</f>
        <v>0</v>
      </c>
      <c r="B21" s="73">
        <v>19</v>
      </c>
      <c r="C21" s="216">
        <v>50</v>
      </c>
      <c r="D21" s="65">
        <f>[5]PROCESS!$H$47</f>
        <v>100</v>
      </c>
      <c r="E21" s="217">
        <f t="shared" si="0"/>
        <v>400</v>
      </c>
      <c r="F21" s="217">
        <f t="shared" si="1"/>
        <v>880</v>
      </c>
      <c r="G21" s="65" t="s">
        <v>445</v>
      </c>
      <c r="I21" s="217">
        <v>4000</v>
      </c>
      <c r="J21" s="217">
        <f t="shared" si="4"/>
        <v>8800</v>
      </c>
    </row>
    <row r="24" spans="1:11" ht="15.75" x14ac:dyDescent="0.25">
      <c r="B24" s="210" t="s">
        <v>446</v>
      </c>
      <c r="C24" s="210"/>
      <c r="D24" s="210"/>
      <c r="I24" t="s">
        <v>447</v>
      </c>
    </row>
    <row r="25" spans="1:11" x14ac:dyDescent="0.25">
      <c r="E25" s="65" t="s">
        <v>430</v>
      </c>
      <c r="F25" s="73" t="s">
        <v>448</v>
      </c>
      <c r="I25" s="218" t="s">
        <v>438</v>
      </c>
      <c r="J25" s="218" t="s">
        <v>448</v>
      </c>
    </row>
    <row r="26" spans="1:11" x14ac:dyDescent="0.25">
      <c r="B26" s="65" t="s">
        <v>449</v>
      </c>
      <c r="C26" s="65" t="s">
        <v>433</v>
      </c>
      <c r="D26" s="65" t="s">
        <v>450</v>
      </c>
      <c r="E26" s="65" t="s">
        <v>451</v>
      </c>
      <c r="F26" s="65" t="s">
        <v>451</v>
      </c>
      <c r="I26" s="214" t="s">
        <v>452</v>
      </c>
      <c r="J26" s="214" t="s">
        <v>452</v>
      </c>
      <c r="K26" s="214" t="s">
        <v>44</v>
      </c>
    </row>
    <row r="27" spans="1:11" x14ac:dyDescent="0.25">
      <c r="B27" s="65">
        <f>[5]PROCESS!G51</f>
        <v>38550</v>
      </c>
      <c r="C27" s="217">
        <v>3</v>
      </c>
      <c r="D27" s="65">
        <f>[5]PROCESS!H51</f>
        <v>6</v>
      </c>
      <c r="E27" s="219">
        <f>I27/B27*C27*D27</f>
        <v>466.92607003891055</v>
      </c>
      <c r="F27" s="219">
        <f>J27/B27*C27*D27</f>
        <v>583.65758754863805</v>
      </c>
      <c r="I27" s="65">
        <v>1000000</v>
      </c>
      <c r="J27" s="65">
        <v>1250000</v>
      </c>
      <c r="K27" s="65" t="s">
        <v>453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R318"/>
  <sheetViews>
    <sheetView workbookViewId="0">
      <selection activeCell="I340" sqref="I340"/>
    </sheetView>
  </sheetViews>
  <sheetFormatPr defaultColWidth="9.140625" defaultRowHeight="15.75" x14ac:dyDescent="0.25"/>
  <cols>
    <col min="1" max="2" width="9.140625" style="91"/>
    <col min="3" max="3" width="15" style="91" bestFit="1" customWidth="1"/>
    <col min="4" max="4" width="40.5703125" style="91" bestFit="1" customWidth="1"/>
    <col min="5" max="5" width="14.140625" style="91" bestFit="1" customWidth="1"/>
    <col min="6" max="6" width="12.5703125" style="91" bestFit="1" customWidth="1"/>
    <col min="7" max="8" width="9.140625" style="91"/>
    <col min="9" max="9" width="14.28515625" style="91" bestFit="1" customWidth="1"/>
    <col min="10" max="15" width="9.140625" style="91"/>
    <col min="16" max="16" width="11" style="91" bestFit="1" customWidth="1"/>
    <col min="17" max="17" width="9.140625" style="91"/>
    <col min="18" max="18" width="9.5703125" style="91" bestFit="1" customWidth="1"/>
    <col min="19" max="16384" width="9.140625" style="91"/>
  </cols>
  <sheetData>
    <row r="1" spans="2:18" ht="45.75" thickBot="1" x14ac:dyDescent="0.3">
      <c r="B1" s="86" t="s">
        <v>19</v>
      </c>
      <c r="C1" s="87" t="s">
        <v>99</v>
      </c>
      <c r="D1" s="88" t="s">
        <v>20</v>
      </c>
      <c r="E1" s="89" t="s">
        <v>21</v>
      </c>
      <c r="F1" s="89" t="s">
        <v>22</v>
      </c>
      <c r="G1" s="89" t="s">
        <v>100</v>
      </c>
      <c r="H1" s="89" t="s">
        <v>101</v>
      </c>
      <c r="I1" s="89" t="s">
        <v>23</v>
      </c>
      <c r="J1" s="89" t="s">
        <v>102</v>
      </c>
      <c r="K1" s="89" t="s">
        <v>24</v>
      </c>
      <c r="L1" s="89" t="s">
        <v>103</v>
      </c>
      <c r="M1" s="89" t="s">
        <v>25</v>
      </c>
      <c r="N1" s="89" t="s">
        <v>26</v>
      </c>
      <c r="O1" s="89" t="s">
        <v>27</v>
      </c>
      <c r="P1" s="89" t="s">
        <v>28</v>
      </c>
      <c r="Q1" s="89" t="s">
        <v>13</v>
      </c>
      <c r="R1" s="90" t="s">
        <v>46</v>
      </c>
    </row>
    <row r="2" spans="2:18" hidden="1" x14ac:dyDescent="0.25">
      <c r="B2" s="92">
        <v>1</v>
      </c>
      <c r="C2" s="93" t="s">
        <v>104</v>
      </c>
      <c r="D2" s="94" t="s">
        <v>105</v>
      </c>
      <c r="E2" s="95">
        <v>10000000</v>
      </c>
      <c r="F2" s="95">
        <v>121500</v>
      </c>
      <c r="G2" s="95">
        <v>33</v>
      </c>
      <c r="H2" s="96">
        <v>0.7</v>
      </c>
      <c r="I2" s="95">
        <v>9647058.8235294111</v>
      </c>
      <c r="J2" s="95">
        <v>10</v>
      </c>
      <c r="K2" s="97">
        <v>0.85</v>
      </c>
      <c r="L2" s="95">
        <v>10</v>
      </c>
      <c r="M2" s="98">
        <v>1600000</v>
      </c>
      <c r="N2" s="98">
        <v>323158.2</v>
      </c>
      <c r="O2" s="99">
        <v>6120</v>
      </c>
      <c r="P2" s="100">
        <v>25699167.299999997</v>
      </c>
      <c r="Q2" s="101">
        <v>75.224197984749452</v>
      </c>
      <c r="R2" s="102">
        <v>4513.451879084967</v>
      </c>
    </row>
    <row r="3" spans="2:18" hidden="1" x14ac:dyDescent="0.25">
      <c r="B3" s="103">
        <v>2</v>
      </c>
      <c r="C3" s="104" t="s">
        <v>104</v>
      </c>
      <c r="D3" s="105" t="s">
        <v>75</v>
      </c>
      <c r="E3" s="106">
        <v>10000000</v>
      </c>
      <c r="F3" s="106">
        <v>499344</v>
      </c>
      <c r="G3" s="106">
        <v>150</v>
      </c>
      <c r="H3" s="107"/>
      <c r="I3" s="106">
        <v>14715619.200000001</v>
      </c>
      <c r="J3" s="106">
        <v>30</v>
      </c>
      <c r="K3" s="108">
        <v>0.85</v>
      </c>
      <c r="L3" s="106">
        <v>10</v>
      </c>
      <c r="M3" s="109">
        <v>1600000</v>
      </c>
      <c r="N3" s="109">
        <v>1313326.8</v>
      </c>
      <c r="O3" s="110">
        <v>6120</v>
      </c>
      <c r="P3" s="111">
        <v>37524828.960000001</v>
      </c>
      <c r="Q3" s="109">
        <v>110.12569651416122</v>
      </c>
      <c r="R3" s="112">
        <v>6607.5417908496729</v>
      </c>
    </row>
    <row r="4" spans="2:18" hidden="1" x14ac:dyDescent="0.25">
      <c r="B4" s="103">
        <v>3</v>
      </c>
      <c r="C4" s="104" t="s">
        <v>104</v>
      </c>
      <c r="D4" s="105" t="s">
        <v>76</v>
      </c>
      <c r="E4" s="106">
        <v>1000000</v>
      </c>
      <c r="F4" s="106">
        <v>100000</v>
      </c>
      <c r="G4" s="106">
        <v>40</v>
      </c>
      <c r="H4" s="107"/>
      <c r="I4" s="106">
        <v>13332</v>
      </c>
      <c r="J4" s="106">
        <v>5</v>
      </c>
      <c r="K4" s="108">
        <v>0.85</v>
      </c>
      <c r="L4" s="106">
        <v>10</v>
      </c>
      <c r="M4" s="109">
        <v>160000</v>
      </c>
      <c r="N4" s="109">
        <v>261666.6</v>
      </c>
      <c r="O4" s="110">
        <v>6120</v>
      </c>
      <c r="P4" s="111">
        <v>33996.6</v>
      </c>
      <c r="Q4" s="109">
        <v>1.2409128540305012</v>
      </c>
      <c r="R4" s="112">
        <v>74.454771241830073</v>
      </c>
    </row>
    <row r="5" spans="2:18" hidden="1" x14ac:dyDescent="0.25">
      <c r="B5" s="103">
        <v>4</v>
      </c>
      <c r="C5" s="104" t="s">
        <v>104</v>
      </c>
      <c r="D5" s="105" t="s">
        <v>106</v>
      </c>
      <c r="E5" s="106">
        <v>40000000</v>
      </c>
      <c r="F5" s="106">
        <v>2000000</v>
      </c>
      <c r="G5" s="106">
        <v>3300</v>
      </c>
      <c r="H5" s="107">
        <v>0.7</v>
      </c>
      <c r="I5" s="106">
        <v>800000</v>
      </c>
      <c r="J5" s="106">
        <v>50</v>
      </c>
      <c r="K5" s="108">
        <v>0.85</v>
      </c>
      <c r="L5" s="106">
        <v>10</v>
      </c>
      <c r="M5" s="109">
        <v>6400000</v>
      </c>
      <c r="N5" s="109">
        <v>5166666</v>
      </c>
      <c r="O5" s="110">
        <v>6120</v>
      </c>
      <c r="P5" s="111">
        <v>111956729.99999999</v>
      </c>
      <c r="Q5" s="109">
        <v>336.39269063180825</v>
      </c>
      <c r="R5" s="112">
        <v>20183.561437908495</v>
      </c>
    </row>
    <row r="6" spans="2:18" hidden="1" x14ac:dyDescent="0.25">
      <c r="B6" s="103">
        <v>5</v>
      </c>
      <c r="C6" s="104" t="s">
        <v>104</v>
      </c>
      <c r="D6" s="105" t="s">
        <v>107</v>
      </c>
      <c r="E6" s="106">
        <v>6500000</v>
      </c>
      <c r="F6" s="106">
        <v>650000</v>
      </c>
      <c r="G6" s="106">
        <v>550</v>
      </c>
      <c r="H6" s="107">
        <v>0.7</v>
      </c>
      <c r="I6" s="106">
        <v>130000</v>
      </c>
      <c r="J6" s="106">
        <v>10</v>
      </c>
      <c r="K6" s="108">
        <v>0.85</v>
      </c>
      <c r="L6" s="106">
        <v>10</v>
      </c>
      <c r="M6" s="109">
        <v>1040000</v>
      </c>
      <c r="N6" s="109">
        <v>1670833.2</v>
      </c>
      <c r="O6" s="110">
        <v>6120</v>
      </c>
      <c r="P6" s="111">
        <v>18650955</v>
      </c>
      <c r="Q6" s="109">
        <v>58.174804466230938</v>
      </c>
      <c r="R6" s="112">
        <v>3490.4882679738562</v>
      </c>
    </row>
    <row r="7" spans="2:18" hidden="1" x14ac:dyDescent="0.25">
      <c r="B7" s="103">
        <v>6</v>
      </c>
      <c r="C7" s="104" t="s">
        <v>104</v>
      </c>
      <c r="D7" s="105" t="s">
        <v>108</v>
      </c>
      <c r="E7" s="106">
        <v>4000000</v>
      </c>
      <c r="F7" s="106">
        <v>160000</v>
      </c>
      <c r="G7" s="106">
        <v>15</v>
      </c>
      <c r="H7" s="107">
        <v>0.7</v>
      </c>
      <c r="I7" s="106">
        <v>80000</v>
      </c>
      <c r="J7" s="106">
        <v>20</v>
      </c>
      <c r="K7" s="108">
        <v>0.85</v>
      </c>
      <c r="L7" s="106">
        <v>10</v>
      </c>
      <c r="M7" s="109">
        <v>640000</v>
      </c>
      <c r="N7" s="109">
        <v>434666.4</v>
      </c>
      <c r="O7" s="110">
        <v>6120</v>
      </c>
      <c r="P7" s="111">
        <v>703621.49999999988</v>
      </c>
      <c r="Q7" s="109">
        <v>4.8428319716775592</v>
      </c>
      <c r="R7" s="112">
        <v>290.56991830065357</v>
      </c>
    </row>
    <row r="8" spans="2:18" hidden="1" x14ac:dyDescent="0.25">
      <c r="B8" s="103">
        <v>7</v>
      </c>
      <c r="C8" s="104" t="s">
        <v>104</v>
      </c>
      <c r="D8" s="105" t="s">
        <v>109</v>
      </c>
      <c r="E8" s="106">
        <v>200000</v>
      </c>
      <c r="F8" s="106">
        <v>8000</v>
      </c>
      <c r="G8" s="106">
        <v>0</v>
      </c>
      <c r="H8" s="107">
        <v>0.7</v>
      </c>
      <c r="I8" s="106">
        <v>4000</v>
      </c>
      <c r="J8" s="106">
        <v>5</v>
      </c>
      <c r="K8" s="108">
        <v>0.85</v>
      </c>
      <c r="L8" s="106">
        <v>10</v>
      </c>
      <c r="M8" s="109">
        <v>32000</v>
      </c>
      <c r="N8" s="109">
        <v>27066.6</v>
      </c>
      <c r="O8" s="110">
        <v>6120</v>
      </c>
      <c r="P8" s="111">
        <v>10200</v>
      </c>
      <c r="Q8" s="109">
        <v>0.18863453159041396</v>
      </c>
      <c r="R8" s="112">
        <v>11.318071895424838</v>
      </c>
    </row>
    <row r="9" spans="2:18" hidden="1" x14ac:dyDescent="0.25">
      <c r="B9" s="103">
        <v>8</v>
      </c>
      <c r="C9" s="104" t="s">
        <v>104</v>
      </c>
      <c r="D9" s="105" t="s">
        <v>110</v>
      </c>
      <c r="E9" s="106">
        <v>1000000</v>
      </c>
      <c r="F9" s="106">
        <v>40000</v>
      </c>
      <c r="G9" s="106">
        <v>5</v>
      </c>
      <c r="H9" s="107">
        <v>0.7</v>
      </c>
      <c r="I9" s="106">
        <v>20000</v>
      </c>
      <c r="J9" s="106">
        <v>15</v>
      </c>
      <c r="K9" s="108">
        <v>0.85</v>
      </c>
      <c r="L9" s="106">
        <v>10</v>
      </c>
      <c r="M9" s="109">
        <v>160000</v>
      </c>
      <c r="N9" s="109">
        <v>121999.8</v>
      </c>
      <c r="O9" s="110">
        <v>6120</v>
      </c>
      <c r="P9" s="111">
        <v>217540.5</v>
      </c>
      <c r="Q9" s="109">
        <v>1.3604038671023964</v>
      </c>
      <c r="R9" s="112">
        <v>81.624232026143787</v>
      </c>
    </row>
    <row r="10" spans="2:18" hidden="1" x14ac:dyDescent="0.25">
      <c r="B10" s="103">
        <v>9</v>
      </c>
      <c r="C10" s="104" t="s">
        <v>104</v>
      </c>
      <c r="D10" s="105" t="s">
        <v>111</v>
      </c>
      <c r="E10" s="106">
        <v>1000000</v>
      </c>
      <c r="F10" s="106">
        <v>40000</v>
      </c>
      <c r="G10" s="106">
        <v>10</v>
      </c>
      <c r="H10" s="107">
        <v>0.7</v>
      </c>
      <c r="I10" s="106">
        <v>20000</v>
      </c>
      <c r="J10" s="106">
        <v>10</v>
      </c>
      <c r="K10" s="108">
        <v>0.85</v>
      </c>
      <c r="L10" s="106">
        <v>10</v>
      </c>
      <c r="M10" s="109">
        <v>160000</v>
      </c>
      <c r="N10" s="109">
        <v>115333.2</v>
      </c>
      <c r="O10" s="110">
        <v>6120</v>
      </c>
      <c r="P10" s="111">
        <v>384081</v>
      </c>
      <c r="Q10" s="109">
        <v>1.7957903050108932</v>
      </c>
      <c r="R10" s="112">
        <v>107.74741830065359</v>
      </c>
    </row>
    <row r="11" spans="2:18" hidden="1" x14ac:dyDescent="0.25">
      <c r="B11" s="103">
        <v>10</v>
      </c>
      <c r="C11" s="104" t="s">
        <v>104</v>
      </c>
      <c r="D11" s="105" t="s">
        <v>112</v>
      </c>
      <c r="E11" s="106">
        <v>500000</v>
      </c>
      <c r="F11" s="106">
        <v>20000</v>
      </c>
      <c r="G11" s="106">
        <v>3</v>
      </c>
      <c r="H11" s="107">
        <v>0.7</v>
      </c>
      <c r="I11" s="106">
        <v>10000</v>
      </c>
      <c r="J11" s="106">
        <v>5</v>
      </c>
      <c r="K11" s="108">
        <v>0.85</v>
      </c>
      <c r="L11" s="106">
        <v>10</v>
      </c>
      <c r="M11" s="109">
        <v>80000</v>
      </c>
      <c r="N11" s="109">
        <v>57666.6</v>
      </c>
      <c r="O11" s="110">
        <v>6120</v>
      </c>
      <c r="P11" s="111">
        <v>125424.29999999999</v>
      </c>
      <c r="Q11" s="109">
        <v>0.71647848583877993</v>
      </c>
      <c r="R11" s="112">
        <v>42.988709150326798</v>
      </c>
    </row>
    <row r="12" spans="2:18" hidden="1" x14ac:dyDescent="0.25">
      <c r="B12" s="103">
        <v>11</v>
      </c>
      <c r="C12" s="104" t="s">
        <v>104</v>
      </c>
      <c r="D12" s="105" t="s">
        <v>113</v>
      </c>
      <c r="E12" s="106">
        <v>3000000</v>
      </c>
      <c r="F12" s="106">
        <v>120000</v>
      </c>
      <c r="G12" s="106">
        <v>15</v>
      </c>
      <c r="H12" s="107">
        <v>0.7</v>
      </c>
      <c r="I12" s="106">
        <v>60000</v>
      </c>
      <c r="J12" s="106">
        <v>10</v>
      </c>
      <c r="K12" s="108">
        <v>0.85</v>
      </c>
      <c r="L12" s="106">
        <v>10</v>
      </c>
      <c r="M12" s="109">
        <v>480000</v>
      </c>
      <c r="N12" s="109">
        <v>319333.2</v>
      </c>
      <c r="O12" s="110">
        <v>6120</v>
      </c>
      <c r="P12" s="111">
        <v>652621.49999999988</v>
      </c>
      <c r="Q12" s="109">
        <v>3.9541249999999999</v>
      </c>
      <c r="R12" s="112">
        <v>237.2475</v>
      </c>
    </row>
    <row r="13" spans="2:18" hidden="1" x14ac:dyDescent="0.25">
      <c r="B13" s="103">
        <v>12</v>
      </c>
      <c r="C13" s="104" t="s">
        <v>104</v>
      </c>
      <c r="D13" s="105" t="s">
        <v>114</v>
      </c>
      <c r="E13" s="106">
        <v>4000000</v>
      </c>
      <c r="F13" s="106">
        <v>160000</v>
      </c>
      <c r="G13" s="106">
        <v>10</v>
      </c>
      <c r="H13" s="107">
        <v>0.7</v>
      </c>
      <c r="I13" s="106">
        <v>80000</v>
      </c>
      <c r="J13" s="106">
        <v>30</v>
      </c>
      <c r="K13" s="108">
        <v>0.85</v>
      </c>
      <c r="L13" s="106">
        <v>10</v>
      </c>
      <c r="M13" s="109">
        <v>640000</v>
      </c>
      <c r="N13" s="109">
        <v>447999.6</v>
      </c>
      <c r="O13" s="110">
        <v>6120</v>
      </c>
      <c r="P13" s="111">
        <v>537081</v>
      </c>
      <c r="Q13" s="109">
        <v>4.4256007625272336</v>
      </c>
      <c r="R13" s="112">
        <v>265.53604575163399</v>
      </c>
    </row>
    <row r="14" spans="2:18" hidden="1" x14ac:dyDescent="0.25">
      <c r="B14" s="103">
        <v>13</v>
      </c>
      <c r="C14" s="104" t="s">
        <v>104</v>
      </c>
      <c r="D14" s="105" t="s">
        <v>115</v>
      </c>
      <c r="E14" s="106">
        <v>5000000</v>
      </c>
      <c r="F14" s="106">
        <v>200000</v>
      </c>
      <c r="G14" s="106">
        <v>15</v>
      </c>
      <c r="H14" s="107">
        <v>0.7</v>
      </c>
      <c r="I14" s="106">
        <v>100000</v>
      </c>
      <c r="J14" s="106">
        <v>20</v>
      </c>
      <c r="K14" s="108">
        <v>0.85</v>
      </c>
      <c r="L14" s="106">
        <v>10</v>
      </c>
      <c r="M14" s="109">
        <v>800000</v>
      </c>
      <c r="N14" s="109">
        <v>536666.4</v>
      </c>
      <c r="O14" s="110">
        <v>6120</v>
      </c>
      <c r="P14" s="111">
        <v>754621.49999999988</v>
      </c>
      <c r="Q14" s="109">
        <v>5.6952284858387801</v>
      </c>
      <c r="R14" s="112">
        <v>341.71370915032679</v>
      </c>
    </row>
    <row r="15" spans="2:18" hidden="1" x14ac:dyDescent="0.25">
      <c r="B15" s="103">
        <v>14</v>
      </c>
      <c r="C15" s="104" t="s">
        <v>104</v>
      </c>
      <c r="D15" s="105" t="s">
        <v>104</v>
      </c>
      <c r="E15" s="106">
        <v>1000000</v>
      </c>
      <c r="F15" s="106">
        <v>40000</v>
      </c>
      <c r="G15" s="106">
        <v>0</v>
      </c>
      <c r="H15" s="107">
        <v>0.7</v>
      </c>
      <c r="I15" s="106">
        <v>20000</v>
      </c>
      <c r="J15" s="106">
        <v>20</v>
      </c>
      <c r="K15" s="108">
        <v>0.85</v>
      </c>
      <c r="L15" s="106">
        <v>10</v>
      </c>
      <c r="M15" s="109">
        <v>160000</v>
      </c>
      <c r="N15" s="109">
        <v>128666.4</v>
      </c>
      <c r="O15" s="110">
        <v>6120</v>
      </c>
      <c r="P15" s="111">
        <v>51000</v>
      </c>
      <c r="Q15" s="109">
        <v>0.92501742919389984</v>
      </c>
      <c r="R15" s="112">
        <v>55.501045751633988</v>
      </c>
    </row>
    <row r="16" spans="2:18" hidden="1" x14ac:dyDescent="0.25">
      <c r="B16" s="103">
        <v>15</v>
      </c>
      <c r="C16" s="104" t="s">
        <v>104</v>
      </c>
      <c r="D16" s="105" t="s">
        <v>116</v>
      </c>
      <c r="E16" s="106">
        <v>1000000</v>
      </c>
      <c r="F16" s="106">
        <v>40000</v>
      </c>
      <c r="G16" s="106">
        <v>10</v>
      </c>
      <c r="H16" s="107">
        <v>0.7</v>
      </c>
      <c r="I16" s="106">
        <v>20000</v>
      </c>
      <c r="J16" s="106">
        <v>20</v>
      </c>
      <c r="K16" s="108">
        <v>0.85</v>
      </c>
      <c r="L16" s="106">
        <v>10</v>
      </c>
      <c r="M16" s="109">
        <v>160000</v>
      </c>
      <c r="N16" s="109">
        <v>128666.4</v>
      </c>
      <c r="O16" s="110">
        <v>6120</v>
      </c>
      <c r="P16" s="111">
        <v>384081</v>
      </c>
      <c r="Q16" s="109">
        <v>1.8321007625272332</v>
      </c>
      <c r="R16" s="112">
        <v>109.92604575163399</v>
      </c>
    </row>
    <row r="17" spans="2:18" hidden="1" x14ac:dyDescent="0.25">
      <c r="B17" s="103">
        <v>16</v>
      </c>
      <c r="C17" s="104" t="s">
        <v>104</v>
      </c>
      <c r="D17" s="105" t="s">
        <v>117</v>
      </c>
      <c r="E17" s="106">
        <v>1000000</v>
      </c>
      <c r="F17" s="106">
        <v>100000</v>
      </c>
      <c r="G17" s="106">
        <v>10</v>
      </c>
      <c r="H17" s="107">
        <v>0.7</v>
      </c>
      <c r="I17" s="106">
        <v>20000</v>
      </c>
      <c r="J17" s="106">
        <v>90</v>
      </c>
      <c r="K17" s="108">
        <v>0.85</v>
      </c>
      <c r="L17" s="106">
        <v>10</v>
      </c>
      <c r="M17" s="109">
        <v>160000</v>
      </c>
      <c r="N17" s="109">
        <v>374998.8</v>
      </c>
      <c r="O17" s="110">
        <v>6120</v>
      </c>
      <c r="P17" s="111">
        <v>384081</v>
      </c>
      <c r="Q17" s="109">
        <v>2.5029406318082792</v>
      </c>
      <c r="R17" s="112">
        <v>150.17643790849675</v>
      </c>
    </row>
    <row r="18" spans="2:18" hidden="1" x14ac:dyDescent="0.25">
      <c r="B18" s="103">
        <v>17</v>
      </c>
      <c r="C18" s="104" t="s">
        <v>104</v>
      </c>
      <c r="D18" s="105" t="s">
        <v>118</v>
      </c>
      <c r="E18" s="106">
        <v>900000</v>
      </c>
      <c r="F18" s="106">
        <v>90000</v>
      </c>
      <c r="G18" s="106">
        <v>10</v>
      </c>
      <c r="H18" s="107">
        <v>0.7</v>
      </c>
      <c r="I18" s="106">
        <v>18000</v>
      </c>
      <c r="J18" s="106">
        <v>90</v>
      </c>
      <c r="K18" s="108">
        <v>0.85</v>
      </c>
      <c r="L18" s="106">
        <v>10</v>
      </c>
      <c r="M18" s="109">
        <v>144000</v>
      </c>
      <c r="N18" s="109">
        <v>349498.8</v>
      </c>
      <c r="O18" s="110">
        <v>6120</v>
      </c>
      <c r="P18" s="111">
        <v>378981</v>
      </c>
      <c r="Q18" s="109">
        <v>2.3760343137254902</v>
      </c>
      <c r="R18" s="112">
        <v>142.56205882352941</v>
      </c>
    </row>
    <row r="19" spans="2:18" hidden="1" x14ac:dyDescent="0.25">
      <c r="B19" s="103">
        <v>18</v>
      </c>
      <c r="C19" s="104" t="s">
        <v>104</v>
      </c>
      <c r="D19" s="105" t="s">
        <v>119</v>
      </c>
      <c r="E19" s="106">
        <v>200000</v>
      </c>
      <c r="F19" s="106">
        <v>20000</v>
      </c>
      <c r="G19" s="106">
        <v>1</v>
      </c>
      <c r="H19" s="107">
        <v>0.7</v>
      </c>
      <c r="I19" s="106">
        <v>4000</v>
      </c>
      <c r="J19" s="106">
        <v>20</v>
      </c>
      <c r="K19" s="108">
        <v>0.85</v>
      </c>
      <c r="L19" s="106">
        <v>10</v>
      </c>
      <c r="M19" s="109">
        <v>32000</v>
      </c>
      <c r="N19" s="109">
        <v>77666.399999999994</v>
      </c>
      <c r="O19" s="110">
        <v>6120</v>
      </c>
      <c r="P19" s="111">
        <v>43508.1</v>
      </c>
      <c r="Q19" s="109">
        <v>0.4171418845315904</v>
      </c>
      <c r="R19" s="112">
        <v>25.028513071895425</v>
      </c>
    </row>
    <row r="20" spans="2:18" hidden="1" x14ac:dyDescent="0.25">
      <c r="B20" s="103">
        <v>19</v>
      </c>
      <c r="C20" s="104" t="s">
        <v>104</v>
      </c>
      <c r="D20" s="105" t="s">
        <v>120</v>
      </c>
      <c r="E20" s="106">
        <v>1000000</v>
      </c>
      <c r="F20" s="106">
        <v>100000</v>
      </c>
      <c r="G20" s="106">
        <v>20</v>
      </c>
      <c r="H20" s="107">
        <v>0.7</v>
      </c>
      <c r="I20" s="106">
        <v>20000</v>
      </c>
      <c r="J20" s="106">
        <v>20</v>
      </c>
      <c r="K20" s="108">
        <v>0.85</v>
      </c>
      <c r="L20" s="106">
        <v>10</v>
      </c>
      <c r="M20" s="109">
        <v>160000</v>
      </c>
      <c r="N20" s="109">
        <v>281666.40000000002</v>
      </c>
      <c r="O20" s="110">
        <v>6120</v>
      </c>
      <c r="P20" s="111">
        <v>717162</v>
      </c>
      <c r="Q20" s="109">
        <v>3.1558507625272325</v>
      </c>
      <c r="R20" s="112">
        <v>189.35104575163396</v>
      </c>
    </row>
    <row r="21" spans="2:18" hidden="1" x14ac:dyDescent="0.25">
      <c r="B21" s="103">
        <v>20</v>
      </c>
      <c r="C21" s="104" t="s">
        <v>104</v>
      </c>
      <c r="D21" s="105" t="s">
        <v>121</v>
      </c>
      <c r="E21" s="106">
        <v>2000000</v>
      </c>
      <c r="F21" s="106">
        <v>200000</v>
      </c>
      <c r="G21" s="106">
        <v>10</v>
      </c>
      <c r="H21" s="107">
        <v>0.7</v>
      </c>
      <c r="I21" s="106">
        <v>40000</v>
      </c>
      <c r="J21" s="106">
        <v>20</v>
      </c>
      <c r="K21" s="108">
        <v>0.85</v>
      </c>
      <c r="L21" s="106">
        <v>10</v>
      </c>
      <c r="M21" s="109">
        <v>320000</v>
      </c>
      <c r="N21" s="109">
        <v>536666.4</v>
      </c>
      <c r="O21" s="110">
        <v>6120</v>
      </c>
      <c r="P21" s="111">
        <v>435081</v>
      </c>
      <c r="Q21" s="109">
        <v>3.5178306100217864</v>
      </c>
      <c r="R21" s="112">
        <v>211.06983660130717</v>
      </c>
    </row>
    <row r="22" spans="2:18" hidden="1" x14ac:dyDescent="0.25">
      <c r="B22" s="103">
        <v>21</v>
      </c>
      <c r="C22" s="104" t="s">
        <v>104</v>
      </c>
      <c r="D22" s="105" t="s">
        <v>122</v>
      </c>
      <c r="E22" s="106">
        <v>1000000</v>
      </c>
      <c r="F22" s="106">
        <v>50000</v>
      </c>
      <c r="G22" s="106">
        <v>5</v>
      </c>
      <c r="H22" s="107">
        <v>0.7</v>
      </c>
      <c r="I22" s="106">
        <v>20000</v>
      </c>
      <c r="J22" s="106">
        <v>15</v>
      </c>
      <c r="K22" s="108">
        <v>0.85</v>
      </c>
      <c r="L22" s="106">
        <v>10</v>
      </c>
      <c r="M22" s="109">
        <v>160000</v>
      </c>
      <c r="N22" s="109">
        <v>147499.79999999999</v>
      </c>
      <c r="O22" s="110">
        <v>6120</v>
      </c>
      <c r="P22" s="111">
        <v>217540.5</v>
      </c>
      <c r="Q22" s="109">
        <v>1.429848311546841</v>
      </c>
      <c r="R22" s="112">
        <v>85.790898692810458</v>
      </c>
    </row>
    <row r="23" spans="2:18" hidden="1" x14ac:dyDescent="0.25">
      <c r="B23" s="103">
        <v>22</v>
      </c>
      <c r="C23" s="104" t="s">
        <v>123</v>
      </c>
      <c r="D23" s="105" t="s">
        <v>124</v>
      </c>
      <c r="E23" s="113">
        <v>5000</v>
      </c>
      <c r="F23" s="113">
        <v>250</v>
      </c>
      <c r="G23" s="113">
        <v>1</v>
      </c>
      <c r="H23" s="114">
        <v>0.7</v>
      </c>
      <c r="I23" s="113">
        <v>500</v>
      </c>
      <c r="J23" s="113">
        <v>10</v>
      </c>
      <c r="K23" s="115">
        <v>0.85</v>
      </c>
      <c r="L23" s="113">
        <v>10</v>
      </c>
      <c r="M23" s="109">
        <v>800</v>
      </c>
      <c r="N23" s="109">
        <v>13970.7</v>
      </c>
      <c r="O23" s="110">
        <v>6120</v>
      </c>
      <c r="P23" s="111">
        <v>34583.1</v>
      </c>
      <c r="Q23" s="109">
        <v>0.13440577342047932</v>
      </c>
      <c r="R23" s="112">
        <v>8.0643464052287595</v>
      </c>
    </row>
    <row r="24" spans="2:18" hidden="1" x14ac:dyDescent="0.25">
      <c r="B24" s="103">
        <v>23</v>
      </c>
      <c r="C24" s="104" t="s">
        <v>123</v>
      </c>
      <c r="D24" s="105" t="s">
        <v>125</v>
      </c>
      <c r="E24" s="116">
        <v>16697</v>
      </c>
      <c r="F24" s="116">
        <v>834.85</v>
      </c>
      <c r="G24" s="116">
        <v>3</v>
      </c>
      <c r="H24" s="117">
        <v>0.7</v>
      </c>
      <c r="I24" s="116">
        <v>2000</v>
      </c>
      <c r="J24" s="116">
        <v>0</v>
      </c>
      <c r="K24" s="118">
        <v>0.85</v>
      </c>
      <c r="L24" s="116">
        <v>10</v>
      </c>
      <c r="M24" s="109">
        <v>2671.52</v>
      </c>
      <c r="N24" s="109">
        <v>2128.8674999999998</v>
      </c>
      <c r="O24" s="110">
        <v>6120</v>
      </c>
      <c r="P24" s="111">
        <v>105024.29999999999</v>
      </c>
      <c r="Q24" s="109">
        <v>0.29908683959694987</v>
      </c>
      <c r="R24" s="112">
        <v>17.945210375816991</v>
      </c>
    </row>
    <row r="25" spans="2:18" hidden="1" x14ac:dyDescent="0.25">
      <c r="B25" s="103">
        <v>24</v>
      </c>
      <c r="C25" s="104" t="s">
        <v>123</v>
      </c>
      <c r="D25" s="105" t="s">
        <v>126</v>
      </c>
      <c r="E25" s="113">
        <v>800000</v>
      </c>
      <c r="F25" s="113">
        <v>40000</v>
      </c>
      <c r="G25" s="113">
        <v>20</v>
      </c>
      <c r="H25" s="114">
        <v>0.4</v>
      </c>
      <c r="I25" s="113">
        <v>16000</v>
      </c>
      <c r="J25" s="113">
        <v>25</v>
      </c>
      <c r="K25" s="115">
        <v>0.85</v>
      </c>
      <c r="L25" s="113">
        <v>10</v>
      </c>
      <c r="M25" s="109">
        <v>128000</v>
      </c>
      <c r="N25" s="109">
        <v>135333</v>
      </c>
      <c r="O25" s="110">
        <v>6120</v>
      </c>
      <c r="P25" s="111">
        <v>421464</v>
      </c>
      <c r="Q25" s="109">
        <v>1.864915577342048</v>
      </c>
      <c r="R25" s="112">
        <v>111.89493464052288</v>
      </c>
    </row>
    <row r="26" spans="2:18" hidden="1" x14ac:dyDescent="0.25">
      <c r="B26" s="103">
        <v>25</v>
      </c>
      <c r="C26" s="104" t="s">
        <v>123</v>
      </c>
      <c r="D26" s="105" t="s">
        <v>127</v>
      </c>
      <c r="E26" s="113">
        <v>2880000</v>
      </c>
      <c r="F26" s="113">
        <v>52000</v>
      </c>
      <c r="G26" s="113">
        <v>10</v>
      </c>
      <c r="H26" s="114"/>
      <c r="I26" s="113">
        <v>79200000</v>
      </c>
      <c r="J26" s="113">
        <v>4</v>
      </c>
      <c r="K26" s="115">
        <v>0.85</v>
      </c>
      <c r="L26" s="113">
        <v>10</v>
      </c>
      <c r="M26" s="109">
        <v>460800</v>
      </c>
      <c r="N26" s="109">
        <v>137933.28</v>
      </c>
      <c r="O26" s="110">
        <v>6120</v>
      </c>
      <c r="P26" s="111">
        <v>201960000</v>
      </c>
      <c r="Q26" s="109">
        <v>551.63053725490192</v>
      </c>
      <c r="R26" s="112">
        <v>33097.832235294118</v>
      </c>
    </row>
    <row r="27" spans="2:18" hidden="1" x14ac:dyDescent="0.25">
      <c r="B27" s="103">
        <v>26</v>
      </c>
      <c r="C27" s="104" t="s">
        <v>123</v>
      </c>
      <c r="D27" s="105" t="s">
        <v>128</v>
      </c>
      <c r="E27" s="113">
        <v>1300000</v>
      </c>
      <c r="F27" s="113">
        <v>65000</v>
      </c>
      <c r="G27" s="113">
        <v>7.5</v>
      </c>
      <c r="H27" s="114">
        <v>0.7</v>
      </c>
      <c r="I27" s="113">
        <v>50000</v>
      </c>
      <c r="J27" s="113">
        <v>10</v>
      </c>
      <c r="K27" s="115">
        <v>0.85</v>
      </c>
      <c r="L27" s="113">
        <v>10</v>
      </c>
      <c r="M27" s="109">
        <v>208000</v>
      </c>
      <c r="N27" s="109">
        <v>179083.2</v>
      </c>
      <c r="O27" s="110">
        <v>6120</v>
      </c>
      <c r="P27" s="111">
        <v>377310.74999999994</v>
      </c>
      <c r="Q27" s="109">
        <v>2.0816828703703703</v>
      </c>
      <c r="R27" s="112">
        <v>124.90097222222221</v>
      </c>
    </row>
    <row r="28" spans="2:18" hidden="1" x14ac:dyDescent="0.25">
      <c r="B28" s="103">
        <v>27</v>
      </c>
      <c r="C28" s="104" t="s">
        <v>123</v>
      </c>
      <c r="D28" s="119" t="s">
        <v>129</v>
      </c>
      <c r="E28" s="113">
        <v>2000000</v>
      </c>
      <c r="F28" s="113">
        <v>60000</v>
      </c>
      <c r="G28" s="113">
        <v>5</v>
      </c>
      <c r="H28" s="114">
        <v>0.7</v>
      </c>
      <c r="I28" s="113">
        <v>350000</v>
      </c>
      <c r="J28" s="113">
        <v>4</v>
      </c>
      <c r="K28" s="115">
        <v>0.85</v>
      </c>
      <c r="L28" s="113">
        <v>10</v>
      </c>
      <c r="M28" s="109">
        <v>320000</v>
      </c>
      <c r="N28" s="109">
        <v>158333.28</v>
      </c>
      <c r="O28" s="110">
        <v>6120</v>
      </c>
      <c r="P28" s="111">
        <v>1059040.5</v>
      </c>
      <c r="Q28" s="109">
        <v>4.1867477668845314</v>
      </c>
      <c r="R28" s="112">
        <v>251.20486601307189</v>
      </c>
    </row>
    <row r="29" spans="2:18" hidden="1" x14ac:dyDescent="0.25">
      <c r="B29" s="103">
        <v>28</v>
      </c>
      <c r="C29" s="104" t="s">
        <v>123</v>
      </c>
      <c r="D29" s="120" t="s">
        <v>130</v>
      </c>
      <c r="E29" s="116">
        <v>17000000</v>
      </c>
      <c r="F29" s="116">
        <v>850000</v>
      </c>
      <c r="G29" s="116">
        <v>25</v>
      </c>
      <c r="H29" s="117">
        <v>0.7</v>
      </c>
      <c r="I29" s="116">
        <v>340000</v>
      </c>
      <c r="J29" s="116">
        <v>15</v>
      </c>
      <c r="K29" s="118">
        <v>0.85</v>
      </c>
      <c r="L29" s="116">
        <v>10</v>
      </c>
      <c r="M29" s="109">
        <v>2720000</v>
      </c>
      <c r="N29" s="109">
        <v>2187499.7999999998</v>
      </c>
      <c r="O29" s="110">
        <v>6120</v>
      </c>
      <c r="P29" s="111">
        <v>1699702.5</v>
      </c>
      <c r="Q29" s="109">
        <v>17.993470315904137</v>
      </c>
      <c r="R29" s="112">
        <v>1079.6082189542483</v>
      </c>
    </row>
    <row r="30" spans="2:18" hidden="1" x14ac:dyDescent="0.25">
      <c r="B30" s="103">
        <v>29</v>
      </c>
      <c r="C30" s="104" t="s">
        <v>123</v>
      </c>
      <c r="D30" s="105" t="s">
        <v>131</v>
      </c>
      <c r="E30" s="113">
        <v>20000</v>
      </c>
      <c r="F30" s="113">
        <v>400</v>
      </c>
      <c r="G30" s="113">
        <v>2</v>
      </c>
      <c r="H30" s="114">
        <v>0.7</v>
      </c>
      <c r="I30" s="113">
        <v>400</v>
      </c>
      <c r="J30" s="113">
        <v>20</v>
      </c>
      <c r="K30" s="115">
        <v>0.85</v>
      </c>
      <c r="L30" s="113">
        <v>10</v>
      </c>
      <c r="M30" s="109">
        <v>3200</v>
      </c>
      <c r="N30" s="109">
        <v>27686.400000000001</v>
      </c>
      <c r="O30" s="110">
        <v>6120</v>
      </c>
      <c r="P30" s="111">
        <v>67636.2</v>
      </c>
      <c r="Q30" s="109">
        <v>0.26830773420479304</v>
      </c>
      <c r="R30" s="112">
        <v>16.098464052287582</v>
      </c>
    </row>
    <row r="31" spans="2:18" hidden="1" x14ac:dyDescent="0.25">
      <c r="B31" s="103">
        <v>30</v>
      </c>
      <c r="C31" s="104" t="s">
        <v>123</v>
      </c>
      <c r="D31" s="105" t="s">
        <v>132</v>
      </c>
      <c r="E31" s="113">
        <v>5000</v>
      </c>
      <c r="F31" s="113">
        <v>250</v>
      </c>
      <c r="G31" s="113">
        <v>1</v>
      </c>
      <c r="H31" s="114">
        <v>0.7</v>
      </c>
      <c r="I31" s="113">
        <v>500</v>
      </c>
      <c r="J31" s="113">
        <v>10</v>
      </c>
      <c r="K31" s="115">
        <v>0.85</v>
      </c>
      <c r="L31" s="113">
        <v>10</v>
      </c>
      <c r="M31" s="109">
        <v>800</v>
      </c>
      <c r="N31" s="109">
        <v>13970.7</v>
      </c>
      <c r="O31" s="110">
        <v>6120</v>
      </c>
      <c r="P31" s="111">
        <v>34583.1</v>
      </c>
      <c r="Q31" s="109">
        <v>0.13440577342047932</v>
      </c>
      <c r="R31" s="112">
        <v>8.0643464052287595</v>
      </c>
    </row>
    <row r="32" spans="2:18" hidden="1" x14ac:dyDescent="0.25">
      <c r="B32" s="103">
        <v>31</v>
      </c>
      <c r="C32" s="104" t="s">
        <v>123</v>
      </c>
      <c r="D32" s="121" t="s">
        <v>133</v>
      </c>
      <c r="E32" s="122">
        <v>50000</v>
      </c>
      <c r="F32" s="122">
        <v>250</v>
      </c>
      <c r="G32" s="122">
        <v>0</v>
      </c>
      <c r="H32" s="123">
        <v>0.7</v>
      </c>
      <c r="I32" s="122">
        <v>500</v>
      </c>
      <c r="J32" s="122">
        <v>5</v>
      </c>
      <c r="K32" s="124">
        <v>0.85</v>
      </c>
      <c r="L32" s="122">
        <v>10</v>
      </c>
      <c r="M32" s="109">
        <v>8000</v>
      </c>
      <c r="N32" s="109">
        <v>7304.1</v>
      </c>
      <c r="O32" s="110">
        <v>6120</v>
      </c>
      <c r="P32" s="111">
        <v>1275</v>
      </c>
      <c r="Q32" s="125">
        <v>4.5150054466230931E-2</v>
      </c>
      <c r="R32" s="112">
        <v>2.709003267973856</v>
      </c>
    </row>
    <row r="33" spans="2:18" hidden="1" x14ac:dyDescent="0.25">
      <c r="B33" s="103">
        <v>32</v>
      </c>
      <c r="C33" s="104" t="s">
        <v>123</v>
      </c>
      <c r="D33" s="105" t="s">
        <v>56</v>
      </c>
      <c r="E33" s="113">
        <v>300000</v>
      </c>
      <c r="F33" s="113">
        <v>6000</v>
      </c>
      <c r="G33" s="113">
        <v>0.441</v>
      </c>
      <c r="H33" s="114"/>
      <c r="I33" s="113">
        <v>6000</v>
      </c>
      <c r="J33" s="113">
        <v>1</v>
      </c>
      <c r="K33" s="115">
        <v>0.85</v>
      </c>
      <c r="L33" s="113">
        <v>10</v>
      </c>
      <c r="M33" s="109">
        <v>48000</v>
      </c>
      <c r="N33" s="109">
        <v>16633.32</v>
      </c>
      <c r="O33" s="110">
        <v>6120</v>
      </c>
      <c r="P33" s="111">
        <v>15300</v>
      </c>
      <c r="Q33" s="109">
        <v>0.21768333333333337</v>
      </c>
      <c r="R33" s="112">
        <v>13.061000000000002</v>
      </c>
    </row>
    <row r="34" spans="2:18" hidden="1" x14ac:dyDescent="0.25">
      <c r="B34" s="103">
        <v>33</v>
      </c>
      <c r="C34" s="104" t="s">
        <v>123</v>
      </c>
      <c r="D34" s="105" t="s">
        <v>134</v>
      </c>
      <c r="E34" s="113">
        <v>1000000</v>
      </c>
      <c r="F34" s="113">
        <v>10000</v>
      </c>
      <c r="G34" s="113">
        <v>0.7</v>
      </c>
      <c r="H34" s="114"/>
      <c r="I34" s="113">
        <v>5000</v>
      </c>
      <c r="J34" s="113">
        <v>15</v>
      </c>
      <c r="K34" s="115">
        <v>0.85</v>
      </c>
      <c r="L34" s="113">
        <v>10</v>
      </c>
      <c r="M34" s="109">
        <v>160000</v>
      </c>
      <c r="N34" s="109">
        <v>45499.8</v>
      </c>
      <c r="O34" s="110">
        <v>6120</v>
      </c>
      <c r="P34" s="111">
        <v>12750</v>
      </c>
      <c r="Q34" s="109">
        <v>0.59436220043572985</v>
      </c>
      <c r="R34" s="112">
        <v>35.661732026143788</v>
      </c>
    </row>
    <row r="35" spans="2:18" hidden="1" x14ac:dyDescent="0.25">
      <c r="B35" s="103">
        <v>34</v>
      </c>
      <c r="C35" s="104" t="s">
        <v>123</v>
      </c>
      <c r="D35" s="105" t="s">
        <v>80</v>
      </c>
      <c r="E35" s="113">
        <v>1000000</v>
      </c>
      <c r="F35" s="113">
        <v>10000</v>
      </c>
      <c r="G35" s="113">
        <v>8.952</v>
      </c>
      <c r="H35" s="114"/>
      <c r="I35" s="113">
        <v>50000</v>
      </c>
      <c r="J35" s="113">
        <v>6</v>
      </c>
      <c r="K35" s="115">
        <v>0.85</v>
      </c>
      <c r="L35" s="113">
        <v>10</v>
      </c>
      <c r="M35" s="109">
        <v>160000</v>
      </c>
      <c r="N35" s="109">
        <v>33499.919999999998</v>
      </c>
      <c r="O35" s="110">
        <v>6120</v>
      </c>
      <c r="P35" s="111">
        <v>127500</v>
      </c>
      <c r="Q35" s="109">
        <v>0.87418278867102395</v>
      </c>
      <c r="R35" s="112">
        <v>52.450967320261434</v>
      </c>
    </row>
    <row r="36" spans="2:18" hidden="1" x14ac:dyDescent="0.25">
      <c r="B36" s="103">
        <v>35</v>
      </c>
      <c r="C36" s="104" t="s">
        <v>123</v>
      </c>
      <c r="D36" s="126" t="s">
        <v>135</v>
      </c>
      <c r="E36" s="113">
        <v>76518914.195000008</v>
      </c>
      <c r="F36" s="113">
        <v>1530378.2839000002</v>
      </c>
      <c r="G36" s="113">
        <v>11.25</v>
      </c>
      <c r="H36" s="114">
        <v>0.7</v>
      </c>
      <c r="I36" s="113">
        <v>765189.14195000008</v>
      </c>
      <c r="J36" s="113">
        <v>20</v>
      </c>
      <c r="K36" s="115">
        <v>0.85</v>
      </c>
      <c r="L36" s="113">
        <v>10</v>
      </c>
      <c r="M36" s="109">
        <v>12243026.271200001</v>
      </c>
      <c r="N36" s="109">
        <v>3929131.023945</v>
      </c>
      <c r="O36" s="110">
        <v>6120</v>
      </c>
      <c r="P36" s="111">
        <v>2325948.4369724998</v>
      </c>
      <c r="Q36" s="109">
        <v>50.376104934960509</v>
      </c>
      <c r="R36" s="112">
        <v>3022.5662960976306</v>
      </c>
    </row>
    <row r="37" spans="2:18" hidden="1" x14ac:dyDescent="0.25">
      <c r="B37" s="103">
        <v>36</v>
      </c>
      <c r="C37" s="104" t="s">
        <v>123</v>
      </c>
      <c r="D37" s="105" t="s">
        <v>136</v>
      </c>
      <c r="E37" s="122">
        <v>1000000</v>
      </c>
      <c r="F37" s="122">
        <v>10000</v>
      </c>
      <c r="G37" s="122">
        <v>25</v>
      </c>
      <c r="H37" s="123"/>
      <c r="I37" s="122">
        <v>5000</v>
      </c>
      <c r="J37" s="122">
        <v>15</v>
      </c>
      <c r="K37" s="124">
        <v>0.85</v>
      </c>
      <c r="L37" s="122">
        <v>10</v>
      </c>
      <c r="M37" s="109">
        <v>160000</v>
      </c>
      <c r="N37" s="109">
        <v>45499.8</v>
      </c>
      <c r="O37" s="110">
        <v>6120</v>
      </c>
      <c r="P37" s="111">
        <v>12750</v>
      </c>
      <c r="Q37" s="109">
        <v>0.59436220043572985</v>
      </c>
      <c r="R37" s="112">
        <v>35.661732026143788</v>
      </c>
    </row>
    <row r="38" spans="2:18" hidden="1" x14ac:dyDescent="0.25">
      <c r="B38" s="103">
        <v>37</v>
      </c>
      <c r="C38" s="104" t="s">
        <v>123</v>
      </c>
      <c r="D38" s="126" t="s">
        <v>137</v>
      </c>
      <c r="E38" s="122">
        <v>15000000</v>
      </c>
      <c r="F38" s="122">
        <v>600000</v>
      </c>
      <c r="G38" s="122">
        <v>11.25</v>
      </c>
      <c r="H38" s="123">
        <v>0.7</v>
      </c>
      <c r="I38" s="122">
        <v>300000</v>
      </c>
      <c r="J38" s="122">
        <v>10</v>
      </c>
      <c r="K38" s="124">
        <v>0.85</v>
      </c>
      <c r="L38" s="122">
        <v>10</v>
      </c>
      <c r="M38" s="109">
        <v>2400000</v>
      </c>
      <c r="N38" s="109">
        <v>1543333.2</v>
      </c>
      <c r="O38" s="110">
        <v>6120</v>
      </c>
      <c r="P38" s="111">
        <v>1139716.125</v>
      </c>
      <c r="Q38" s="109">
        <v>13.842726919934641</v>
      </c>
      <c r="R38" s="112">
        <v>830.56361519607844</v>
      </c>
    </row>
    <row r="39" spans="2:18" hidden="1" x14ac:dyDescent="0.25">
      <c r="B39" s="103">
        <v>38</v>
      </c>
      <c r="C39" s="104" t="s">
        <v>138</v>
      </c>
      <c r="D39" s="121" t="s">
        <v>139</v>
      </c>
      <c r="E39" s="127">
        <v>6480000</v>
      </c>
      <c r="F39" s="127">
        <v>162000</v>
      </c>
      <c r="G39" s="127">
        <v>10</v>
      </c>
      <c r="H39" s="128">
        <v>0.7</v>
      </c>
      <c r="I39" s="127">
        <v>16200</v>
      </c>
      <c r="J39" s="127">
        <v>20</v>
      </c>
      <c r="K39" s="129">
        <v>0.85</v>
      </c>
      <c r="L39" s="127">
        <v>10</v>
      </c>
      <c r="M39" s="109">
        <v>1036800</v>
      </c>
      <c r="N39" s="109">
        <v>439766.4</v>
      </c>
      <c r="O39" s="110">
        <v>6120</v>
      </c>
      <c r="P39" s="111">
        <v>374391</v>
      </c>
      <c r="Q39" s="125">
        <v>5.0407336601307184</v>
      </c>
      <c r="R39" s="112">
        <v>302.44401960784313</v>
      </c>
    </row>
    <row r="40" spans="2:18" hidden="1" x14ac:dyDescent="0.25">
      <c r="B40" s="103">
        <v>39</v>
      </c>
      <c r="C40" s="104" t="s">
        <v>138</v>
      </c>
      <c r="D40" s="105" t="s">
        <v>140</v>
      </c>
      <c r="E40" s="127">
        <v>1000000</v>
      </c>
      <c r="F40" s="127">
        <v>50000</v>
      </c>
      <c r="G40" s="127">
        <v>100</v>
      </c>
      <c r="H40" s="128">
        <v>0.7</v>
      </c>
      <c r="I40" s="127">
        <v>20000</v>
      </c>
      <c r="J40" s="127">
        <v>25</v>
      </c>
      <c r="K40" s="129">
        <v>0.85</v>
      </c>
      <c r="L40" s="127">
        <v>10</v>
      </c>
      <c r="M40" s="109">
        <v>160000</v>
      </c>
      <c r="N40" s="109">
        <v>160833</v>
      </c>
      <c r="O40" s="110">
        <v>6120</v>
      </c>
      <c r="P40" s="111">
        <v>3381810</v>
      </c>
      <c r="Q40" s="109">
        <v>10.083450435729848</v>
      </c>
      <c r="R40" s="112">
        <v>605.00702614379088</v>
      </c>
    </row>
    <row r="41" spans="2:18" hidden="1" x14ac:dyDescent="0.25">
      <c r="B41" s="103">
        <v>40</v>
      </c>
      <c r="C41" s="104" t="s">
        <v>138</v>
      </c>
      <c r="D41" s="105" t="s">
        <v>141</v>
      </c>
      <c r="E41" s="127"/>
      <c r="F41" s="127"/>
      <c r="G41" s="127"/>
      <c r="H41" s="128"/>
      <c r="I41" s="127"/>
      <c r="J41" s="127"/>
      <c r="K41" s="129">
        <v>0.85</v>
      </c>
      <c r="L41" s="127">
        <v>10</v>
      </c>
      <c r="M41" s="109">
        <v>0</v>
      </c>
      <c r="N41" s="109">
        <v>0</v>
      </c>
      <c r="O41" s="110">
        <v>6120</v>
      </c>
      <c r="P41" s="111">
        <v>0</v>
      </c>
      <c r="Q41" s="109">
        <v>0.71666666666666667</v>
      </c>
      <c r="R41" s="130">
        <v>43</v>
      </c>
    </row>
    <row r="42" spans="2:18" hidden="1" x14ac:dyDescent="0.25">
      <c r="B42" s="103">
        <v>41</v>
      </c>
      <c r="C42" s="104" t="s">
        <v>138</v>
      </c>
      <c r="D42" s="105" t="s">
        <v>142</v>
      </c>
      <c r="E42" s="127">
        <v>8000000</v>
      </c>
      <c r="F42" s="127">
        <v>80000</v>
      </c>
      <c r="G42" s="127">
        <v>74.599999999999994</v>
      </c>
      <c r="H42" s="128"/>
      <c r="I42" s="127">
        <v>400000</v>
      </c>
      <c r="J42" s="127">
        <v>25</v>
      </c>
      <c r="K42" s="129">
        <v>0.85</v>
      </c>
      <c r="L42" s="127">
        <v>10</v>
      </c>
      <c r="M42" s="109">
        <v>1280000</v>
      </c>
      <c r="N42" s="109">
        <v>237333</v>
      </c>
      <c r="O42" s="110">
        <v>6120</v>
      </c>
      <c r="P42" s="111">
        <v>1020000</v>
      </c>
      <c r="Q42" s="109">
        <v>6.9099482570806101</v>
      </c>
      <c r="R42" s="112">
        <v>414.59689542483659</v>
      </c>
    </row>
    <row r="43" spans="2:18" hidden="1" x14ac:dyDescent="0.25">
      <c r="B43" s="103">
        <v>42</v>
      </c>
      <c r="C43" s="104" t="s">
        <v>138</v>
      </c>
      <c r="D43" s="105" t="s">
        <v>143</v>
      </c>
      <c r="E43" s="127">
        <v>5000000</v>
      </c>
      <c r="F43" s="127">
        <v>50000</v>
      </c>
      <c r="G43" s="127">
        <v>100</v>
      </c>
      <c r="H43" s="128">
        <v>0.7</v>
      </c>
      <c r="I43" s="127">
        <v>250000</v>
      </c>
      <c r="J43" s="127">
        <v>30</v>
      </c>
      <c r="K43" s="129">
        <v>0.85</v>
      </c>
      <c r="L43" s="127">
        <v>10</v>
      </c>
      <c r="M43" s="109">
        <v>800000</v>
      </c>
      <c r="N43" s="109">
        <v>167499.6</v>
      </c>
      <c r="O43" s="110">
        <v>6120</v>
      </c>
      <c r="P43" s="111">
        <v>3968310</v>
      </c>
      <c r="Q43" s="109">
        <v>13.441747276688453</v>
      </c>
      <c r="R43" s="112">
        <v>806.50483660130715</v>
      </c>
    </row>
    <row r="44" spans="2:18" hidden="1" x14ac:dyDescent="0.25">
      <c r="B44" s="103">
        <v>43</v>
      </c>
      <c r="C44" s="104" t="s">
        <v>138</v>
      </c>
      <c r="D44" s="105" t="s">
        <v>144</v>
      </c>
      <c r="E44" s="127">
        <v>8000000</v>
      </c>
      <c r="F44" s="127">
        <v>80000</v>
      </c>
      <c r="G44" s="127">
        <v>150</v>
      </c>
      <c r="H44" s="128">
        <v>0.7</v>
      </c>
      <c r="I44" s="127">
        <v>400000</v>
      </c>
      <c r="J44" s="127">
        <v>40</v>
      </c>
      <c r="K44" s="129">
        <v>0.85</v>
      </c>
      <c r="L44" s="127">
        <v>10</v>
      </c>
      <c r="M44" s="109">
        <v>1280000</v>
      </c>
      <c r="N44" s="109">
        <v>257332.8</v>
      </c>
      <c r="O44" s="110">
        <v>6120</v>
      </c>
      <c r="P44" s="111">
        <v>6016215</v>
      </c>
      <c r="Q44" s="109">
        <v>20.570663943355118</v>
      </c>
      <c r="R44" s="112">
        <v>1234.2398366013072</v>
      </c>
    </row>
    <row r="45" spans="2:18" hidden="1" x14ac:dyDescent="0.25">
      <c r="B45" s="103">
        <v>44</v>
      </c>
      <c r="C45" s="104" t="s">
        <v>138</v>
      </c>
      <c r="D45" s="105" t="s">
        <v>145</v>
      </c>
      <c r="E45" s="127">
        <v>9000000</v>
      </c>
      <c r="F45" s="127">
        <v>100000</v>
      </c>
      <c r="G45" s="127">
        <v>20</v>
      </c>
      <c r="H45" s="128">
        <v>0.7</v>
      </c>
      <c r="I45" s="127">
        <v>250000</v>
      </c>
      <c r="J45" s="127">
        <v>11</v>
      </c>
      <c r="K45" s="129">
        <v>0.85</v>
      </c>
      <c r="L45" s="127">
        <v>10</v>
      </c>
      <c r="M45" s="109">
        <v>1440000</v>
      </c>
      <c r="N45" s="109">
        <v>269666.52</v>
      </c>
      <c r="O45" s="110">
        <v>6120</v>
      </c>
      <c r="P45" s="111">
        <v>1303662</v>
      </c>
      <c r="Q45" s="109">
        <v>8.2062323529411767</v>
      </c>
      <c r="R45" s="112">
        <v>492.37394117647062</v>
      </c>
    </row>
    <row r="46" spans="2:18" hidden="1" x14ac:dyDescent="0.25">
      <c r="B46" s="103">
        <v>45</v>
      </c>
      <c r="C46" s="104" t="s">
        <v>138</v>
      </c>
      <c r="D46" s="105" t="s">
        <v>146</v>
      </c>
      <c r="E46" s="127">
        <v>35000000</v>
      </c>
      <c r="F46" s="127">
        <v>300000</v>
      </c>
      <c r="G46" s="127">
        <v>35</v>
      </c>
      <c r="H46" s="128">
        <v>0.7</v>
      </c>
      <c r="I46" s="127">
        <v>250000</v>
      </c>
      <c r="J46" s="127">
        <v>11</v>
      </c>
      <c r="K46" s="129">
        <v>0.85</v>
      </c>
      <c r="L46" s="127">
        <v>10</v>
      </c>
      <c r="M46" s="109">
        <v>5600000</v>
      </c>
      <c r="N46" s="109">
        <v>779666.52</v>
      </c>
      <c r="O46" s="110">
        <v>6120</v>
      </c>
      <c r="P46" s="111">
        <v>1803283.5</v>
      </c>
      <c r="Q46" s="109">
        <v>22.284722276688452</v>
      </c>
      <c r="R46" s="112">
        <v>1337.0833366013071</v>
      </c>
    </row>
    <row r="47" spans="2:18" hidden="1" x14ac:dyDescent="0.25">
      <c r="B47" s="103">
        <v>46</v>
      </c>
      <c r="C47" s="104" t="s">
        <v>138</v>
      </c>
      <c r="D47" s="105" t="s">
        <v>147</v>
      </c>
      <c r="E47" s="127">
        <v>10623786</v>
      </c>
      <c r="F47" s="127"/>
      <c r="G47" s="127"/>
      <c r="H47" s="128"/>
      <c r="I47" s="127"/>
      <c r="J47" s="127"/>
      <c r="K47" s="129">
        <v>0.85</v>
      </c>
      <c r="L47" s="127">
        <v>10</v>
      </c>
      <c r="M47" s="109">
        <v>1699805.7600000002</v>
      </c>
      <c r="N47" s="109">
        <v>0</v>
      </c>
      <c r="O47" s="110">
        <v>6120</v>
      </c>
      <c r="P47" s="111">
        <v>0</v>
      </c>
      <c r="Q47" s="109"/>
      <c r="R47" s="112"/>
    </row>
    <row r="48" spans="2:18" hidden="1" x14ac:dyDescent="0.25">
      <c r="B48" s="103">
        <v>47</v>
      </c>
      <c r="C48" s="104" t="s">
        <v>138</v>
      </c>
      <c r="D48" s="105" t="s">
        <v>148</v>
      </c>
      <c r="E48" s="127">
        <v>55000000</v>
      </c>
      <c r="F48" s="127">
        <v>550000</v>
      </c>
      <c r="G48" s="127">
        <v>60</v>
      </c>
      <c r="H48" s="128">
        <v>0.7</v>
      </c>
      <c r="I48" s="127">
        <v>350000</v>
      </c>
      <c r="J48" s="127">
        <v>15</v>
      </c>
      <c r="K48" s="129">
        <v>0.85</v>
      </c>
      <c r="L48" s="127">
        <v>10</v>
      </c>
      <c r="M48" s="109">
        <v>8800000</v>
      </c>
      <c r="N48" s="109">
        <v>1422499.8</v>
      </c>
      <c r="O48" s="110">
        <v>6120</v>
      </c>
      <c r="P48" s="111">
        <v>2890985.9999999995</v>
      </c>
      <c r="Q48" s="109">
        <v>35.712107298474947</v>
      </c>
      <c r="R48" s="112">
        <v>2142.7264379084968</v>
      </c>
    </row>
    <row r="49" spans="2:18" hidden="1" x14ac:dyDescent="0.25">
      <c r="B49" s="103">
        <v>48</v>
      </c>
      <c r="C49" s="104" t="s">
        <v>138</v>
      </c>
      <c r="D49" s="121" t="s">
        <v>149</v>
      </c>
      <c r="E49" s="127">
        <v>48600000</v>
      </c>
      <c r="F49" s="127">
        <v>607500</v>
      </c>
      <c r="G49" s="127">
        <v>30</v>
      </c>
      <c r="H49" s="128">
        <v>0.7</v>
      </c>
      <c r="I49" s="127">
        <v>202500</v>
      </c>
      <c r="J49" s="127">
        <v>25</v>
      </c>
      <c r="K49" s="129">
        <v>0.85</v>
      </c>
      <c r="L49" s="127">
        <v>10</v>
      </c>
      <c r="M49" s="109">
        <v>7776000</v>
      </c>
      <c r="N49" s="109">
        <v>1582458</v>
      </c>
      <c r="O49" s="110">
        <v>6120</v>
      </c>
      <c r="P49" s="111">
        <v>1515617.9999999998</v>
      </c>
      <c r="Q49" s="125">
        <v>29.613496732026142</v>
      </c>
      <c r="R49" s="112">
        <v>1776.8098039215686</v>
      </c>
    </row>
    <row r="50" spans="2:18" hidden="1" x14ac:dyDescent="0.25">
      <c r="B50" s="103">
        <v>49</v>
      </c>
      <c r="C50" s="104" t="s">
        <v>138</v>
      </c>
      <c r="D50" s="105" t="s">
        <v>149</v>
      </c>
      <c r="E50" s="127">
        <v>80000000</v>
      </c>
      <c r="F50" s="127">
        <v>607500</v>
      </c>
      <c r="G50" s="127">
        <v>80</v>
      </c>
      <c r="H50" s="128">
        <v>0.7</v>
      </c>
      <c r="I50" s="127">
        <v>202500</v>
      </c>
      <c r="J50" s="127">
        <v>25</v>
      </c>
      <c r="K50" s="129">
        <v>0.85</v>
      </c>
      <c r="L50" s="127">
        <v>10</v>
      </c>
      <c r="M50" s="109">
        <v>12800000</v>
      </c>
      <c r="N50" s="109">
        <v>1582458</v>
      </c>
      <c r="O50" s="110">
        <v>6120</v>
      </c>
      <c r="P50" s="111">
        <v>3181023</v>
      </c>
      <c r="Q50" s="109">
        <v>47.830830610021785</v>
      </c>
      <c r="R50" s="112">
        <v>2869.8498366013073</v>
      </c>
    </row>
    <row r="51" spans="2:18" hidden="1" x14ac:dyDescent="0.25">
      <c r="B51" s="103">
        <v>50</v>
      </c>
      <c r="C51" s="104" t="s">
        <v>138</v>
      </c>
      <c r="D51" s="105" t="s">
        <v>150</v>
      </c>
      <c r="E51" s="127">
        <v>70000000</v>
      </c>
      <c r="F51" s="127">
        <v>800000</v>
      </c>
      <c r="G51" s="127">
        <v>45</v>
      </c>
      <c r="H51" s="128">
        <v>0.7</v>
      </c>
      <c r="I51" s="127">
        <v>400000</v>
      </c>
      <c r="J51" s="127">
        <v>25</v>
      </c>
      <c r="K51" s="129">
        <v>0.85</v>
      </c>
      <c r="L51" s="127">
        <v>10</v>
      </c>
      <c r="M51" s="109">
        <v>11200000</v>
      </c>
      <c r="N51" s="109">
        <v>2073333</v>
      </c>
      <c r="O51" s="110">
        <v>6120</v>
      </c>
      <c r="P51" s="111">
        <v>2518864.5</v>
      </c>
      <c r="Q51" s="109">
        <v>43.007073801742919</v>
      </c>
      <c r="R51" s="112">
        <v>2580.4244281045753</v>
      </c>
    </row>
    <row r="52" spans="2:18" hidden="1" x14ac:dyDescent="0.25">
      <c r="B52" s="103">
        <v>51</v>
      </c>
      <c r="C52" s="104" t="s">
        <v>138</v>
      </c>
      <c r="D52" s="105" t="s">
        <v>151</v>
      </c>
      <c r="E52" s="127">
        <v>50000000</v>
      </c>
      <c r="F52" s="127">
        <v>600000</v>
      </c>
      <c r="G52" s="127">
        <v>30</v>
      </c>
      <c r="H52" s="128">
        <v>0.7</v>
      </c>
      <c r="I52" s="127">
        <v>400000</v>
      </c>
      <c r="J52" s="127">
        <v>25</v>
      </c>
      <c r="K52" s="129">
        <v>0.85</v>
      </c>
      <c r="L52" s="127">
        <v>10</v>
      </c>
      <c r="M52" s="109">
        <v>8000000</v>
      </c>
      <c r="N52" s="109">
        <v>1563333</v>
      </c>
      <c r="O52" s="110">
        <v>6120</v>
      </c>
      <c r="P52" s="111">
        <v>2019242.9999999998</v>
      </c>
      <c r="Q52" s="109">
        <v>31.542962962962964</v>
      </c>
      <c r="R52" s="112">
        <v>1892.5777777777778</v>
      </c>
    </row>
    <row r="53" spans="2:18" hidden="1" x14ac:dyDescent="0.25">
      <c r="B53" s="103">
        <v>52</v>
      </c>
      <c r="C53" s="104" t="s">
        <v>138</v>
      </c>
      <c r="D53" s="105" t="s">
        <v>152</v>
      </c>
      <c r="E53" s="127">
        <v>63180000</v>
      </c>
      <c r="F53" s="127">
        <v>789750</v>
      </c>
      <c r="G53" s="127">
        <v>35</v>
      </c>
      <c r="H53" s="128"/>
      <c r="I53" s="127">
        <v>263250</v>
      </c>
      <c r="J53" s="127">
        <v>20</v>
      </c>
      <c r="K53" s="129">
        <v>0.85</v>
      </c>
      <c r="L53" s="127">
        <v>10</v>
      </c>
      <c r="M53" s="109">
        <v>10108800</v>
      </c>
      <c r="N53" s="109">
        <v>2040528.9</v>
      </c>
      <c r="O53" s="110">
        <v>6120</v>
      </c>
      <c r="P53" s="111">
        <v>671287.5</v>
      </c>
      <c r="Q53" s="109">
        <v>34.914532679738564</v>
      </c>
      <c r="R53" s="112">
        <v>2094.8719607843136</v>
      </c>
    </row>
    <row r="54" spans="2:18" hidden="1" x14ac:dyDescent="0.25">
      <c r="B54" s="103">
        <v>53</v>
      </c>
      <c r="C54" s="104" t="s">
        <v>138</v>
      </c>
      <c r="D54" s="105" t="s">
        <v>153</v>
      </c>
      <c r="E54" s="127">
        <v>7500000</v>
      </c>
      <c r="F54" s="127">
        <v>750000</v>
      </c>
      <c r="G54" s="127">
        <v>10</v>
      </c>
      <c r="H54" s="128">
        <v>0.8</v>
      </c>
      <c r="I54" s="127">
        <v>150000</v>
      </c>
      <c r="J54" s="127">
        <v>20</v>
      </c>
      <c r="K54" s="129">
        <v>0.85</v>
      </c>
      <c r="L54" s="127">
        <v>10</v>
      </c>
      <c r="M54" s="109">
        <v>1200000</v>
      </c>
      <c r="N54" s="109">
        <v>1939166.4</v>
      </c>
      <c r="O54" s="110">
        <v>6120</v>
      </c>
      <c r="P54" s="111">
        <v>763164</v>
      </c>
      <c r="Q54" s="109">
        <v>10.627261437908496</v>
      </c>
      <c r="R54" s="112">
        <v>637.63568627450979</v>
      </c>
    </row>
    <row r="55" spans="2:18" hidden="1" x14ac:dyDescent="0.25">
      <c r="B55" s="103">
        <v>54</v>
      </c>
      <c r="C55" s="104" t="s">
        <v>138</v>
      </c>
      <c r="D55" s="105" t="s">
        <v>154</v>
      </c>
      <c r="E55" s="127">
        <v>100000000</v>
      </c>
      <c r="F55" s="127">
        <v>1000000</v>
      </c>
      <c r="G55" s="127">
        <v>50</v>
      </c>
      <c r="H55" s="128">
        <v>0.7</v>
      </c>
      <c r="I55" s="127">
        <v>500000</v>
      </c>
      <c r="J55" s="127">
        <v>30</v>
      </c>
      <c r="K55" s="129">
        <v>0.85</v>
      </c>
      <c r="L55" s="127">
        <v>10</v>
      </c>
      <c r="M55" s="109">
        <v>16000000</v>
      </c>
      <c r="N55" s="109">
        <v>2589999.6</v>
      </c>
      <c r="O55" s="110">
        <v>6120</v>
      </c>
      <c r="P55" s="111">
        <v>2940405</v>
      </c>
      <c r="Q55" s="109">
        <v>58.633999455337701</v>
      </c>
      <c r="R55" s="112">
        <v>3518.0399673202619</v>
      </c>
    </row>
    <row r="56" spans="2:18" hidden="1" x14ac:dyDescent="0.25">
      <c r="B56" s="103">
        <v>55</v>
      </c>
      <c r="C56" s="104" t="s">
        <v>138</v>
      </c>
      <c r="D56" s="105" t="s">
        <v>155</v>
      </c>
      <c r="E56" s="127">
        <v>80000000</v>
      </c>
      <c r="F56" s="127">
        <v>1000000</v>
      </c>
      <c r="G56" s="127">
        <v>37</v>
      </c>
      <c r="H56" s="128">
        <v>0.7</v>
      </c>
      <c r="I56" s="127">
        <v>500000</v>
      </c>
      <c r="J56" s="127">
        <v>30</v>
      </c>
      <c r="K56" s="129">
        <v>0.85</v>
      </c>
      <c r="L56" s="127">
        <v>10</v>
      </c>
      <c r="M56" s="109">
        <v>12800000</v>
      </c>
      <c r="N56" s="109">
        <v>2589999.6</v>
      </c>
      <c r="O56" s="110">
        <v>6120</v>
      </c>
      <c r="P56" s="111">
        <v>2507399.7000000002</v>
      </c>
      <c r="Q56" s="109">
        <v>48.740194172113291</v>
      </c>
      <c r="R56" s="112">
        <v>2924.4116503267974</v>
      </c>
    </row>
    <row r="57" spans="2:18" hidden="1" x14ac:dyDescent="0.25">
      <c r="B57" s="103">
        <v>56</v>
      </c>
      <c r="C57" s="104" t="s">
        <v>138</v>
      </c>
      <c r="D57" s="105" t="s">
        <v>156</v>
      </c>
      <c r="E57" s="127">
        <v>30000000</v>
      </c>
      <c r="F57" s="127">
        <v>300000</v>
      </c>
      <c r="G57" s="127">
        <v>550</v>
      </c>
      <c r="H57" s="128">
        <v>0.8</v>
      </c>
      <c r="I57" s="127">
        <v>1500000</v>
      </c>
      <c r="J57" s="127">
        <v>40</v>
      </c>
      <c r="K57" s="129">
        <v>0.85</v>
      </c>
      <c r="L57" s="127">
        <v>10</v>
      </c>
      <c r="M57" s="109">
        <v>4800000</v>
      </c>
      <c r="N57" s="109">
        <v>818332.8</v>
      </c>
      <c r="O57" s="110">
        <v>6120</v>
      </c>
      <c r="P57" s="111">
        <v>24761520</v>
      </c>
      <c r="Q57" s="109">
        <v>82.733803921568622</v>
      </c>
      <c r="R57" s="112">
        <v>4964.0282352941176</v>
      </c>
    </row>
    <row r="58" spans="2:18" hidden="1" x14ac:dyDescent="0.25">
      <c r="B58" s="103">
        <v>57</v>
      </c>
      <c r="C58" s="104" t="s">
        <v>138</v>
      </c>
      <c r="D58" s="105" t="s">
        <v>157</v>
      </c>
      <c r="E58" s="127">
        <v>22800000</v>
      </c>
      <c r="F58" s="127">
        <v>228000</v>
      </c>
      <c r="G58" s="127">
        <v>250</v>
      </c>
      <c r="H58" s="128">
        <v>0.8</v>
      </c>
      <c r="I58" s="127">
        <v>1140000</v>
      </c>
      <c r="J58" s="127">
        <v>40</v>
      </c>
      <c r="K58" s="129">
        <v>0.85</v>
      </c>
      <c r="L58" s="127">
        <v>10</v>
      </c>
      <c r="M58" s="109">
        <v>3648000</v>
      </c>
      <c r="N58" s="109">
        <v>634732.80000000005</v>
      </c>
      <c r="O58" s="110">
        <v>6120</v>
      </c>
      <c r="P58" s="111">
        <v>12423600</v>
      </c>
      <c r="Q58" s="109">
        <v>45.496549019607848</v>
      </c>
      <c r="R58" s="112">
        <v>2729.7929411764708</v>
      </c>
    </row>
    <row r="59" spans="2:18" hidden="1" x14ac:dyDescent="0.25">
      <c r="B59" s="103">
        <v>58</v>
      </c>
      <c r="C59" s="104" t="s">
        <v>138</v>
      </c>
      <c r="D59" s="105" t="s">
        <v>158</v>
      </c>
      <c r="E59" s="127">
        <v>300000</v>
      </c>
      <c r="F59" s="127">
        <v>30000</v>
      </c>
      <c r="G59" s="127">
        <v>70</v>
      </c>
      <c r="H59" s="128">
        <v>0.8</v>
      </c>
      <c r="I59" s="127">
        <v>700000</v>
      </c>
      <c r="J59" s="127">
        <v>30</v>
      </c>
      <c r="K59" s="129">
        <v>0.85</v>
      </c>
      <c r="L59" s="127">
        <v>10</v>
      </c>
      <c r="M59" s="109">
        <v>48000</v>
      </c>
      <c r="N59" s="109">
        <v>116499.6</v>
      </c>
      <c r="O59" s="110">
        <v>6120</v>
      </c>
      <c r="P59" s="111">
        <v>4449648</v>
      </c>
      <c r="Q59" s="109">
        <v>12.565761437908495</v>
      </c>
      <c r="R59" s="112">
        <v>753.94568627450974</v>
      </c>
    </row>
    <row r="60" spans="2:18" hidden="1" x14ac:dyDescent="0.25">
      <c r="B60" s="103">
        <v>59</v>
      </c>
      <c r="C60" s="104" t="s">
        <v>138</v>
      </c>
      <c r="D60" s="105" t="s">
        <v>159</v>
      </c>
      <c r="E60" s="127">
        <v>30000000</v>
      </c>
      <c r="F60" s="127">
        <v>300000</v>
      </c>
      <c r="G60" s="127">
        <v>150</v>
      </c>
      <c r="H60" s="128">
        <v>0.8</v>
      </c>
      <c r="I60" s="127">
        <v>1500000</v>
      </c>
      <c r="J60" s="127">
        <v>60</v>
      </c>
      <c r="K60" s="129">
        <v>0.85</v>
      </c>
      <c r="L60" s="127">
        <v>10</v>
      </c>
      <c r="M60" s="109">
        <v>4800000</v>
      </c>
      <c r="N60" s="109">
        <v>844999.2</v>
      </c>
      <c r="O60" s="110">
        <v>6120</v>
      </c>
      <c r="P60" s="111">
        <v>9534960</v>
      </c>
      <c r="Q60" s="109">
        <v>41.33975816993464</v>
      </c>
      <c r="R60" s="112">
        <v>2480.3854901960785</v>
      </c>
    </row>
    <row r="61" spans="2:18" hidden="1" x14ac:dyDescent="0.25">
      <c r="B61" s="103">
        <v>60</v>
      </c>
      <c r="C61" s="104" t="s">
        <v>138</v>
      </c>
      <c r="D61" s="105" t="s">
        <v>160</v>
      </c>
      <c r="E61" s="127">
        <v>550000000</v>
      </c>
      <c r="F61" s="127">
        <v>22000000</v>
      </c>
      <c r="G61" s="131">
        <v>500</v>
      </c>
      <c r="H61" s="128">
        <v>0.8</v>
      </c>
      <c r="I61" s="127">
        <v>11000000</v>
      </c>
      <c r="J61" s="132">
        <v>120</v>
      </c>
      <c r="K61" s="129">
        <v>0.85</v>
      </c>
      <c r="L61" s="133">
        <v>10</v>
      </c>
      <c r="M61" s="109">
        <v>88000000</v>
      </c>
      <c r="N61" s="109">
        <v>56259998.399999999</v>
      </c>
      <c r="O61" s="110">
        <v>6120</v>
      </c>
      <c r="P61" s="111">
        <v>47083200</v>
      </c>
      <c r="Q61" s="109">
        <v>521.08714161220041</v>
      </c>
      <c r="R61" s="112">
        <v>31265.228496732023</v>
      </c>
    </row>
    <row r="62" spans="2:18" hidden="1" x14ac:dyDescent="0.25">
      <c r="B62" s="103">
        <v>61</v>
      </c>
      <c r="C62" s="104" t="s">
        <v>138</v>
      </c>
      <c r="D62" s="121" t="s">
        <v>161</v>
      </c>
      <c r="E62" s="127">
        <v>1500000</v>
      </c>
      <c r="F62" s="127">
        <v>150000</v>
      </c>
      <c r="G62" s="127">
        <v>10</v>
      </c>
      <c r="H62" s="128">
        <v>0.8</v>
      </c>
      <c r="I62" s="127">
        <v>150000</v>
      </c>
      <c r="J62" s="127">
        <v>10</v>
      </c>
      <c r="K62" s="129">
        <v>0.85</v>
      </c>
      <c r="L62" s="127">
        <v>15</v>
      </c>
      <c r="M62" s="109">
        <v>190000</v>
      </c>
      <c r="N62" s="109">
        <v>442500</v>
      </c>
      <c r="O62" s="110">
        <v>6120</v>
      </c>
      <c r="P62" s="111">
        <v>763164</v>
      </c>
      <c r="Q62" s="125">
        <v>3.8008278867102394</v>
      </c>
      <c r="R62" s="112">
        <v>228.04967320261437</v>
      </c>
    </row>
    <row r="63" spans="2:18" hidden="1" x14ac:dyDescent="0.25">
      <c r="B63" s="103">
        <v>62</v>
      </c>
      <c r="C63" s="104" t="s">
        <v>138</v>
      </c>
      <c r="D63" s="121" t="s">
        <v>162</v>
      </c>
      <c r="E63" s="127">
        <v>500000</v>
      </c>
      <c r="F63" s="127">
        <v>283500</v>
      </c>
      <c r="G63" s="127">
        <v>15</v>
      </c>
      <c r="H63" s="128">
        <v>0.7</v>
      </c>
      <c r="I63" s="127">
        <v>16200</v>
      </c>
      <c r="J63" s="127">
        <v>10</v>
      </c>
      <c r="K63" s="129">
        <v>0.85</v>
      </c>
      <c r="L63" s="127">
        <v>10</v>
      </c>
      <c r="M63" s="109">
        <v>80000</v>
      </c>
      <c r="N63" s="109">
        <v>736258.2</v>
      </c>
      <c r="O63" s="110">
        <v>6120</v>
      </c>
      <c r="P63" s="111">
        <v>540931.49999999988</v>
      </c>
      <c r="Q63" s="125">
        <v>3.6960503812636158</v>
      </c>
      <c r="R63" s="112">
        <v>221.76302287581694</v>
      </c>
    </row>
    <row r="64" spans="2:18" hidden="1" x14ac:dyDescent="0.25">
      <c r="B64" s="103">
        <v>63</v>
      </c>
      <c r="C64" s="104" t="s">
        <v>138</v>
      </c>
      <c r="D64" s="121" t="s">
        <v>163</v>
      </c>
      <c r="E64" s="116">
        <v>4000000</v>
      </c>
      <c r="F64" s="116">
        <v>160000</v>
      </c>
      <c r="G64" s="116">
        <v>100</v>
      </c>
      <c r="H64" s="117">
        <v>0.7</v>
      </c>
      <c r="I64" s="116">
        <v>80000</v>
      </c>
      <c r="J64" s="116">
        <v>30</v>
      </c>
      <c r="K64" s="118">
        <v>0.85</v>
      </c>
      <c r="L64" s="116">
        <v>10</v>
      </c>
      <c r="M64" s="109">
        <v>640000</v>
      </c>
      <c r="N64" s="109">
        <v>447999.6</v>
      </c>
      <c r="O64" s="110">
        <v>6120</v>
      </c>
      <c r="P64" s="111">
        <v>3534810</v>
      </c>
      <c r="Q64" s="125">
        <v>12.589350762527232</v>
      </c>
      <c r="R64" s="112">
        <v>755.36104575163392</v>
      </c>
    </row>
    <row r="65" spans="2:18" hidden="1" x14ac:dyDescent="0.25">
      <c r="B65" s="103">
        <v>64</v>
      </c>
      <c r="C65" s="104" t="s">
        <v>138</v>
      </c>
      <c r="D65" s="105" t="s">
        <v>164</v>
      </c>
      <c r="E65" s="127">
        <v>4000000</v>
      </c>
      <c r="F65" s="127">
        <v>160000</v>
      </c>
      <c r="G65" s="127">
        <v>60</v>
      </c>
      <c r="H65" s="128"/>
      <c r="I65" s="127">
        <v>80000</v>
      </c>
      <c r="J65" s="127">
        <v>30</v>
      </c>
      <c r="K65" s="129">
        <v>0.85</v>
      </c>
      <c r="L65" s="127">
        <v>10</v>
      </c>
      <c r="M65" s="109">
        <v>640000</v>
      </c>
      <c r="N65" s="109">
        <v>447999.6</v>
      </c>
      <c r="O65" s="110">
        <v>6120</v>
      </c>
      <c r="P65" s="111">
        <v>204000</v>
      </c>
      <c r="Q65" s="109">
        <v>3.5185174291939001</v>
      </c>
      <c r="R65" s="112">
        <v>211.11104575163401</v>
      </c>
    </row>
    <row r="66" spans="2:18" hidden="1" x14ac:dyDescent="0.25">
      <c r="B66" s="103">
        <v>65</v>
      </c>
      <c r="C66" s="104" t="s">
        <v>138</v>
      </c>
      <c r="D66" s="105" t="s">
        <v>165</v>
      </c>
      <c r="E66" s="134">
        <v>1000000</v>
      </c>
      <c r="F66" s="134">
        <v>100000</v>
      </c>
      <c r="G66" s="134">
        <v>5</v>
      </c>
      <c r="H66" s="135"/>
      <c r="I66" s="134">
        <v>20000</v>
      </c>
      <c r="J66" s="134">
        <v>5</v>
      </c>
      <c r="K66" s="136">
        <v>0.85</v>
      </c>
      <c r="L66" s="134">
        <v>10</v>
      </c>
      <c r="M66" s="109">
        <v>160000</v>
      </c>
      <c r="N66" s="109">
        <v>261666.6</v>
      </c>
      <c r="O66" s="110">
        <v>6120</v>
      </c>
      <c r="P66" s="111">
        <v>51000</v>
      </c>
      <c r="Q66" s="109">
        <v>1.2872184095860566</v>
      </c>
      <c r="R66" s="112">
        <v>77.233104575163395</v>
      </c>
    </row>
    <row r="67" spans="2:18" hidden="1" x14ac:dyDescent="0.25">
      <c r="B67" s="103">
        <v>66</v>
      </c>
      <c r="C67" s="104" t="s">
        <v>138</v>
      </c>
      <c r="D67" s="105" t="s">
        <v>166</v>
      </c>
      <c r="E67" s="122">
        <v>800000</v>
      </c>
      <c r="F67" s="122">
        <v>16000</v>
      </c>
      <c r="G67" s="122">
        <v>8</v>
      </c>
      <c r="H67" s="123"/>
      <c r="I67" s="122">
        <v>16000</v>
      </c>
      <c r="J67" s="122">
        <v>2</v>
      </c>
      <c r="K67" s="124">
        <v>0.85</v>
      </c>
      <c r="L67" s="122">
        <v>10</v>
      </c>
      <c r="M67" s="109">
        <v>128000</v>
      </c>
      <c r="N67" s="109">
        <v>43466.64</v>
      </c>
      <c r="O67" s="110">
        <v>6120</v>
      </c>
      <c r="P67" s="111">
        <v>40800</v>
      </c>
      <c r="Q67" s="109">
        <v>0.578068191721133</v>
      </c>
      <c r="R67" s="112">
        <v>34.684091503267979</v>
      </c>
    </row>
    <row r="68" spans="2:18" hidden="1" x14ac:dyDescent="0.25">
      <c r="B68" s="103">
        <v>67</v>
      </c>
      <c r="C68" s="104" t="s">
        <v>167</v>
      </c>
      <c r="D68" s="105" t="s">
        <v>168</v>
      </c>
      <c r="E68" s="127">
        <v>210000</v>
      </c>
      <c r="F68" s="127">
        <v>10457.150000000001</v>
      </c>
      <c r="G68" s="127">
        <v>10</v>
      </c>
      <c r="H68" s="128">
        <v>0.7</v>
      </c>
      <c r="I68" s="127">
        <v>4182.8599999999997</v>
      </c>
      <c r="J68" s="127">
        <v>10</v>
      </c>
      <c r="K68" s="129">
        <v>0.85</v>
      </c>
      <c r="L68" s="127">
        <v>10</v>
      </c>
      <c r="M68" s="109">
        <v>33462.879999999997</v>
      </c>
      <c r="N68" s="109">
        <v>39998.93250000001</v>
      </c>
      <c r="O68" s="110">
        <v>6120</v>
      </c>
      <c r="P68" s="111">
        <v>343747.29300000001</v>
      </c>
      <c r="Q68" s="109">
        <v>1.1361903744553379</v>
      </c>
      <c r="R68" s="112">
        <v>68.171422467320269</v>
      </c>
    </row>
    <row r="69" spans="2:18" hidden="1" x14ac:dyDescent="0.25">
      <c r="B69" s="103">
        <v>68</v>
      </c>
      <c r="C69" s="104" t="s">
        <v>167</v>
      </c>
      <c r="D69" s="105" t="s">
        <v>53</v>
      </c>
      <c r="E69" s="134">
        <v>850000</v>
      </c>
      <c r="F69" s="134">
        <v>17000</v>
      </c>
      <c r="G69" s="134">
        <v>2</v>
      </c>
      <c r="H69" s="135"/>
      <c r="I69" s="134">
        <v>17000</v>
      </c>
      <c r="J69" s="134">
        <v>5</v>
      </c>
      <c r="K69" s="136">
        <v>0.85</v>
      </c>
      <c r="L69" s="134">
        <v>10</v>
      </c>
      <c r="M69" s="109">
        <v>136000</v>
      </c>
      <c r="N69" s="109">
        <v>50016.6</v>
      </c>
      <c r="O69" s="110">
        <v>6120</v>
      </c>
      <c r="P69" s="111">
        <v>43350</v>
      </c>
      <c r="Q69" s="109">
        <v>0.62463671023965139</v>
      </c>
      <c r="R69" s="112">
        <v>37.478202614379086</v>
      </c>
    </row>
    <row r="70" spans="2:18" hidden="1" x14ac:dyDescent="0.25">
      <c r="B70" s="103">
        <v>69</v>
      </c>
      <c r="C70" s="104" t="s">
        <v>167</v>
      </c>
      <c r="D70" s="105" t="s">
        <v>169</v>
      </c>
      <c r="E70" s="134">
        <v>6400000</v>
      </c>
      <c r="F70" s="134">
        <v>200000</v>
      </c>
      <c r="G70" s="134">
        <v>2</v>
      </c>
      <c r="H70" s="135"/>
      <c r="I70" s="134">
        <v>40000</v>
      </c>
      <c r="J70" s="134">
        <v>20</v>
      </c>
      <c r="K70" s="136">
        <v>0.85</v>
      </c>
      <c r="L70" s="134">
        <v>10</v>
      </c>
      <c r="M70" s="109">
        <v>1024000</v>
      </c>
      <c r="N70" s="109">
        <v>536666.4</v>
      </c>
      <c r="O70" s="110">
        <v>6120</v>
      </c>
      <c r="P70" s="111">
        <v>102000</v>
      </c>
      <c r="Q70" s="109">
        <v>4.5279586056644883</v>
      </c>
      <c r="R70" s="112">
        <v>271.67751633986927</v>
      </c>
    </row>
    <row r="71" spans="2:18" hidden="1" x14ac:dyDescent="0.25">
      <c r="B71" s="103">
        <v>70</v>
      </c>
      <c r="C71" s="104" t="s">
        <v>167</v>
      </c>
      <c r="D71" s="121" t="s">
        <v>170</v>
      </c>
      <c r="E71" s="134">
        <v>800000</v>
      </c>
      <c r="F71" s="134">
        <v>52650</v>
      </c>
      <c r="G71" s="134">
        <v>11</v>
      </c>
      <c r="H71" s="135">
        <v>0.7</v>
      </c>
      <c r="I71" s="134">
        <v>52650</v>
      </c>
      <c r="J71" s="134">
        <v>3</v>
      </c>
      <c r="K71" s="136">
        <v>0.85</v>
      </c>
      <c r="L71" s="134">
        <v>10</v>
      </c>
      <c r="M71" s="109">
        <v>128000</v>
      </c>
      <c r="N71" s="109">
        <v>138257.46</v>
      </c>
      <c r="O71" s="110">
        <v>6120</v>
      </c>
      <c r="P71" s="111">
        <v>500646.6</v>
      </c>
      <c r="Q71" s="125">
        <v>2.0885186819172112</v>
      </c>
      <c r="R71" s="112">
        <v>125.31112091503267</v>
      </c>
    </row>
    <row r="72" spans="2:18" hidden="1" x14ac:dyDescent="0.25">
      <c r="B72" s="103">
        <v>71</v>
      </c>
      <c r="C72" s="104" t="s">
        <v>167</v>
      </c>
      <c r="D72" s="105" t="s">
        <v>171</v>
      </c>
      <c r="E72" s="134">
        <v>250000</v>
      </c>
      <c r="F72" s="134">
        <v>12500</v>
      </c>
      <c r="G72" s="134">
        <v>11</v>
      </c>
      <c r="H72" s="135">
        <v>0.7</v>
      </c>
      <c r="I72" s="134">
        <v>12500</v>
      </c>
      <c r="J72" s="134">
        <v>3</v>
      </c>
      <c r="K72" s="136">
        <v>0.85</v>
      </c>
      <c r="L72" s="134">
        <v>10</v>
      </c>
      <c r="M72" s="109">
        <v>40000</v>
      </c>
      <c r="N72" s="109">
        <v>35874.959999999999</v>
      </c>
      <c r="O72" s="110">
        <v>6120</v>
      </c>
      <c r="P72" s="111">
        <v>398264.1</v>
      </c>
      <c r="Q72" s="109">
        <v>1.291228376906318</v>
      </c>
      <c r="R72" s="112">
        <v>77.473702614379079</v>
      </c>
    </row>
    <row r="73" spans="2:18" hidden="1" x14ac:dyDescent="0.25">
      <c r="B73" s="103">
        <v>72</v>
      </c>
      <c r="C73" s="104" t="s">
        <v>167</v>
      </c>
      <c r="D73" s="105" t="s">
        <v>172</v>
      </c>
      <c r="E73" s="137">
        <v>4000000000</v>
      </c>
      <c r="F73" s="137">
        <v>26000000</v>
      </c>
      <c r="G73" s="137">
        <v>11</v>
      </c>
      <c r="H73" s="138"/>
      <c r="I73" s="137">
        <v>26000000</v>
      </c>
      <c r="J73" s="137">
        <v>30</v>
      </c>
      <c r="K73" s="139">
        <v>0.85</v>
      </c>
      <c r="L73" s="137">
        <v>10</v>
      </c>
      <c r="M73" s="109">
        <v>640000000</v>
      </c>
      <c r="N73" s="109">
        <v>66339999.600000001</v>
      </c>
      <c r="O73" s="110">
        <v>6120</v>
      </c>
      <c r="P73" s="111">
        <v>66300000</v>
      </c>
      <c r="Q73" s="109">
        <v>2104.1394324618736</v>
      </c>
      <c r="R73" s="112">
        <v>126248.36594771242</v>
      </c>
    </row>
    <row r="74" spans="2:18" hidden="1" x14ac:dyDescent="0.25">
      <c r="B74" s="103">
        <v>73</v>
      </c>
      <c r="C74" s="104" t="s">
        <v>167</v>
      </c>
      <c r="D74" s="105" t="s">
        <v>173</v>
      </c>
      <c r="E74" s="116">
        <v>3326000</v>
      </c>
      <c r="F74" s="116">
        <v>166300</v>
      </c>
      <c r="G74" s="116">
        <v>2</v>
      </c>
      <c r="H74" s="117"/>
      <c r="I74" s="116">
        <v>66520</v>
      </c>
      <c r="J74" s="116">
        <v>0</v>
      </c>
      <c r="K74" s="118">
        <v>0.85</v>
      </c>
      <c r="L74" s="116">
        <v>10</v>
      </c>
      <c r="M74" s="109">
        <v>532160</v>
      </c>
      <c r="N74" s="109">
        <v>424065</v>
      </c>
      <c r="O74" s="110">
        <v>6120</v>
      </c>
      <c r="P74" s="111">
        <v>169626</v>
      </c>
      <c r="Q74" s="109">
        <v>3.06604302832244</v>
      </c>
      <c r="R74" s="112">
        <v>183.9625816993464</v>
      </c>
    </row>
    <row r="75" spans="2:18" hidden="1" x14ac:dyDescent="0.25">
      <c r="B75" s="103">
        <v>74</v>
      </c>
      <c r="C75" s="104" t="s">
        <v>174</v>
      </c>
      <c r="D75" s="105" t="s">
        <v>175</v>
      </c>
      <c r="E75" s="116">
        <v>100000</v>
      </c>
      <c r="F75" s="116"/>
      <c r="G75" s="116"/>
      <c r="H75" s="117"/>
      <c r="I75" s="116"/>
      <c r="J75" s="116"/>
      <c r="K75" s="118">
        <v>0.85</v>
      </c>
      <c r="L75" s="116">
        <v>10</v>
      </c>
      <c r="M75" s="109">
        <v>16000</v>
      </c>
      <c r="N75" s="109">
        <v>0</v>
      </c>
      <c r="O75" s="110">
        <v>6120</v>
      </c>
      <c r="P75" s="111">
        <v>0</v>
      </c>
      <c r="Q75" s="109"/>
      <c r="R75" s="112"/>
    </row>
    <row r="76" spans="2:18" hidden="1" x14ac:dyDescent="0.25">
      <c r="B76" s="103">
        <v>75</v>
      </c>
      <c r="C76" s="104" t="s">
        <v>167</v>
      </c>
      <c r="D76" s="105" t="s">
        <v>176</v>
      </c>
      <c r="E76" s="134">
        <v>500000</v>
      </c>
      <c r="F76" s="134">
        <v>50000</v>
      </c>
      <c r="G76" s="134">
        <v>18</v>
      </c>
      <c r="H76" s="135">
        <v>0.7</v>
      </c>
      <c r="I76" s="134">
        <v>50000</v>
      </c>
      <c r="J76" s="134">
        <v>6</v>
      </c>
      <c r="K76" s="136">
        <v>0.85</v>
      </c>
      <c r="L76" s="134">
        <v>10</v>
      </c>
      <c r="M76" s="109">
        <v>80000</v>
      </c>
      <c r="N76" s="109">
        <v>135499.92000000001</v>
      </c>
      <c r="O76" s="110">
        <v>6120</v>
      </c>
      <c r="P76" s="111">
        <v>727045.79999999993</v>
      </c>
      <c r="Q76" s="109">
        <v>2.5668456427015247</v>
      </c>
      <c r="R76" s="112">
        <v>154.01073856209149</v>
      </c>
    </row>
    <row r="77" spans="2:18" hidden="1" x14ac:dyDescent="0.25">
      <c r="B77" s="103">
        <v>76</v>
      </c>
      <c r="C77" s="104" t="s">
        <v>167</v>
      </c>
      <c r="D77" s="121" t="s">
        <v>51</v>
      </c>
      <c r="E77" s="106">
        <v>3500000</v>
      </c>
      <c r="F77" s="106">
        <v>35000</v>
      </c>
      <c r="G77" s="106">
        <v>30</v>
      </c>
      <c r="H77" s="107">
        <v>0.7</v>
      </c>
      <c r="I77" s="106">
        <v>45000</v>
      </c>
      <c r="J77" s="106">
        <v>20</v>
      </c>
      <c r="K77" s="108">
        <v>0.85</v>
      </c>
      <c r="L77" s="106">
        <v>10</v>
      </c>
      <c r="M77" s="109">
        <v>560000</v>
      </c>
      <c r="N77" s="109">
        <v>115916.4</v>
      </c>
      <c r="O77" s="110">
        <v>6120</v>
      </c>
      <c r="P77" s="111">
        <v>1113992.9999999998</v>
      </c>
      <c r="Q77" s="125">
        <v>4.8744809368191708</v>
      </c>
      <c r="R77" s="112">
        <v>292.46885620915026</v>
      </c>
    </row>
    <row r="78" spans="2:18" hidden="1" x14ac:dyDescent="0.25">
      <c r="B78" s="103">
        <v>77</v>
      </c>
      <c r="C78" s="104" t="s">
        <v>167</v>
      </c>
      <c r="D78" s="105" t="s">
        <v>177</v>
      </c>
      <c r="E78" s="122">
        <v>3000000</v>
      </c>
      <c r="F78" s="122">
        <v>150000</v>
      </c>
      <c r="G78" s="122">
        <v>20</v>
      </c>
      <c r="H78" s="123">
        <v>0.7</v>
      </c>
      <c r="I78" s="122">
        <v>60000</v>
      </c>
      <c r="J78" s="122">
        <v>25</v>
      </c>
      <c r="K78" s="124">
        <v>0.85</v>
      </c>
      <c r="L78" s="122">
        <v>10</v>
      </c>
      <c r="M78" s="109">
        <v>480000</v>
      </c>
      <c r="N78" s="109">
        <v>415833</v>
      </c>
      <c r="O78" s="110">
        <v>6120</v>
      </c>
      <c r="P78" s="111">
        <v>819162</v>
      </c>
      <c r="Q78" s="109">
        <v>4.6704656862745102</v>
      </c>
      <c r="R78" s="112">
        <v>280.22794117647061</v>
      </c>
    </row>
    <row r="79" spans="2:18" hidden="1" x14ac:dyDescent="0.25">
      <c r="B79" s="103">
        <v>78</v>
      </c>
      <c r="C79" s="104" t="s">
        <v>167</v>
      </c>
      <c r="D79" s="105" t="s">
        <v>178</v>
      </c>
      <c r="E79" s="122">
        <v>1000000</v>
      </c>
      <c r="F79" s="122">
        <v>20000</v>
      </c>
      <c r="G79" s="122">
        <v>0.7</v>
      </c>
      <c r="H79" s="123"/>
      <c r="I79" s="122">
        <v>20000</v>
      </c>
      <c r="J79" s="122">
        <v>15</v>
      </c>
      <c r="K79" s="124">
        <v>0.85</v>
      </c>
      <c r="L79" s="122">
        <v>10</v>
      </c>
      <c r="M79" s="109">
        <v>160000</v>
      </c>
      <c r="N79" s="109">
        <v>70999.8</v>
      </c>
      <c r="O79" s="110">
        <v>6120</v>
      </c>
      <c r="P79" s="111">
        <v>51000</v>
      </c>
      <c r="Q79" s="109">
        <v>0.7679733115468409</v>
      </c>
      <c r="R79" s="112">
        <v>46.078398692810453</v>
      </c>
    </row>
    <row r="80" spans="2:18" hidden="1" x14ac:dyDescent="0.25">
      <c r="B80" s="103">
        <v>79</v>
      </c>
      <c r="C80" s="104" t="s">
        <v>167</v>
      </c>
      <c r="D80" s="121" t="s">
        <v>179</v>
      </c>
      <c r="E80" s="134">
        <v>400000</v>
      </c>
      <c r="F80" s="134">
        <v>40000</v>
      </c>
      <c r="G80" s="134">
        <v>20</v>
      </c>
      <c r="H80" s="135">
        <v>0.7</v>
      </c>
      <c r="I80" s="134">
        <v>40000</v>
      </c>
      <c r="J80" s="134">
        <v>20</v>
      </c>
      <c r="K80" s="136">
        <v>0.85</v>
      </c>
      <c r="L80" s="134">
        <v>10</v>
      </c>
      <c r="M80" s="109">
        <v>64000</v>
      </c>
      <c r="N80" s="109">
        <v>128666.4</v>
      </c>
      <c r="O80" s="110">
        <v>6120</v>
      </c>
      <c r="P80" s="111">
        <v>768162</v>
      </c>
      <c r="Q80" s="125">
        <v>2.6166350762527233</v>
      </c>
      <c r="R80" s="112">
        <v>156.99810457516341</v>
      </c>
    </row>
    <row r="81" spans="2:18" hidden="1" x14ac:dyDescent="0.25">
      <c r="B81" s="103">
        <v>80</v>
      </c>
      <c r="C81" s="104" t="s">
        <v>167</v>
      </c>
      <c r="D81" s="105" t="s">
        <v>180</v>
      </c>
      <c r="E81" s="134">
        <v>1620000</v>
      </c>
      <c r="F81" s="134">
        <v>10000</v>
      </c>
      <c r="G81" s="134">
        <v>10</v>
      </c>
      <c r="H81" s="135"/>
      <c r="I81" s="134">
        <v>80000</v>
      </c>
      <c r="J81" s="134">
        <v>20</v>
      </c>
      <c r="K81" s="136">
        <v>0.85</v>
      </c>
      <c r="L81" s="134">
        <v>10</v>
      </c>
      <c r="M81" s="109">
        <v>259200</v>
      </c>
      <c r="N81" s="109">
        <v>52166.400000000001</v>
      </c>
      <c r="O81" s="110">
        <v>6120</v>
      </c>
      <c r="P81" s="111">
        <v>204000</v>
      </c>
      <c r="Q81" s="109">
        <v>1.4035032679738564</v>
      </c>
      <c r="R81" s="112">
        <v>131.02991452991452</v>
      </c>
    </row>
    <row r="82" spans="2:18" hidden="1" x14ac:dyDescent="0.25">
      <c r="B82" s="103">
        <v>81</v>
      </c>
      <c r="C82" s="104" t="s">
        <v>167</v>
      </c>
      <c r="D82" s="140" t="s">
        <v>181</v>
      </c>
      <c r="E82" s="134">
        <v>2050000</v>
      </c>
      <c r="F82" s="134">
        <v>102500</v>
      </c>
      <c r="G82" s="134">
        <v>5</v>
      </c>
      <c r="H82" s="135">
        <v>0.7</v>
      </c>
      <c r="I82" s="134">
        <v>61500</v>
      </c>
      <c r="J82" s="134">
        <v>5</v>
      </c>
      <c r="K82" s="136">
        <v>0.85</v>
      </c>
      <c r="L82" s="134">
        <v>10</v>
      </c>
      <c r="M82" s="109">
        <v>328000</v>
      </c>
      <c r="N82" s="109">
        <v>268041.59999999998</v>
      </c>
      <c r="O82" s="110">
        <v>6120</v>
      </c>
      <c r="P82" s="111">
        <v>323365.5</v>
      </c>
      <c r="Q82" s="109">
        <v>2.5038319716775601</v>
      </c>
      <c r="R82" s="112">
        <v>150.22991830065359</v>
      </c>
    </row>
    <row r="83" spans="2:18" hidden="1" x14ac:dyDescent="0.25">
      <c r="B83" s="103">
        <v>82</v>
      </c>
      <c r="C83" s="104" t="s">
        <v>167</v>
      </c>
      <c r="D83" s="105" t="s">
        <v>182</v>
      </c>
      <c r="E83" s="134">
        <v>400000</v>
      </c>
      <c r="F83" s="134">
        <v>40000</v>
      </c>
      <c r="G83" s="134">
        <v>3</v>
      </c>
      <c r="H83" s="135">
        <v>0.7</v>
      </c>
      <c r="I83" s="134">
        <v>8000</v>
      </c>
      <c r="J83" s="134">
        <v>20</v>
      </c>
      <c r="K83" s="136">
        <v>0.85</v>
      </c>
      <c r="L83" s="134">
        <v>10</v>
      </c>
      <c r="M83" s="109">
        <v>64000</v>
      </c>
      <c r="N83" s="109">
        <v>128666.4</v>
      </c>
      <c r="O83" s="110">
        <v>6120</v>
      </c>
      <c r="P83" s="111">
        <v>120324.29999999999</v>
      </c>
      <c r="Q83" s="109">
        <v>0.85237118736383433</v>
      </c>
      <c r="R83" s="112">
        <v>51.142271241830059</v>
      </c>
    </row>
    <row r="84" spans="2:18" hidden="1" x14ac:dyDescent="0.25">
      <c r="B84" s="103">
        <v>83</v>
      </c>
      <c r="C84" s="104" t="s">
        <v>167</v>
      </c>
      <c r="D84" s="121" t="s">
        <v>183</v>
      </c>
      <c r="E84" s="134">
        <v>50000</v>
      </c>
      <c r="F84" s="134">
        <v>1000</v>
      </c>
      <c r="G84" s="134">
        <v>0</v>
      </c>
      <c r="H84" s="135">
        <v>0.7</v>
      </c>
      <c r="I84" s="134">
        <v>35000</v>
      </c>
      <c r="J84" s="134">
        <v>0</v>
      </c>
      <c r="K84" s="136">
        <v>0.85</v>
      </c>
      <c r="L84" s="134">
        <v>10</v>
      </c>
      <c r="M84" s="109">
        <v>8000</v>
      </c>
      <c r="N84" s="109">
        <v>2550</v>
      </c>
      <c r="O84" s="110">
        <v>6120</v>
      </c>
      <c r="P84" s="111">
        <v>89250</v>
      </c>
      <c r="Q84" s="125">
        <v>0.27178649237472763</v>
      </c>
      <c r="R84" s="112">
        <v>16.307189542483659</v>
      </c>
    </row>
    <row r="85" spans="2:18" hidden="1" x14ac:dyDescent="0.25">
      <c r="B85" s="103">
        <v>84</v>
      </c>
      <c r="C85" s="104" t="s">
        <v>167</v>
      </c>
      <c r="D85" s="105" t="s">
        <v>54</v>
      </c>
      <c r="E85" s="134">
        <v>50000</v>
      </c>
      <c r="F85" s="134">
        <v>1000</v>
      </c>
      <c r="G85" s="134">
        <v>0</v>
      </c>
      <c r="H85" s="135">
        <v>0.8</v>
      </c>
      <c r="I85" s="134">
        <v>2000</v>
      </c>
      <c r="J85" s="134">
        <v>0</v>
      </c>
      <c r="K85" s="136">
        <v>0.85</v>
      </c>
      <c r="L85" s="134">
        <v>10</v>
      </c>
      <c r="M85" s="109">
        <v>8000</v>
      </c>
      <c r="N85" s="109">
        <v>2550</v>
      </c>
      <c r="O85" s="110">
        <v>6120</v>
      </c>
      <c r="P85" s="111">
        <v>5100</v>
      </c>
      <c r="Q85" s="109">
        <v>4.2619825708060999E-2</v>
      </c>
      <c r="R85" s="112">
        <v>2.5571895424836599</v>
      </c>
    </row>
    <row r="86" spans="2:18" hidden="1" x14ac:dyDescent="0.25">
      <c r="B86" s="103">
        <v>85</v>
      </c>
      <c r="C86" s="104" t="s">
        <v>167</v>
      </c>
      <c r="D86" s="105" t="s">
        <v>184</v>
      </c>
      <c r="E86" s="134">
        <v>500000</v>
      </c>
      <c r="F86" s="134">
        <v>20000</v>
      </c>
      <c r="G86" s="134">
        <v>1</v>
      </c>
      <c r="H86" s="135">
        <v>0.7</v>
      </c>
      <c r="I86" s="134">
        <v>20000</v>
      </c>
      <c r="J86" s="134">
        <v>0</v>
      </c>
      <c r="K86" s="136">
        <v>0.85</v>
      </c>
      <c r="L86" s="134">
        <v>10</v>
      </c>
      <c r="M86" s="109">
        <v>80000</v>
      </c>
      <c r="N86" s="109">
        <v>51000</v>
      </c>
      <c r="O86" s="110">
        <v>6120</v>
      </c>
      <c r="P86" s="111">
        <v>84308.1</v>
      </c>
      <c r="Q86" s="109">
        <v>0.58635103485838791</v>
      </c>
      <c r="R86" s="112">
        <v>35.181062091503271</v>
      </c>
    </row>
    <row r="87" spans="2:18" hidden="1" x14ac:dyDescent="0.25">
      <c r="B87" s="103">
        <v>86</v>
      </c>
      <c r="C87" s="104" t="s">
        <v>167</v>
      </c>
      <c r="D87" s="105" t="s">
        <v>52</v>
      </c>
      <c r="E87" s="134">
        <v>500000</v>
      </c>
      <c r="F87" s="134">
        <v>25000</v>
      </c>
      <c r="G87" s="134">
        <v>5</v>
      </c>
      <c r="H87" s="135">
        <v>0.8</v>
      </c>
      <c r="I87" s="134">
        <v>50000</v>
      </c>
      <c r="J87" s="134">
        <v>0</v>
      </c>
      <c r="K87" s="136">
        <v>0.85</v>
      </c>
      <c r="L87" s="134">
        <v>10</v>
      </c>
      <c r="M87" s="109">
        <v>80000</v>
      </c>
      <c r="N87" s="109">
        <v>63750</v>
      </c>
      <c r="O87" s="110">
        <v>6120</v>
      </c>
      <c r="P87" s="111">
        <v>317832</v>
      </c>
      <c r="Q87" s="109">
        <v>1.2570315904139435</v>
      </c>
      <c r="R87" s="112">
        <v>75.421895424836606</v>
      </c>
    </row>
    <row r="88" spans="2:18" hidden="1" x14ac:dyDescent="0.25">
      <c r="B88" s="103">
        <v>87</v>
      </c>
      <c r="C88" s="104" t="s">
        <v>167</v>
      </c>
      <c r="D88" s="105" t="s">
        <v>55</v>
      </c>
      <c r="E88" s="134">
        <v>2025000</v>
      </c>
      <c r="F88" s="134">
        <v>81000</v>
      </c>
      <c r="G88" s="134">
        <v>13</v>
      </c>
      <c r="H88" s="135"/>
      <c r="I88" s="134">
        <v>4050</v>
      </c>
      <c r="J88" s="134">
        <v>0</v>
      </c>
      <c r="K88" s="136">
        <v>0.85</v>
      </c>
      <c r="L88" s="134">
        <v>10</v>
      </c>
      <c r="M88" s="109">
        <v>324000</v>
      </c>
      <c r="N88" s="109">
        <v>206550</v>
      </c>
      <c r="O88" s="110">
        <v>6120</v>
      </c>
      <c r="P88" s="111">
        <v>10327.5</v>
      </c>
      <c r="Q88" s="109">
        <v>1.4729779411764705</v>
      </c>
      <c r="R88" s="112">
        <v>145.50769230769231</v>
      </c>
    </row>
    <row r="89" spans="2:18" hidden="1" x14ac:dyDescent="0.25">
      <c r="B89" s="103">
        <v>88</v>
      </c>
      <c r="C89" s="104" t="s">
        <v>167</v>
      </c>
      <c r="D89" s="105" t="s">
        <v>185</v>
      </c>
      <c r="E89" s="134">
        <v>4000000</v>
      </c>
      <c r="F89" s="134">
        <v>64000</v>
      </c>
      <c r="G89" s="134">
        <v>15</v>
      </c>
      <c r="H89" s="135"/>
      <c r="I89" s="134">
        <v>118800000</v>
      </c>
      <c r="J89" s="134">
        <v>15</v>
      </c>
      <c r="K89" s="136">
        <v>0.85</v>
      </c>
      <c r="L89" s="134">
        <v>10</v>
      </c>
      <c r="M89" s="109">
        <v>640000</v>
      </c>
      <c r="N89" s="109">
        <v>183199.8</v>
      </c>
      <c r="O89" s="110">
        <v>6120</v>
      </c>
      <c r="P89" s="111">
        <v>302940000</v>
      </c>
      <c r="Q89" s="109">
        <v>827.24182952069725</v>
      </c>
      <c r="R89" s="112">
        <v>49634.509771241836</v>
      </c>
    </row>
    <row r="90" spans="2:18" hidden="1" x14ac:dyDescent="0.25">
      <c r="B90" s="103">
        <v>89</v>
      </c>
      <c r="C90" s="104" t="s">
        <v>167</v>
      </c>
      <c r="D90" s="105" t="s">
        <v>186</v>
      </c>
      <c r="E90" s="134">
        <v>4800000</v>
      </c>
      <c r="F90" s="134">
        <v>20000</v>
      </c>
      <c r="G90" s="134">
        <v>10</v>
      </c>
      <c r="H90" s="135"/>
      <c r="I90" s="134">
        <v>39600000</v>
      </c>
      <c r="J90" s="134">
        <v>4</v>
      </c>
      <c r="K90" s="136">
        <v>0.85</v>
      </c>
      <c r="L90" s="134">
        <v>10</v>
      </c>
      <c r="M90" s="109">
        <v>768000</v>
      </c>
      <c r="N90" s="109">
        <v>56333.279999999999</v>
      </c>
      <c r="O90" s="110">
        <v>6120</v>
      </c>
      <c r="P90" s="111">
        <v>100980000</v>
      </c>
      <c r="Q90" s="109">
        <v>277.24491633986929</v>
      </c>
      <c r="R90" s="112">
        <v>16634.694980392156</v>
      </c>
    </row>
    <row r="91" spans="2:18" hidden="1" x14ac:dyDescent="0.25">
      <c r="B91" s="103">
        <v>90</v>
      </c>
      <c r="C91" s="104" t="s">
        <v>167</v>
      </c>
      <c r="D91" s="105" t="s">
        <v>187</v>
      </c>
      <c r="E91" s="134">
        <v>5000</v>
      </c>
      <c r="F91" s="134">
        <v>250</v>
      </c>
      <c r="G91" s="134">
        <v>1</v>
      </c>
      <c r="H91" s="135"/>
      <c r="I91" s="134">
        <v>100</v>
      </c>
      <c r="J91" s="134">
        <v>0</v>
      </c>
      <c r="K91" s="136">
        <v>0.85</v>
      </c>
      <c r="L91" s="134">
        <v>10</v>
      </c>
      <c r="M91" s="109">
        <v>800</v>
      </c>
      <c r="N91" s="109">
        <v>637.5</v>
      </c>
      <c r="O91" s="110">
        <v>6120</v>
      </c>
      <c r="P91" s="111">
        <v>255</v>
      </c>
      <c r="Q91" s="109">
        <v>4.6092047930283231E-3</v>
      </c>
      <c r="R91" s="112">
        <v>0.27655228758169936</v>
      </c>
    </row>
    <row r="92" spans="2:18" hidden="1" x14ac:dyDescent="0.25">
      <c r="B92" s="103">
        <v>91</v>
      </c>
      <c r="C92" s="104" t="s">
        <v>167</v>
      </c>
      <c r="D92" s="126" t="s">
        <v>188</v>
      </c>
      <c r="E92" s="134">
        <v>200000</v>
      </c>
      <c r="F92" s="134">
        <v>4000</v>
      </c>
      <c r="G92" s="134">
        <v>1</v>
      </c>
      <c r="H92" s="135">
        <v>0.8</v>
      </c>
      <c r="I92" s="134">
        <v>4000</v>
      </c>
      <c r="J92" s="134">
        <v>4</v>
      </c>
      <c r="K92" s="136">
        <v>0.85</v>
      </c>
      <c r="L92" s="134">
        <v>10</v>
      </c>
      <c r="M92" s="109">
        <v>32000</v>
      </c>
      <c r="N92" s="109">
        <v>15533.279999999999</v>
      </c>
      <c r="O92" s="110">
        <v>6120</v>
      </c>
      <c r="P92" s="111">
        <v>48266.399999999994</v>
      </c>
      <c r="Q92" s="109">
        <v>0.26089237472766885</v>
      </c>
      <c r="R92" s="112">
        <v>15.65354248366013</v>
      </c>
    </row>
    <row r="93" spans="2:18" hidden="1" x14ac:dyDescent="0.25">
      <c r="B93" s="103">
        <v>92</v>
      </c>
      <c r="C93" s="104" t="s">
        <v>167</v>
      </c>
      <c r="D93" s="105" t="s">
        <v>189</v>
      </c>
      <c r="E93" s="134">
        <v>100000</v>
      </c>
      <c r="F93" s="134">
        <v>5000</v>
      </c>
      <c r="G93" s="134">
        <v>0.5</v>
      </c>
      <c r="H93" s="135"/>
      <c r="I93" s="134">
        <v>1000</v>
      </c>
      <c r="J93" s="134">
        <v>5</v>
      </c>
      <c r="K93" s="136">
        <v>0.85</v>
      </c>
      <c r="L93" s="134">
        <v>10</v>
      </c>
      <c r="M93" s="109">
        <v>16000</v>
      </c>
      <c r="N93" s="109">
        <v>19416.599999999999</v>
      </c>
      <c r="O93" s="110">
        <v>6120</v>
      </c>
      <c r="P93" s="111">
        <v>2550</v>
      </c>
      <c r="Q93" s="109">
        <v>0.10339488017429194</v>
      </c>
      <c r="R93" s="112">
        <v>9.5898385565052227</v>
      </c>
    </row>
    <row r="94" spans="2:18" hidden="1" x14ac:dyDescent="0.25">
      <c r="B94" s="103">
        <v>93</v>
      </c>
      <c r="C94" s="104" t="s">
        <v>167</v>
      </c>
      <c r="D94" s="121" t="s">
        <v>67</v>
      </c>
      <c r="E94" s="116">
        <v>9720000</v>
      </c>
      <c r="F94" s="116">
        <v>40500</v>
      </c>
      <c r="G94" s="116">
        <v>1</v>
      </c>
      <c r="H94" s="117">
        <v>0.7</v>
      </c>
      <c r="I94" s="116">
        <v>20250</v>
      </c>
      <c r="J94" s="116">
        <v>2</v>
      </c>
      <c r="K94" s="118">
        <v>0.85</v>
      </c>
      <c r="L94" s="116">
        <v>10</v>
      </c>
      <c r="M94" s="109">
        <v>1555200</v>
      </c>
      <c r="N94" s="109">
        <v>105941.64</v>
      </c>
      <c r="O94" s="110">
        <v>6120</v>
      </c>
      <c r="P94" s="111">
        <v>84945.600000000006</v>
      </c>
      <c r="Q94" s="125">
        <v>4.7551395424836604</v>
      </c>
      <c r="R94" s="112">
        <v>285.30837254901962</v>
      </c>
    </row>
    <row r="95" spans="2:18" hidden="1" x14ac:dyDescent="0.25">
      <c r="B95" s="103">
        <v>94</v>
      </c>
      <c r="C95" s="104" t="s">
        <v>167</v>
      </c>
      <c r="D95" s="105" t="s">
        <v>66</v>
      </c>
      <c r="E95" s="134">
        <v>1000000</v>
      </c>
      <c r="F95" s="134">
        <v>10000</v>
      </c>
      <c r="G95" s="134">
        <v>1</v>
      </c>
      <c r="H95" s="135"/>
      <c r="I95" s="134">
        <v>10000</v>
      </c>
      <c r="J95" s="134">
        <v>2</v>
      </c>
      <c r="K95" s="136">
        <v>0.85</v>
      </c>
      <c r="L95" s="134">
        <v>10</v>
      </c>
      <c r="M95" s="109">
        <v>160000</v>
      </c>
      <c r="N95" s="109">
        <v>28166.639999999999</v>
      </c>
      <c r="O95" s="110">
        <v>6120</v>
      </c>
      <c r="P95" s="111">
        <v>25500</v>
      </c>
      <c r="Q95" s="109">
        <v>0.58188082788671025</v>
      </c>
      <c r="R95" s="112">
        <v>34.912849673202615</v>
      </c>
    </row>
    <row r="96" spans="2:18" hidden="1" x14ac:dyDescent="0.25">
      <c r="B96" s="103">
        <v>95</v>
      </c>
      <c r="C96" s="104" t="s">
        <v>167</v>
      </c>
      <c r="D96" s="105" t="s">
        <v>190</v>
      </c>
      <c r="E96" s="134"/>
      <c r="F96" s="134"/>
      <c r="G96" s="134">
        <v>0</v>
      </c>
      <c r="H96" s="135"/>
      <c r="I96" s="134"/>
      <c r="J96" s="134"/>
      <c r="K96" s="136">
        <v>0.85</v>
      </c>
      <c r="L96" s="134">
        <v>10</v>
      </c>
      <c r="M96" s="109">
        <v>0</v>
      </c>
      <c r="N96" s="109">
        <v>0</v>
      </c>
      <c r="O96" s="110">
        <v>6120</v>
      </c>
      <c r="P96" s="111">
        <v>0</v>
      </c>
      <c r="Q96" s="109"/>
      <c r="R96" s="112">
        <v>0</v>
      </c>
    </row>
    <row r="97" spans="2:18" hidden="1" x14ac:dyDescent="0.25">
      <c r="B97" s="103">
        <v>96</v>
      </c>
      <c r="C97" s="104" t="s">
        <v>167</v>
      </c>
      <c r="D97" s="121" t="s">
        <v>191</v>
      </c>
      <c r="E97" s="134">
        <v>1</v>
      </c>
      <c r="F97" s="134">
        <v>1</v>
      </c>
      <c r="G97" s="134">
        <v>1</v>
      </c>
      <c r="H97" s="135">
        <v>0.7</v>
      </c>
      <c r="I97" s="134">
        <v>1</v>
      </c>
      <c r="J97" s="134">
        <v>1</v>
      </c>
      <c r="K97" s="136">
        <v>0.85</v>
      </c>
      <c r="L97" s="134">
        <v>10</v>
      </c>
      <c r="M97" s="109">
        <v>0.16</v>
      </c>
      <c r="N97" s="109">
        <v>1335.87</v>
      </c>
      <c r="O97" s="110">
        <v>6120</v>
      </c>
      <c r="P97" s="111">
        <v>33310.65</v>
      </c>
      <c r="Q97" s="125">
        <v>9.4353703703703717E-2</v>
      </c>
      <c r="R97" s="112">
        <v>5.6612222222222233</v>
      </c>
    </row>
    <row r="98" spans="2:18" hidden="1" x14ac:dyDescent="0.25">
      <c r="B98" s="103">
        <v>97</v>
      </c>
      <c r="C98" s="104" t="s">
        <v>167</v>
      </c>
      <c r="D98" s="105" t="s">
        <v>192</v>
      </c>
      <c r="E98" s="134">
        <v>500000</v>
      </c>
      <c r="F98" s="134">
        <v>25000</v>
      </c>
      <c r="G98" s="134">
        <v>5</v>
      </c>
      <c r="H98" s="135"/>
      <c r="I98" s="134">
        <v>10000</v>
      </c>
      <c r="J98" s="134"/>
      <c r="K98" s="136">
        <v>0.85</v>
      </c>
      <c r="L98" s="134">
        <v>10</v>
      </c>
      <c r="M98" s="109">
        <v>80000</v>
      </c>
      <c r="N98" s="109">
        <v>63750</v>
      </c>
      <c r="O98" s="110">
        <v>6120</v>
      </c>
      <c r="P98" s="111">
        <v>25500</v>
      </c>
      <c r="Q98" s="109">
        <v>0.4609204793028322</v>
      </c>
      <c r="R98" s="112">
        <v>27.655228758169933</v>
      </c>
    </row>
    <row r="99" spans="2:18" hidden="1" x14ac:dyDescent="0.25">
      <c r="B99" s="103">
        <v>98</v>
      </c>
      <c r="C99" s="104" t="s">
        <v>167</v>
      </c>
      <c r="D99" s="126" t="s">
        <v>193</v>
      </c>
      <c r="E99" s="134">
        <v>200000</v>
      </c>
      <c r="F99" s="134">
        <v>4000</v>
      </c>
      <c r="G99" s="134">
        <v>1</v>
      </c>
      <c r="H99" s="135">
        <v>0.8</v>
      </c>
      <c r="I99" s="134">
        <v>4000</v>
      </c>
      <c r="J99" s="134">
        <v>4</v>
      </c>
      <c r="K99" s="136">
        <v>0.85</v>
      </c>
      <c r="L99" s="134">
        <v>10</v>
      </c>
      <c r="M99" s="109">
        <v>32000</v>
      </c>
      <c r="N99" s="109">
        <v>15533.279999999999</v>
      </c>
      <c r="O99" s="110">
        <v>6120</v>
      </c>
      <c r="P99" s="111">
        <v>48266.399999999994</v>
      </c>
      <c r="Q99" s="109">
        <v>0.26089237472766885</v>
      </c>
      <c r="R99" s="112">
        <v>15.65354248366013</v>
      </c>
    </row>
    <row r="100" spans="2:18" hidden="1" x14ac:dyDescent="0.25">
      <c r="B100" s="103">
        <v>99</v>
      </c>
      <c r="C100" s="104" t="s">
        <v>167</v>
      </c>
      <c r="D100" s="105" t="s">
        <v>72</v>
      </c>
      <c r="E100" s="122">
        <v>3600000</v>
      </c>
      <c r="F100" s="122">
        <v>36000</v>
      </c>
      <c r="G100" s="122">
        <v>2</v>
      </c>
      <c r="H100" s="123"/>
      <c r="I100" s="122">
        <v>36000</v>
      </c>
      <c r="J100" s="122">
        <v>6</v>
      </c>
      <c r="K100" s="124">
        <v>0.85</v>
      </c>
      <c r="L100" s="122">
        <v>10</v>
      </c>
      <c r="M100" s="109">
        <v>576000</v>
      </c>
      <c r="N100" s="109">
        <v>99799.92</v>
      </c>
      <c r="O100" s="110">
        <v>6120</v>
      </c>
      <c r="P100" s="111">
        <v>91800</v>
      </c>
      <c r="Q100" s="109">
        <v>2.0904137254901958</v>
      </c>
      <c r="R100" s="112">
        <v>125.42482352941175</v>
      </c>
    </row>
    <row r="101" spans="2:18" hidden="1" x14ac:dyDescent="0.25">
      <c r="B101" s="103">
        <v>100</v>
      </c>
      <c r="C101" s="104" t="s">
        <v>167</v>
      </c>
      <c r="D101" s="105" t="s">
        <v>194</v>
      </c>
      <c r="E101" s="134">
        <v>150000</v>
      </c>
      <c r="F101" s="134">
        <v>3000</v>
      </c>
      <c r="G101" s="134">
        <v>1</v>
      </c>
      <c r="H101" s="135"/>
      <c r="I101" s="134">
        <v>3000</v>
      </c>
      <c r="J101" s="134">
        <v>2</v>
      </c>
      <c r="K101" s="136">
        <v>0.85</v>
      </c>
      <c r="L101" s="134">
        <v>10</v>
      </c>
      <c r="M101" s="109">
        <v>24000</v>
      </c>
      <c r="N101" s="109">
        <v>10316.64</v>
      </c>
      <c r="O101" s="110">
        <v>6120</v>
      </c>
      <c r="P101" s="111">
        <v>7650</v>
      </c>
      <c r="Q101" s="109">
        <v>0.11428823529411765</v>
      </c>
      <c r="R101" s="112">
        <v>6.8572941176470588</v>
      </c>
    </row>
    <row r="102" spans="2:18" hidden="1" x14ac:dyDescent="0.25">
      <c r="B102" s="103">
        <v>101</v>
      </c>
      <c r="C102" s="104" t="s">
        <v>167</v>
      </c>
      <c r="D102" s="105" t="s">
        <v>195</v>
      </c>
      <c r="E102" s="134">
        <v>300000</v>
      </c>
      <c r="F102" s="134">
        <v>15000</v>
      </c>
      <c r="G102" s="134">
        <v>3</v>
      </c>
      <c r="H102" s="135">
        <v>0.7</v>
      </c>
      <c r="I102" s="134">
        <v>10000</v>
      </c>
      <c r="J102" s="134">
        <v>5</v>
      </c>
      <c r="K102" s="136">
        <v>0.85</v>
      </c>
      <c r="L102" s="134">
        <v>10</v>
      </c>
      <c r="M102" s="109">
        <v>48000</v>
      </c>
      <c r="N102" s="109">
        <v>44916.6</v>
      </c>
      <c r="O102" s="110">
        <v>6120</v>
      </c>
      <c r="P102" s="111">
        <v>125424.29999999999</v>
      </c>
      <c r="Q102" s="109">
        <v>0.59461029411764699</v>
      </c>
      <c r="R102" s="112">
        <v>35.676617647058819</v>
      </c>
    </row>
    <row r="103" spans="2:18" hidden="1" x14ac:dyDescent="0.25">
      <c r="B103" s="103">
        <v>102</v>
      </c>
      <c r="C103" s="104" t="s">
        <v>167</v>
      </c>
      <c r="D103" s="105" t="s">
        <v>196</v>
      </c>
      <c r="E103" s="134">
        <v>500000</v>
      </c>
      <c r="F103" s="134">
        <v>10000</v>
      </c>
      <c r="G103" s="134">
        <v>5</v>
      </c>
      <c r="H103" s="135"/>
      <c r="I103" s="134">
        <v>10000</v>
      </c>
      <c r="J103" s="134"/>
      <c r="K103" s="136">
        <v>0.85</v>
      </c>
      <c r="L103" s="134">
        <v>10</v>
      </c>
      <c r="M103" s="109">
        <v>80000</v>
      </c>
      <c r="N103" s="109">
        <v>25500</v>
      </c>
      <c r="O103" s="110">
        <v>6120</v>
      </c>
      <c r="P103" s="111">
        <v>25500</v>
      </c>
      <c r="Q103" s="109">
        <v>0.35675381263616557</v>
      </c>
      <c r="R103" s="112">
        <v>21.405228758169933</v>
      </c>
    </row>
    <row r="104" spans="2:18" hidden="1" x14ac:dyDescent="0.25">
      <c r="B104" s="103">
        <v>103</v>
      </c>
      <c r="C104" s="104" t="s">
        <v>167</v>
      </c>
      <c r="D104" s="105" t="s">
        <v>197</v>
      </c>
      <c r="E104" s="134">
        <v>150000</v>
      </c>
      <c r="F104" s="134">
        <v>3000</v>
      </c>
      <c r="G104" s="134">
        <v>1</v>
      </c>
      <c r="H104" s="135"/>
      <c r="I104" s="134">
        <v>3000</v>
      </c>
      <c r="J104" s="134">
        <v>2</v>
      </c>
      <c r="K104" s="136">
        <v>0.85</v>
      </c>
      <c r="L104" s="134">
        <v>10</v>
      </c>
      <c r="M104" s="109">
        <v>24000</v>
      </c>
      <c r="N104" s="109">
        <v>10316.64</v>
      </c>
      <c r="O104" s="110">
        <v>6120</v>
      </c>
      <c r="P104" s="111">
        <v>7650</v>
      </c>
      <c r="Q104" s="109">
        <v>0.11428823529411765</v>
      </c>
      <c r="R104" s="112">
        <v>6.8572941176470588</v>
      </c>
    </row>
    <row r="105" spans="2:18" hidden="1" x14ac:dyDescent="0.25">
      <c r="B105" s="103">
        <v>104</v>
      </c>
      <c r="C105" s="104" t="s">
        <v>167</v>
      </c>
      <c r="D105" s="105" t="s">
        <v>70</v>
      </c>
      <c r="E105" s="134">
        <v>1000000</v>
      </c>
      <c r="F105" s="134">
        <v>10000</v>
      </c>
      <c r="G105" s="134">
        <v>15</v>
      </c>
      <c r="H105" s="135"/>
      <c r="I105" s="134">
        <v>10000</v>
      </c>
      <c r="J105" s="134">
        <v>8</v>
      </c>
      <c r="K105" s="136">
        <v>0.85</v>
      </c>
      <c r="L105" s="134">
        <v>10</v>
      </c>
      <c r="M105" s="109">
        <v>160000</v>
      </c>
      <c r="N105" s="109">
        <v>36166.559999999998</v>
      </c>
      <c r="O105" s="110">
        <v>6120</v>
      </c>
      <c r="P105" s="111">
        <v>25500</v>
      </c>
      <c r="Q105" s="109">
        <v>0.60366710239651411</v>
      </c>
      <c r="R105" s="112">
        <v>36.220026143790847</v>
      </c>
    </row>
    <row r="106" spans="2:18" hidden="1" x14ac:dyDescent="0.25">
      <c r="B106" s="103">
        <v>105</v>
      </c>
      <c r="C106" s="104" t="s">
        <v>167</v>
      </c>
      <c r="D106" s="105" t="s">
        <v>198</v>
      </c>
      <c r="E106" s="134">
        <v>50000</v>
      </c>
      <c r="F106" s="134">
        <v>1000</v>
      </c>
      <c r="G106" s="134">
        <v>0.5</v>
      </c>
      <c r="H106" s="135"/>
      <c r="I106" s="134">
        <v>1000</v>
      </c>
      <c r="J106" s="134">
        <v>2</v>
      </c>
      <c r="K106" s="136">
        <v>0.85</v>
      </c>
      <c r="L106" s="134">
        <v>10</v>
      </c>
      <c r="M106" s="109">
        <v>8000</v>
      </c>
      <c r="N106" s="109">
        <v>5216.6399999999994</v>
      </c>
      <c r="O106" s="110">
        <v>6120</v>
      </c>
      <c r="P106" s="111">
        <v>2550</v>
      </c>
      <c r="Q106" s="109">
        <v>4.2937472766884532E-2</v>
      </c>
      <c r="R106" s="112">
        <v>2.5762483660130719</v>
      </c>
    </row>
    <row r="107" spans="2:18" hidden="1" x14ac:dyDescent="0.25">
      <c r="B107" s="103">
        <v>106</v>
      </c>
      <c r="C107" s="104" t="s">
        <v>199</v>
      </c>
      <c r="D107" s="141" t="s">
        <v>200</v>
      </c>
      <c r="E107" s="142">
        <v>6000000</v>
      </c>
      <c r="F107" s="142">
        <v>60000</v>
      </c>
      <c r="G107" s="142">
        <v>470</v>
      </c>
      <c r="H107" s="142">
        <v>0.8</v>
      </c>
      <c r="I107" s="142">
        <v>120000</v>
      </c>
      <c r="J107" s="142">
        <v>20</v>
      </c>
      <c r="K107" s="142">
        <v>0.85</v>
      </c>
      <c r="L107" s="142">
        <v>15</v>
      </c>
      <c r="M107" s="109">
        <v>760000</v>
      </c>
      <c r="N107" s="109">
        <v>273000</v>
      </c>
      <c r="O107" s="109">
        <v>6120</v>
      </c>
      <c r="P107" s="109">
        <v>18197208</v>
      </c>
      <c r="Q107" s="109">
        <v>52.369847494553376</v>
      </c>
      <c r="R107" s="112">
        <v>3142.1908496732026</v>
      </c>
    </row>
    <row r="108" spans="2:18" hidden="1" x14ac:dyDescent="0.25">
      <c r="B108" s="103">
        <v>107</v>
      </c>
      <c r="C108" s="104" t="s">
        <v>199</v>
      </c>
      <c r="D108" s="121" t="s">
        <v>201</v>
      </c>
      <c r="E108" s="106">
        <v>10530000</v>
      </c>
      <c r="F108" s="106">
        <v>121500</v>
      </c>
      <c r="G108" s="106">
        <v>25</v>
      </c>
      <c r="H108" s="107">
        <v>0.7</v>
      </c>
      <c r="I108" s="106">
        <v>1215000</v>
      </c>
      <c r="J108" s="106">
        <v>10</v>
      </c>
      <c r="K108" s="108">
        <v>0.85</v>
      </c>
      <c r="L108" s="106">
        <v>10</v>
      </c>
      <c r="M108" s="109">
        <v>1684800</v>
      </c>
      <c r="N108" s="109">
        <v>323158.2</v>
      </c>
      <c r="O108" s="110">
        <v>6120</v>
      </c>
      <c r="P108" s="111">
        <v>3930952.5</v>
      </c>
      <c r="Q108" s="125">
        <v>16.17350408496732</v>
      </c>
      <c r="R108" s="112">
        <v>970.41024509803924</v>
      </c>
    </row>
    <row r="109" spans="2:18" hidden="1" x14ac:dyDescent="0.25">
      <c r="B109" s="103">
        <v>108</v>
      </c>
      <c r="C109" s="104" t="s">
        <v>199</v>
      </c>
      <c r="D109" s="105" t="s">
        <v>202</v>
      </c>
      <c r="E109" s="127">
        <v>5800000</v>
      </c>
      <c r="F109" s="127">
        <v>175000</v>
      </c>
      <c r="G109" s="127">
        <v>250</v>
      </c>
      <c r="H109" s="128"/>
      <c r="I109" s="127">
        <v>175000</v>
      </c>
      <c r="J109" s="127">
        <v>5</v>
      </c>
      <c r="K109" s="129">
        <v>0.85</v>
      </c>
      <c r="L109" s="127">
        <v>10</v>
      </c>
      <c r="M109" s="109">
        <v>928000</v>
      </c>
      <c r="N109" s="109">
        <v>452916.6</v>
      </c>
      <c r="O109" s="110">
        <v>6120</v>
      </c>
      <c r="P109" s="111">
        <v>446250</v>
      </c>
      <c r="Q109" s="109">
        <v>4.9759438997821359</v>
      </c>
      <c r="R109" s="112">
        <v>298.55663398692815</v>
      </c>
    </row>
    <row r="110" spans="2:18" hidden="1" x14ac:dyDescent="0.25">
      <c r="B110" s="103">
        <v>109</v>
      </c>
      <c r="C110" s="104" t="s">
        <v>199</v>
      </c>
      <c r="D110" s="121" t="s">
        <v>203</v>
      </c>
      <c r="E110" s="127">
        <v>4617000</v>
      </c>
      <c r="F110" s="127">
        <v>28350</v>
      </c>
      <c r="G110" s="127">
        <v>50</v>
      </c>
      <c r="H110" s="128">
        <v>0.7</v>
      </c>
      <c r="I110" s="127">
        <v>40500</v>
      </c>
      <c r="J110" s="127">
        <v>10</v>
      </c>
      <c r="K110" s="129">
        <v>0.85</v>
      </c>
      <c r="L110" s="127">
        <v>10</v>
      </c>
      <c r="M110" s="109">
        <v>738720</v>
      </c>
      <c r="N110" s="109">
        <v>85625.7</v>
      </c>
      <c r="O110" s="110">
        <v>6120</v>
      </c>
      <c r="P110" s="111">
        <v>1768680</v>
      </c>
      <c r="Q110" s="125">
        <v>7.0616168300653603</v>
      </c>
      <c r="R110" s="112">
        <v>423.69700980392162</v>
      </c>
    </row>
    <row r="111" spans="2:18" hidden="1" x14ac:dyDescent="0.25">
      <c r="B111" s="103">
        <v>110</v>
      </c>
      <c r="C111" s="104" t="s">
        <v>199</v>
      </c>
      <c r="D111" s="105" t="s">
        <v>57</v>
      </c>
      <c r="E111" s="127">
        <v>6000000</v>
      </c>
      <c r="F111" s="127">
        <v>60000</v>
      </c>
      <c r="G111" s="127">
        <v>50</v>
      </c>
      <c r="H111" s="128"/>
      <c r="I111" s="127">
        <v>300000</v>
      </c>
      <c r="J111" s="127">
        <v>10</v>
      </c>
      <c r="K111" s="129">
        <v>0.85</v>
      </c>
      <c r="L111" s="127">
        <v>10</v>
      </c>
      <c r="M111" s="109">
        <v>960000</v>
      </c>
      <c r="N111" s="109">
        <v>166333.20000000001</v>
      </c>
      <c r="O111" s="110">
        <v>6120</v>
      </c>
      <c r="P111" s="111">
        <v>765000</v>
      </c>
      <c r="Q111" s="109">
        <v>5.1506895424836605</v>
      </c>
      <c r="R111" s="112">
        <v>309.04137254901963</v>
      </c>
    </row>
    <row r="112" spans="2:18" hidden="1" x14ac:dyDescent="0.25">
      <c r="B112" s="103">
        <v>111</v>
      </c>
      <c r="C112" s="104" t="s">
        <v>199</v>
      </c>
      <c r="D112" s="121" t="s">
        <v>204</v>
      </c>
      <c r="E112" s="127">
        <v>9000000</v>
      </c>
      <c r="F112" s="127">
        <v>44550</v>
      </c>
      <c r="G112" s="127">
        <v>300</v>
      </c>
      <c r="H112" s="128">
        <v>0.7</v>
      </c>
      <c r="I112" s="127">
        <v>900000</v>
      </c>
      <c r="J112" s="127">
        <v>4</v>
      </c>
      <c r="K112" s="129">
        <v>0.85</v>
      </c>
      <c r="L112" s="127">
        <v>10</v>
      </c>
      <c r="M112" s="109">
        <v>1440000</v>
      </c>
      <c r="N112" s="109">
        <v>118935.78</v>
      </c>
      <c r="O112" s="110">
        <v>6120</v>
      </c>
      <c r="P112" s="111">
        <v>12287430</v>
      </c>
      <c r="Q112" s="125">
        <v>37.707967810457511</v>
      </c>
      <c r="R112" s="112">
        <v>2262.4780686274507</v>
      </c>
    </row>
    <row r="113" spans="2:18" hidden="1" x14ac:dyDescent="0.25">
      <c r="B113" s="103">
        <v>112</v>
      </c>
      <c r="C113" s="104" t="s">
        <v>199</v>
      </c>
      <c r="D113" s="105" t="s">
        <v>205</v>
      </c>
      <c r="E113" s="127">
        <v>1000000</v>
      </c>
      <c r="F113" s="127">
        <v>100000</v>
      </c>
      <c r="G113" s="127">
        <v>5</v>
      </c>
      <c r="H113" s="128">
        <v>0.7</v>
      </c>
      <c r="I113" s="127">
        <v>150000</v>
      </c>
      <c r="J113" s="127">
        <v>10</v>
      </c>
      <c r="K113" s="129">
        <v>0.85</v>
      </c>
      <c r="L113" s="127">
        <v>10</v>
      </c>
      <c r="M113" s="109">
        <v>160000</v>
      </c>
      <c r="N113" s="109">
        <v>268333.2</v>
      </c>
      <c r="O113" s="110">
        <v>6120</v>
      </c>
      <c r="P113" s="111">
        <v>549040.5</v>
      </c>
      <c r="Q113" s="109">
        <v>2.6616930827886711</v>
      </c>
      <c r="R113" s="112">
        <v>159.70158496732026</v>
      </c>
    </row>
    <row r="114" spans="2:18" hidden="1" x14ac:dyDescent="0.25">
      <c r="B114" s="103">
        <v>113</v>
      </c>
      <c r="C114" s="104" t="s">
        <v>199</v>
      </c>
      <c r="D114" s="121" t="s">
        <v>206</v>
      </c>
      <c r="E114" s="127">
        <v>6750000</v>
      </c>
      <c r="F114" s="127">
        <v>33412.5</v>
      </c>
      <c r="G114" s="127">
        <v>60</v>
      </c>
      <c r="H114" s="128">
        <v>0.7</v>
      </c>
      <c r="I114" s="127">
        <v>675000</v>
      </c>
      <c r="J114" s="127">
        <v>4</v>
      </c>
      <c r="K114" s="129">
        <v>0.85</v>
      </c>
      <c r="L114" s="127">
        <v>10</v>
      </c>
      <c r="M114" s="109">
        <v>1080000</v>
      </c>
      <c r="N114" s="109">
        <v>90535.154999999999</v>
      </c>
      <c r="O114" s="110">
        <v>6120</v>
      </c>
      <c r="P114" s="111">
        <v>3719735.9999999995</v>
      </c>
      <c r="Q114" s="125">
        <v>13.317731903594769</v>
      </c>
      <c r="R114" s="112">
        <v>799.06391421568617</v>
      </c>
    </row>
    <row r="115" spans="2:18" hidden="1" x14ac:dyDescent="0.25">
      <c r="B115" s="103">
        <v>114</v>
      </c>
      <c r="C115" s="104" t="s">
        <v>199</v>
      </c>
      <c r="D115" s="121" t="s">
        <v>207</v>
      </c>
      <c r="E115" s="127">
        <v>1000000</v>
      </c>
      <c r="F115" s="127">
        <v>100000</v>
      </c>
      <c r="G115" s="127">
        <v>5</v>
      </c>
      <c r="H115" s="128">
        <v>0.7</v>
      </c>
      <c r="I115" s="127">
        <v>150000</v>
      </c>
      <c r="J115" s="127">
        <v>10</v>
      </c>
      <c r="K115" s="129">
        <v>0.85</v>
      </c>
      <c r="L115" s="127">
        <v>10</v>
      </c>
      <c r="M115" s="109">
        <v>160000</v>
      </c>
      <c r="N115" s="109">
        <v>268333.2</v>
      </c>
      <c r="O115" s="110">
        <v>6120</v>
      </c>
      <c r="P115" s="111">
        <v>549040.5</v>
      </c>
      <c r="Q115" s="125">
        <v>2.6616930827886711</v>
      </c>
      <c r="R115" s="112">
        <v>159.70158496732026</v>
      </c>
    </row>
    <row r="116" spans="2:18" hidden="1" x14ac:dyDescent="0.25">
      <c r="B116" s="103">
        <v>115</v>
      </c>
      <c r="C116" s="104" t="s">
        <v>199</v>
      </c>
      <c r="D116" s="105" t="s">
        <v>208</v>
      </c>
      <c r="E116" s="106">
        <v>6000000</v>
      </c>
      <c r="F116" s="106">
        <v>120000</v>
      </c>
      <c r="G116" s="106">
        <v>125</v>
      </c>
      <c r="H116" s="107"/>
      <c r="I116" s="106">
        <v>120000</v>
      </c>
      <c r="J116" s="106">
        <v>4</v>
      </c>
      <c r="K116" s="108">
        <v>0.85</v>
      </c>
      <c r="L116" s="106">
        <v>10</v>
      </c>
      <c r="M116" s="109">
        <v>960000</v>
      </c>
      <c r="N116" s="109">
        <v>311333.28000000003</v>
      </c>
      <c r="O116" s="110">
        <v>6120</v>
      </c>
      <c r="P116" s="111">
        <v>306000</v>
      </c>
      <c r="Q116" s="109">
        <v>4.2955699346405227</v>
      </c>
      <c r="R116" s="112">
        <v>257.73419607843135</v>
      </c>
    </row>
    <row r="117" spans="2:18" hidden="1" x14ac:dyDescent="0.25">
      <c r="B117" s="103">
        <v>116</v>
      </c>
      <c r="C117" s="104" t="s">
        <v>209</v>
      </c>
      <c r="D117" s="105" t="s">
        <v>60</v>
      </c>
      <c r="E117" s="122">
        <v>300000</v>
      </c>
      <c r="F117" s="122">
        <v>3000</v>
      </c>
      <c r="G117" s="122">
        <v>1.875</v>
      </c>
      <c r="H117" s="123"/>
      <c r="I117" s="122">
        <v>3000</v>
      </c>
      <c r="J117" s="122">
        <v>5</v>
      </c>
      <c r="K117" s="124">
        <v>0.85</v>
      </c>
      <c r="L117" s="122">
        <v>10</v>
      </c>
      <c r="M117" s="109">
        <v>48000</v>
      </c>
      <c r="N117" s="109">
        <v>14316.6</v>
      </c>
      <c r="O117" s="110">
        <v>6120</v>
      </c>
      <c r="P117" s="111">
        <v>7650</v>
      </c>
      <c r="Q117" s="109">
        <v>0.19054084967320264</v>
      </c>
      <c r="R117" s="112">
        <v>11.432450980392158</v>
      </c>
    </row>
    <row r="118" spans="2:18" hidden="1" x14ac:dyDescent="0.25">
      <c r="B118" s="103">
        <v>117</v>
      </c>
      <c r="C118" s="104" t="s">
        <v>209</v>
      </c>
      <c r="D118" s="121" t="s">
        <v>210</v>
      </c>
      <c r="E118" s="122">
        <v>1000000</v>
      </c>
      <c r="F118" s="122">
        <v>10000</v>
      </c>
      <c r="G118" s="122">
        <v>10</v>
      </c>
      <c r="H118" s="123">
        <v>0.7</v>
      </c>
      <c r="I118" s="122">
        <v>5000</v>
      </c>
      <c r="J118" s="122">
        <v>15</v>
      </c>
      <c r="K118" s="124">
        <v>0.85</v>
      </c>
      <c r="L118" s="122">
        <v>10</v>
      </c>
      <c r="M118" s="109">
        <v>160000</v>
      </c>
      <c r="N118" s="109">
        <v>45499.8</v>
      </c>
      <c r="O118" s="110">
        <v>6120</v>
      </c>
      <c r="P118" s="111">
        <v>345831</v>
      </c>
      <c r="Q118" s="125">
        <v>1.5014455337690633</v>
      </c>
      <c r="R118" s="112">
        <v>90.086732026143792</v>
      </c>
    </row>
    <row r="119" spans="2:18" hidden="1" x14ac:dyDescent="0.25">
      <c r="B119" s="103">
        <v>118</v>
      </c>
      <c r="C119" s="104" t="s">
        <v>209</v>
      </c>
      <c r="D119" s="105" t="s">
        <v>211</v>
      </c>
      <c r="E119" s="122">
        <v>1000000</v>
      </c>
      <c r="F119" s="122">
        <v>10000</v>
      </c>
      <c r="G119" s="122">
        <v>0.7</v>
      </c>
      <c r="H119" s="123"/>
      <c r="I119" s="122">
        <v>5000</v>
      </c>
      <c r="J119" s="122">
        <v>15</v>
      </c>
      <c r="K119" s="124">
        <v>0.85</v>
      </c>
      <c r="L119" s="122">
        <v>10</v>
      </c>
      <c r="M119" s="109">
        <v>160000</v>
      </c>
      <c r="N119" s="109">
        <v>45499.8</v>
      </c>
      <c r="O119" s="110">
        <v>6120</v>
      </c>
      <c r="P119" s="111">
        <v>12750</v>
      </c>
      <c r="Q119" s="109">
        <v>0.59436220043572985</v>
      </c>
      <c r="R119" s="112">
        <v>35.661732026143788</v>
      </c>
    </row>
    <row r="120" spans="2:18" hidden="1" x14ac:dyDescent="0.25">
      <c r="B120" s="103">
        <v>119</v>
      </c>
      <c r="C120" s="104" t="s">
        <v>209</v>
      </c>
      <c r="D120" s="105" t="s">
        <v>212</v>
      </c>
      <c r="E120" s="122">
        <v>1000000</v>
      </c>
      <c r="F120" s="122">
        <v>10000</v>
      </c>
      <c r="G120" s="122">
        <v>0.7</v>
      </c>
      <c r="H120" s="123"/>
      <c r="I120" s="122">
        <v>5000</v>
      </c>
      <c r="J120" s="122">
        <v>15</v>
      </c>
      <c r="K120" s="124">
        <v>0.85</v>
      </c>
      <c r="L120" s="122">
        <v>10</v>
      </c>
      <c r="M120" s="109">
        <v>160000</v>
      </c>
      <c r="N120" s="109">
        <v>45499.8</v>
      </c>
      <c r="O120" s="110">
        <v>6120</v>
      </c>
      <c r="P120" s="111">
        <v>12750</v>
      </c>
      <c r="Q120" s="109">
        <v>0.59436220043572985</v>
      </c>
      <c r="R120" s="112">
        <v>35.661732026143788</v>
      </c>
    </row>
    <row r="121" spans="2:18" hidden="1" x14ac:dyDescent="0.25">
      <c r="B121" s="103">
        <v>120</v>
      </c>
      <c r="C121" s="104" t="s">
        <v>209</v>
      </c>
      <c r="D121" s="105" t="s">
        <v>213</v>
      </c>
      <c r="E121" s="122">
        <v>300000</v>
      </c>
      <c r="F121" s="122">
        <v>3000</v>
      </c>
      <c r="G121" s="122">
        <v>2.2049999999999996</v>
      </c>
      <c r="H121" s="123"/>
      <c r="I121" s="122">
        <v>2000</v>
      </c>
      <c r="J121" s="122">
        <v>2</v>
      </c>
      <c r="K121" s="124">
        <v>0.85</v>
      </c>
      <c r="L121" s="122">
        <v>10</v>
      </c>
      <c r="M121" s="109">
        <v>48000</v>
      </c>
      <c r="N121" s="109">
        <v>10316.64</v>
      </c>
      <c r="O121" s="110">
        <v>6120</v>
      </c>
      <c r="P121" s="111">
        <v>5100</v>
      </c>
      <c r="Q121" s="109">
        <v>0.17270326797385621</v>
      </c>
      <c r="R121" s="112">
        <v>10.362196078431372</v>
      </c>
    </row>
    <row r="122" spans="2:18" hidden="1" x14ac:dyDescent="0.25">
      <c r="B122" s="103">
        <v>121</v>
      </c>
      <c r="C122" s="104" t="s">
        <v>209</v>
      </c>
      <c r="D122" s="140" t="s">
        <v>214</v>
      </c>
      <c r="E122" s="122">
        <v>4800000</v>
      </c>
      <c r="F122" s="122">
        <v>240000</v>
      </c>
      <c r="G122" s="122">
        <v>5</v>
      </c>
      <c r="H122" s="123">
        <v>0.7</v>
      </c>
      <c r="I122" s="122">
        <v>96000</v>
      </c>
      <c r="J122" s="122">
        <v>15</v>
      </c>
      <c r="K122" s="124">
        <v>0.85</v>
      </c>
      <c r="L122" s="122">
        <v>10</v>
      </c>
      <c r="M122" s="109">
        <v>768000</v>
      </c>
      <c r="N122" s="109">
        <v>631999.80000000005</v>
      </c>
      <c r="O122" s="110">
        <v>6120</v>
      </c>
      <c r="P122" s="111">
        <v>411340.5</v>
      </c>
      <c r="Q122" s="109">
        <v>4.9328439542483666</v>
      </c>
      <c r="R122" s="112">
        <v>295.97063725490199</v>
      </c>
    </row>
    <row r="123" spans="2:18" hidden="1" x14ac:dyDescent="0.25">
      <c r="B123" s="103">
        <v>122</v>
      </c>
      <c r="C123" s="104" t="s">
        <v>209</v>
      </c>
      <c r="D123" s="143" t="s">
        <v>73</v>
      </c>
      <c r="E123" s="122">
        <v>38880000</v>
      </c>
      <c r="F123" s="122">
        <v>388800</v>
      </c>
      <c r="G123" s="122">
        <v>12</v>
      </c>
      <c r="H123" s="123"/>
      <c r="I123" s="122">
        <v>388800</v>
      </c>
      <c r="J123" s="122">
        <v>12</v>
      </c>
      <c r="K123" s="124">
        <v>0.85</v>
      </c>
      <c r="L123" s="122">
        <v>10</v>
      </c>
      <c r="M123" s="109">
        <v>6220800</v>
      </c>
      <c r="N123" s="109">
        <v>1007439.84</v>
      </c>
      <c r="O123" s="110">
        <v>6120</v>
      </c>
      <c r="P123" s="111">
        <v>991440</v>
      </c>
      <c r="Q123" s="109">
        <v>22.384749019607842</v>
      </c>
      <c r="R123" s="112">
        <v>1343.0849411764705</v>
      </c>
    </row>
    <row r="124" spans="2:18" hidden="1" x14ac:dyDescent="0.25">
      <c r="B124" s="103">
        <v>123</v>
      </c>
      <c r="C124" s="104" t="s">
        <v>209</v>
      </c>
      <c r="D124" s="121" t="s">
        <v>215</v>
      </c>
      <c r="E124" s="122">
        <v>2000000</v>
      </c>
      <c r="F124" s="122">
        <v>40000</v>
      </c>
      <c r="G124" s="122">
        <v>10</v>
      </c>
      <c r="H124" s="123">
        <v>0.7</v>
      </c>
      <c r="I124" s="122">
        <v>20000</v>
      </c>
      <c r="J124" s="122">
        <v>10</v>
      </c>
      <c r="K124" s="124">
        <v>0.85</v>
      </c>
      <c r="L124" s="122">
        <v>10</v>
      </c>
      <c r="M124" s="109">
        <v>320000</v>
      </c>
      <c r="N124" s="109">
        <v>115333.2</v>
      </c>
      <c r="O124" s="110">
        <v>6120</v>
      </c>
      <c r="P124" s="111">
        <v>384081</v>
      </c>
      <c r="Q124" s="125">
        <v>2.2315201525054467</v>
      </c>
      <c r="R124" s="112">
        <v>133.8912091503268</v>
      </c>
    </row>
    <row r="125" spans="2:18" hidden="1" x14ac:dyDescent="0.25">
      <c r="B125" s="103">
        <v>124</v>
      </c>
      <c r="C125" s="104" t="s">
        <v>209</v>
      </c>
      <c r="D125" s="121" t="s">
        <v>216</v>
      </c>
      <c r="E125" s="122">
        <v>2500000</v>
      </c>
      <c r="F125" s="122">
        <v>50000</v>
      </c>
      <c r="G125" s="122">
        <v>10</v>
      </c>
      <c r="H125" s="123">
        <v>0.7</v>
      </c>
      <c r="I125" s="122">
        <v>25000</v>
      </c>
      <c r="J125" s="122">
        <v>10</v>
      </c>
      <c r="K125" s="124">
        <v>0.85</v>
      </c>
      <c r="L125" s="122">
        <v>10</v>
      </c>
      <c r="M125" s="109">
        <v>400000</v>
      </c>
      <c r="N125" s="109">
        <v>140833.20000000001</v>
      </c>
      <c r="O125" s="110">
        <v>6120</v>
      </c>
      <c r="P125" s="111">
        <v>396831</v>
      </c>
      <c r="Q125" s="125">
        <v>2.5535517429193897</v>
      </c>
      <c r="R125" s="112">
        <v>153.21310457516338</v>
      </c>
    </row>
    <row r="126" spans="2:18" hidden="1" x14ac:dyDescent="0.25">
      <c r="B126" s="103">
        <v>125</v>
      </c>
      <c r="C126" s="104" t="s">
        <v>209</v>
      </c>
      <c r="D126" s="105" t="s">
        <v>61</v>
      </c>
      <c r="E126" s="122">
        <v>2000000</v>
      </c>
      <c r="F126" s="122">
        <v>20000</v>
      </c>
      <c r="G126" s="122">
        <v>10</v>
      </c>
      <c r="H126" s="123"/>
      <c r="I126" s="122">
        <v>20000</v>
      </c>
      <c r="J126" s="122">
        <v>10</v>
      </c>
      <c r="K126" s="124">
        <v>0.85</v>
      </c>
      <c r="L126" s="122">
        <v>10</v>
      </c>
      <c r="M126" s="109">
        <v>320000</v>
      </c>
      <c r="N126" s="109">
        <v>64333.2</v>
      </c>
      <c r="O126" s="110">
        <v>6120</v>
      </c>
      <c r="P126" s="111">
        <v>51000</v>
      </c>
      <c r="Q126" s="109">
        <v>1.1855479302832244</v>
      </c>
      <c r="R126" s="112">
        <v>71.132875816993462</v>
      </c>
    </row>
    <row r="127" spans="2:18" hidden="1" x14ac:dyDescent="0.25">
      <c r="B127" s="103">
        <v>126</v>
      </c>
      <c r="C127" s="104" t="s">
        <v>209</v>
      </c>
      <c r="D127" s="121" t="s">
        <v>217</v>
      </c>
      <c r="E127" s="122">
        <v>2000000</v>
      </c>
      <c r="F127" s="122">
        <v>30000</v>
      </c>
      <c r="G127" s="122">
        <v>5</v>
      </c>
      <c r="H127" s="123">
        <v>0.7</v>
      </c>
      <c r="I127" s="122">
        <v>1000</v>
      </c>
      <c r="J127" s="122">
        <v>7</v>
      </c>
      <c r="K127" s="124">
        <v>0.85</v>
      </c>
      <c r="L127" s="122">
        <v>10</v>
      </c>
      <c r="M127" s="109">
        <v>320000</v>
      </c>
      <c r="N127" s="109">
        <v>85833.24</v>
      </c>
      <c r="O127" s="110">
        <v>6120</v>
      </c>
      <c r="P127" s="111">
        <v>169090.5</v>
      </c>
      <c r="Q127" s="125">
        <v>1.5656964596949892</v>
      </c>
      <c r="R127" s="112">
        <v>93.941787581699344</v>
      </c>
    </row>
    <row r="128" spans="2:18" hidden="1" x14ac:dyDescent="0.25">
      <c r="B128" s="103">
        <v>127</v>
      </c>
      <c r="C128" s="104" t="s">
        <v>209</v>
      </c>
      <c r="D128" s="105" t="s">
        <v>218</v>
      </c>
      <c r="E128" s="122">
        <v>3000000</v>
      </c>
      <c r="F128" s="122">
        <v>150000</v>
      </c>
      <c r="G128" s="122">
        <v>20</v>
      </c>
      <c r="H128" s="123"/>
      <c r="I128" s="122">
        <v>150000</v>
      </c>
      <c r="J128" s="122">
        <v>10</v>
      </c>
      <c r="K128" s="124">
        <v>0.85</v>
      </c>
      <c r="L128" s="122">
        <v>10</v>
      </c>
      <c r="M128" s="109">
        <v>480000</v>
      </c>
      <c r="N128" s="109">
        <v>395833.2</v>
      </c>
      <c r="O128" s="110">
        <v>6120</v>
      </c>
      <c r="P128" s="111">
        <v>382500</v>
      </c>
      <c r="Q128" s="109">
        <v>3.4268333333333332</v>
      </c>
      <c r="R128" s="112">
        <v>205.60999999999999</v>
      </c>
    </row>
    <row r="129" spans="2:18" hidden="1" x14ac:dyDescent="0.25">
      <c r="B129" s="103">
        <v>128</v>
      </c>
      <c r="C129" s="104" t="s">
        <v>209</v>
      </c>
      <c r="D129" s="105" t="s">
        <v>219</v>
      </c>
      <c r="E129" s="122">
        <v>1663376</v>
      </c>
      <c r="F129" s="122">
        <v>41584.400000000001</v>
      </c>
      <c r="G129" s="122">
        <v>8.8199999999999985</v>
      </c>
      <c r="H129" s="123"/>
      <c r="I129" s="122">
        <v>41584.400000000001</v>
      </c>
      <c r="J129" s="122">
        <v>10</v>
      </c>
      <c r="K129" s="124">
        <v>0.85</v>
      </c>
      <c r="L129" s="122">
        <v>10</v>
      </c>
      <c r="M129" s="109">
        <v>266140.16000000003</v>
      </c>
      <c r="N129" s="109">
        <v>119373.42</v>
      </c>
      <c r="O129" s="110">
        <v>6120</v>
      </c>
      <c r="P129" s="111">
        <v>106040.22</v>
      </c>
      <c r="Q129" s="109">
        <v>1.3386541394335514</v>
      </c>
      <c r="R129" s="112">
        <v>80.319248366013085</v>
      </c>
    </row>
    <row r="130" spans="2:18" hidden="1" x14ac:dyDescent="0.25">
      <c r="B130" s="103">
        <v>129</v>
      </c>
      <c r="C130" s="104" t="s">
        <v>209</v>
      </c>
      <c r="D130" s="121" t="s">
        <v>220</v>
      </c>
      <c r="E130" s="122">
        <v>2500000</v>
      </c>
      <c r="F130" s="122">
        <v>50000</v>
      </c>
      <c r="G130" s="122">
        <v>11.25</v>
      </c>
      <c r="H130" s="123">
        <v>0.7</v>
      </c>
      <c r="I130" s="122">
        <v>25000</v>
      </c>
      <c r="J130" s="122">
        <v>10</v>
      </c>
      <c r="K130" s="124">
        <v>0.85</v>
      </c>
      <c r="L130" s="122">
        <v>10</v>
      </c>
      <c r="M130" s="109">
        <v>400000</v>
      </c>
      <c r="N130" s="109">
        <v>140833.20000000001</v>
      </c>
      <c r="O130" s="110">
        <v>6120</v>
      </c>
      <c r="P130" s="111">
        <v>438466.125</v>
      </c>
      <c r="Q130" s="125">
        <v>2.6669371595860563</v>
      </c>
      <c r="R130" s="112">
        <v>160.01622957516338</v>
      </c>
    </row>
    <row r="131" spans="2:18" hidden="1" x14ac:dyDescent="0.25">
      <c r="B131" s="103">
        <v>130</v>
      </c>
      <c r="C131" s="104" t="s">
        <v>209</v>
      </c>
      <c r="D131" s="126" t="s">
        <v>221</v>
      </c>
      <c r="E131" s="122">
        <v>5400000</v>
      </c>
      <c r="F131" s="122">
        <v>216000</v>
      </c>
      <c r="G131" s="122">
        <v>10</v>
      </c>
      <c r="H131" s="123">
        <v>0.7</v>
      </c>
      <c r="I131" s="122">
        <v>108000</v>
      </c>
      <c r="J131" s="122">
        <v>7</v>
      </c>
      <c r="K131" s="124">
        <v>0.85</v>
      </c>
      <c r="L131" s="122">
        <v>10</v>
      </c>
      <c r="M131" s="109">
        <v>864000</v>
      </c>
      <c r="N131" s="109">
        <v>560133.24</v>
      </c>
      <c r="O131" s="110">
        <v>6120</v>
      </c>
      <c r="P131" s="111">
        <v>608481</v>
      </c>
      <c r="Q131" s="109">
        <v>5.5354418300653601</v>
      </c>
      <c r="R131" s="112">
        <v>332.12650980392158</v>
      </c>
    </row>
    <row r="132" spans="2:18" hidden="1" x14ac:dyDescent="0.25">
      <c r="B132" s="103">
        <v>131</v>
      </c>
      <c r="C132" s="104" t="s">
        <v>209</v>
      </c>
      <c r="D132" s="105" t="s">
        <v>222</v>
      </c>
      <c r="E132" s="122">
        <v>1000000</v>
      </c>
      <c r="F132" s="122">
        <v>50000</v>
      </c>
      <c r="G132" s="122">
        <v>25</v>
      </c>
      <c r="H132" s="123">
        <v>0.7</v>
      </c>
      <c r="I132" s="122">
        <v>25000</v>
      </c>
      <c r="J132" s="122">
        <v>10</v>
      </c>
      <c r="K132" s="124">
        <v>0.85</v>
      </c>
      <c r="L132" s="122">
        <v>10</v>
      </c>
      <c r="M132" s="109">
        <v>160000</v>
      </c>
      <c r="N132" s="109">
        <v>140833.20000000001</v>
      </c>
      <c r="O132" s="110">
        <v>6120</v>
      </c>
      <c r="P132" s="111">
        <v>896452.5</v>
      </c>
      <c r="Q132" s="109">
        <v>3.2605819716775599</v>
      </c>
      <c r="R132" s="112">
        <v>195.6349183006536</v>
      </c>
    </row>
    <row r="133" spans="2:18" hidden="1" x14ac:dyDescent="0.25">
      <c r="B133" s="103">
        <v>132</v>
      </c>
      <c r="C133" s="104" t="s">
        <v>209</v>
      </c>
      <c r="D133" s="105" t="s">
        <v>223</v>
      </c>
      <c r="E133" s="122">
        <v>1000000</v>
      </c>
      <c r="F133" s="122">
        <v>40000</v>
      </c>
      <c r="G133" s="122">
        <v>10</v>
      </c>
      <c r="H133" s="123">
        <v>0.7</v>
      </c>
      <c r="I133" s="122">
        <v>20000</v>
      </c>
      <c r="J133" s="122">
        <v>10</v>
      </c>
      <c r="K133" s="124">
        <v>0.85</v>
      </c>
      <c r="L133" s="122">
        <v>10</v>
      </c>
      <c r="M133" s="109">
        <v>160000</v>
      </c>
      <c r="N133" s="109">
        <v>115333.2</v>
      </c>
      <c r="O133" s="110">
        <v>6120</v>
      </c>
      <c r="P133" s="111">
        <v>384081</v>
      </c>
      <c r="Q133" s="109">
        <v>1.7957903050108932</v>
      </c>
      <c r="R133" s="112">
        <v>107.74741830065359</v>
      </c>
    </row>
    <row r="134" spans="2:18" hidden="1" x14ac:dyDescent="0.25">
      <c r="B134" s="103">
        <v>133</v>
      </c>
      <c r="C134" s="104" t="s">
        <v>209</v>
      </c>
      <c r="D134" s="126" t="s">
        <v>224</v>
      </c>
      <c r="E134" s="116">
        <v>2000000</v>
      </c>
      <c r="F134" s="116">
        <v>80000</v>
      </c>
      <c r="G134" s="116">
        <v>5</v>
      </c>
      <c r="H134" s="117">
        <v>0.7</v>
      </c>
      <c r="I134" s="116">
        <v>40000</v>
      </c>
      <c r="J134" s="116">
        <v>10</v>
      </c>
      <c r="K134" s="118">
        <v>0.85</v>
      </c>
      <c r="L134" s="116">
        <v>10</v>
      </c>
      <c r="M134" s="109">
        <v>320000</v>
      </c>
      <c r="N134" s="109">
        <v>217333.2</v>
      </c>
      <c r="O134" s="110">
        <v>6120</v>
      </c>
      <c r="P134" s="111">
        <v>268540.5</v>
      </c>
      <c r="Q134" s="109">
        <v>2.1946451525054465</v>
      </c>
      <c r="R134" s="112">
        <v>131.6787091503268</v>
      </c>
    </row>
    <row r="135" spans="2:18" hidden="1" x14ac:dyDescent="0.25">
      <c r="B135" s="103">
        <v>134</v>
      </c>
      <c r="C135" s="104" t="s">
        <v>209</v>
      </c>
      <c r="D135" s="105" t="s">
        <v>225</v>
      </c>
      <c r="E135" s="122">
        <v>1300000</v>
      </c>
      <c r="F135" s="122">
        <v>26000</v>
      </c>
      <c r="G135" s="122">
        <v>5.88</v>
      </c>
      <c r="H135" s="123"/>
      <c r="I135" s="122">
        <v>26000</v>
      </c>
      <c r="J135" s="122">
        <v>2</v>
      </c>
      <c r="K135" s="124">
        <v>0.85</v>
      </c>
      <c r="L135" s="122">
        <v>10</v>
      </c>
      <c r="M135" s="109">
        <v>208000</v>
      </c>
      <c r="N135" s="109">
        <v>68966.64</v>
      </c>
      <c r="O135" s="110">
        <v>6120</v>
      </c>
      <c r="P135" s="111">
        <v>66300</v>
      </c>
      <c r="Q135" s="109">
        <v>0.93482200435729856</v>
      </c>
      <c r="R135" s="112">
        <v>56.089320261437912</v>
      </c>
    </row>
    <row r="136" spans="2:18" hidden="1" x14ac:dyDescent="0.25">
      <c r="B136" s="103">
        <v>135</v>
      </c>
      <c r="C136" s="104" t="s">
        <v>209</v>
      </c>
      <c r="D136" s="105" t="s">
        <v>226</v>
      </c>
      <c r="E136" s="122">
        <v>1329608</v>
      </c>
      <c r="F136" s="122">
        <v>19944.12</v>
      </c>
      <c r="G136" s="122">
        <v>14.4</v>
      </c>
      <c r="H136" s="123"/>
      <c r="I136" s="122">
        <v>60000</v>
      </c>
      <c r="J136" s="122">
        <v>6</v>
      </c>
      <c r="K136" s="124">
        <v>0.85</v>
      </c>
      <c r="L136" s="122">
        <v>10</v>
      </c>
      <c r="M136" s="109">
        <v>212737.27999999997</v>
      </c>
      <c r="N136" s="109">
        <v>58857.425999999999</v>
      </c>
      <c r="O136" s="110">
        <v>6120</v>
      </c>
      <c r="P136" s="111">
        <v>153000</v>
      </c>
      <c r="Q136" s="109">
        <v>1.1563036655773422</v>
      </c>
      <c r="R136" s="112">
        <v>69.378219934640526</v>
      </c>
    </row>
    <row r="137" spans="2:18" hidden="1" x14ac:dyDescent="0.25">
      <c r="B137" s="103">
        <v>136</v>
      </c>
      <c r="C137" s="104" t="s">
        <v>209</v>
      </c>
      <c r="D137" s="119" t="s">
        <v>227</v>
      </c>
      <c r="E137" s="122">
        <v>5000000</v>
      </c>
      <c r="F137" s="122">
        <v>120000</v>
      </c>
      <c r="G137" s="122">
        <v>20</v>
      </c>
      <c r="H137" s="123">
        <v>0.7</v>
      </c>
      <c r="I137" s="122">
        <v>350000</v>
      </c>
      <c r="J137" s="122">
        <v>15</v>
      </c>
      <c r="K137" s="124">
        <v>0.85</v>
      </c>
      <c r="L137" s="122">
        <v>10</v>
      </c>
      <c r="M137" s="109">
        <v>800000</v>
      </c>
      <c r="N137" s="109">
        <v>325999.8</v>
      </c>
      <c r="O137" s="110">
        <v>6120</v>
      </c>
      <c r="P137" s="111">
        <v>1558662</v>
      </c>
      <c r="Q137" s="109">
        <v>7.3111704793028318</v>
      </c>
      <c r="R137" s="112">
        <v>438.67022875816991</v>
      </c>
    </row>
    <row r="138" spans="2:18" hidden="1" x14ac:dyDescent="0.25">
      <c r="B138" s="103">
        <v>137</v>
      </c>
      <c r="C138" s="104" t="s">
        <v>209</v>
      </c>
      <c r="D138" s="119" t="s">
        <v>228</v>
      </c>
      <c r="E138" s="122">
        <v>1500000</v>
      </c>
      <c r="F138" s="122">
        <v>120000</v>
      </c>
      <c r="G138" s="122">
        <v>5</v>
      </c>
      <c r="H138" s="123">
        <v>0.7</v>
      </c>
      <c r="I138" s="122">
        <v>350000</v>
      </c>
      <c r="J138" s="122">
        <v>10</v>
      </c>
      <c r="K138" s="124">
        <v>0.85</v>
      </c>
      <c r="L138" s="122">
        <v>10</v>
      </c>
      <c r="M138" s="109">
        <v>240000</v>
      </c>
      <c r="N138" s="109">
        <v>319333.2</v>
      </c>
      <c r="O138" s="110">
        <v>6120</v>
      </c>
      <c r="P138" s="111">
        <v>1059040.5</v>
      </c>
      <c r="Q138" s="109">
        <v>4.4073357843137257</v>
      </c>
      <c r="R138" s="112">
        <v>264.44014705882353</v>
      </c>
    </row>
    <row r="139" spans="2:18" hidden="1" x14ac:dyDescent="0.25">
      <c r="B139" s="103">
        <v>138</v>
      </c>
      <c r="C139" s="104" t="s">
        <v>209</v>
      </c>
      <c r="D139" s="121" t="s">
        <v>229</v>
      </c>
      <c r="E139" s="122">
        <v>20000</v>
      </c>
      <c r="F139" s="122">
        <v>2000</v>
      </c>
      <c r="G139" s="122">
        <v>6</v>
      </c>
      <c r="H139" s="123">
        <v>0.7</v>
      </c>
      <c r="I139" s="122">
        <v>1000</v>
      </c>
      <c r="J139" s="122">
        <v>5</v>
      </c>
      <c r="K139" s="124">
        <v>0.85</v>
      </c>
      <c r="L139" s="122">
        <v>10</v>
      </c>
      <c r="M139" s="109">
        <v>3200</v>
      </c>
      <c r="N139" s="109">
        <v>11766.6</v>
      </c>
      <c r="O139" s="110">
        <v>6120</v>
      </c>
      <c r="P139" s="111">
        <v>202398.59999999998</v>
      </c>
      <c r="Q139" s="125">
        <v>0.59195315904139423</v>
      </c>
      <c r="R139" s="112">
        <v>35.517189542483656</v>
      </c>
    </row>
    <row r="140" spans="2:18" hidden="1" x14ac:dyDescent="0.25">
      <c r="B140" s="103">
        <v>139</v>
      </c>
      <c r="C140" s="104" t="s">
        <v>209</v>
      </c>
      <c r="D140" s="105" t="s">
        <v>58</v>
      </c>
      <c r="E140" s="122">
        <v>100000</v>
      </c>
      <c r="F140" s="122">
        <v>1000</v>
      </c>
      <c r="G140" s="122">
        <v>1</v>
      </c>
      <c r="H140" s="123"/>
      <c r="I140" s="122">
        <v>1000</v>
      </c>
      <c r="J140" s="122">
        <v>3</v>
      </c>
      <c r="K140" s="124">
        <v>0.85</v>
      </c>
      <c r="L140" s="122">
        <v>10</v>
      </c>
      <c r="M140" s="109">
        <v>16000</v>
      </c>
      <c r="N140" s="109">
        <v>6549.96</v>
      </c>
      <c r="O140" s="110">
        <v>6120</v>
      </c>
      <c r="P140" s="111">
        <v>2550</v>
      </c>
      <c r="Q140" s="109">
        <v>6.8355010893246193E-2</v>
      </c>
      <c r="R140" s="112">
        <v>4.1013006535947714</v>
      </c>
    </row>
    <row r="141" spans="2:18" hidden="1" x14ac:dyDescent="0.25">
      <c r="B141" s="103">
        <v>140</v>
      </c>
      <c r="C141" s="104" t="s">
        <v>209</v>
      </c>
      <c r="D141" s="105" t="s">
        <v>230</v>
      </c>
      <c r="E141" s="122">
        <v>150000</v>
      </c>
      <c r="F141" s="122">
        <v>15000</v>
      </c>
      <c r="G141" s="122">
        <v>6</v>
      </c>
      <c r="H141" s="123">
        <v>0.7</v>
      </c>
      <c r="I141" s="122">
        <v>15000</v>
      </c>
      <c r="J141" s="122">
        <v>4</v>
      </c>
      <c r="K141" s="124">
        <v>0.85</v>
      </c>
      <c r="L141" s="122">
        <v>10</v>
      </c>
      <c r="M141" s="109">
        <v>24000</v>
      </c>
      <c r="N141" s="109">
        <v>43583.28</v>
      </c>
      <c r="O141" s="110">
        <v>6120</v>
      </c>
      <c r="P141" s="111">
        <v>238098.59999999998</v>
      </c>
      <c r="Q141" s="109">
        <v>0.83246699346405229</v>
      </c>
      <c r="R141" s="112">
        <v>49.948019607843136</v>
      </c>
    </row>
    <row r="142" spans="2:18" hidden="1" x14ac:dyDescent="0.25">
      <c r="B142" s="103">
        <v>141</v>
      </c>
      <c r="C142" s="104" t="s">
        <v>209</v>
      </c>
      <c r="D142" s="105" t="s">
        <v>231</v>
      </c>
      <c r="E142" s="122">
        <v>400000</v>
      </c>
      <c r="F142" s="122">
        <v>8000</v>
      </c>
      <c r="G142" s="122">
        <v>2.0726999999999998</v>
      </c>
      <c r="H142" s="123"/>
      <c r="I142" s="122">
        <v>8000</v>
      </c>
      <c r="J142" s="122">
        <v>2</v>
      </c>
      <c r="K142" s="124">
        <v>0.85</v>
      </c>
      <c r="L142" s="122">
        <v>10</v>
      </c>
      <c r="M142" s="109">
        <v>64000</v>
      </c>
      <c r="N142" s="109">
        <v>23066.639999999999</v>
      </c>
      <c r="O142" s="110">
        <v>6120</v>
      </c>
      <c r="P142" s="111">
        <v>20400</v>
      </c>
      <c r="Q142" s="109">
        <v>0.29266514161220042</v>
      </c>
      <c r="R142" s="112">
        <v>17.559908496732024</v>
      </c>
    </row>
    <row r="143" spans="2:18" hidden="1" x14ac:dyDescent="0.25">
      <c r="B143" s="103">
        <v>142</v>
      </c>
      <c r="C143" s="104" t="s">
        <v>209</v>
      </c>
      <c r="D143" s="105" t="s">
        <v>232</v>
      </c>
      <c r="E143" s="122">
        <v>150000</v>
      </c>
      <c r="F143" s="122">
        <v>3000</v>
      </c>
      <c r="G143" s="122">
        <v>0.88200000000000001</v>
      </c>
      <c r="H143" s="123"/>
      <c r="I143" s="122">
        <v>3000</v>
      </c>
      <c r="J143" s="122">
        <v>2</v>
      </c>
      <c r="K143" s="124">
        <v>0.85</v>
      </c>
      <c r="L143" s="122">
        <v>10</v>
      </c>
      <c r="M143" s="109">
        <v>24000</v>
      </c>
      <c r="N143" s="109">
        <v>10316.64</v>
      </c>
      <c r="O143" s="110">
        <v>6120</v>
      </c>
      <c r="P143" s="111">
        <v>7650</v>
      </c>
      <c r="Q143" s="109">
        <v>0.11428823529411765</v>
      </c>
      <c r="R143" s="112">
        <v>6.8572941176470588</v>
      </c>
    </row>
    <row r="144" spans="2:18" hidden="1" x14ac:dyDescent="0.25">
      <c r="B144" s="103">
        <v>143</v>
      </c>
      <c r="C144" s="104" t="s">
        <v>209</v>
      </c>
      <c r="D144" s="105" t="s">
        <v>233</v>
      </c>
      <c r="E144" s="122">
        <v>500000</v>
      </c>
      <c r="F144" s="122">
        <v>121500</v>
      </c>
      <c r="G144" s="122"/>
      <c r="H144" s="123"/>
      <c r="I144" s="122">
        <v>0</v>
      </c>
      <c r="J144" s="122">
        <v>10</v>
      </c>
      <c r="K144" s="124">
        <v>0.85</v>
      </c>
      <c r="L144" s="122">
        <v>10</v>
      </c>
      <c r="M144" s="109">
        <v>80000</v>
      </c>
      <c r="N144" s="109">
        <v>323158.2</v>
      </c>
      <c r="O144" s="110">
        <v>6120</v>
      </c>
      <c r="P144" s="111">
        <v>0</v>
      </c>
      <c r="Q144" s="109">
        <v>1.0979253812636167</v>
      </c>
      <c r="R144" s="112">
        <v>65.875522875816998</v>
      </c>
    </row>
    <row r="145" spans="2:18" hidden="1" x14ac:dyDescent="0.25">
      <c r="B145" s="103">
        <v>144</v>
      </c>
      <c r="C145" s="104" t="s">
        <v>209</v>
      </c>
      <c r="D145" s="105" t="s">
        <v>234</v>
      </c>
      <c r="E145" s="122">
        <v>1500000</v>
      </c>
      <c r="F145" s="122">
        <v>75000</v>
      </c>
      <c r="G145" s="122">
        <v>6.6150000000000002</v>
      </c>
      <c r="H145" s="123"/>
      <c r="I145" s="122">
        <v>75000</v>
      </c>
      <c r="J145" s="122">
        <v>10</v>
      </c>
      <c r="K145" s="124">
        <v>0.85</v>
      </c>
      <c r="L145" s="122">
        <v>10</v>
      </c>
      <c r="M145" s="109">
        <v>240000</v>
      </c>
      <c r="N145" s="109">
        <v>204583.2</v>
      </c>
      <c r="O145" s="110">
        <v>6120</v>
      </c>
      <c r="P145" s="111">
        <v>191250</v>
      </c>
      <c r="Q145" s="109">
        <v>1.7315718954248365</v>
      </c>
      <c r="R145" s="112">
        <v>103.89431372549019</v>
      </c>
    </row>
    <row r="146" spans="2:18" hidden="1" x14ac:dyDescent="0.25">
      <c r="B146" s="103">
        <v>145</v>
      </c>
      <c r="C146" s="104" t="s">
        <v>209</v>
      </c>
      <c r="D146" s="105" t="s">
        <v>235</v>
      </c>
      <c r="E146" s="122">
        <v>800000</v>
      </c>
      <c r="F146" s="122">
        <v>40000</v>
      </c>
      <c r="G146" s="122">
        <v>20</v>
      </c>
      <c r="H146" s="123">
        <v>0.4</v>
      </c>
      <c r="I146" s="122">
        <v>16000</v>
      </c>
      <c r="J146" s="122">
        <v>25</v>
      </c>
      <c r="K146" s="124">
        <v>0.85</v>
      </c>
      <c r="L146" s="122">
        <v>10</v>
      </c>
      <c r="M146" s="109">
        <v>128000</v>
      </c>
      <c r="N146" s="109">
        <v>135333</v>
      </c>
      <c r="O146" s="110">
        <v>6120</v>
      </c>
      <c r="P146" s="111">
        <v>421464</v>
      </c>
      <c r="Q146" s="109">
        <v>1.864915577342048</v>
      </c>
      <c r="R146" s="112">
        <v>111.89493464052288</v>
      </c>
    </row>
    <row r="147" spans="2:18" hidden="1" x14ac:dyDescent="0.25">
      <c r="B147" s="103">
        <v>146</v>
      </c>
      <c r="C147" s="104" t="s">
        <v>209</v>
      </c>
      <c r="D147" s="105" t="s">
        <v>236</v>
      </c>
      <c r="E147" s="122">
        <v>500000</v>
      </c>
      <c r="F147" s="122">
        <v>10000</v>
      </c>
      <c r="G147" s="122">
        <v>4</v>
      </c>
      <c r="H147" s="123"/>
      <c r="I147" s="122">
        <v>10000</v>
      </c>
      <c r="J147" s="122">
        <v>2</v>
      </c>
      <c r="K147" s="124">
        <v>0.85</v>
      </c>
      <c r="L147" s="122">
        <v>10</v>
      </c>
      <c r="M147" s="109">
        <v>80000</v>
      </c>
      <c r="N147" s="109">
        <v>28166.639999999999</v>
      </c>
      <c r="O147" s="110">
        <v>6120</v>
      </c>
      <c r="P147" s="111">
        <v>25500</v>
      </c>
      <c r="Q147" s="109">
        <v>0.36401590413943358</v>
      </c>
      <c r="R147" s="112">
        <v>21.840954248366014</v>
      </c>
    </row>
    <row r="148" spans="2:18" hidden="1" x14ac:dyDescent="0.25">
      <c r="B148" s="103">
        <v>147</v>
      </c>
      <c r="C148" s="104" t="s">
        <v>209</v>
      </c>
      <c r="D148" s="105" t="s">
        <v>79</v>
      </c>
      <c r="E148" s="122">
        <v>4000000</v>
      </c>
      <c r="F148" s="122">
        <v>40000</v>
      </c>
      <c r="G148" s="122">
        <v>6.7140000000000004</v>
      </c>
      <c r="H148" s="123"/>
      <c r="I148" s="122">
        <v>40000</v>
      </c>
      <c r="J148" s="122">
        <v>11</v>
      </c>
      <c r="K148" s="124">
        <v>0.85</v>
      </c>
      <c r="L148" s="122">
        <v>10</v>
      </c>
      <c r="M148" s="109">
        <v>640000</v>
      </c>
      <c r="N148" s="109">
        <v>116666.52</v>
      </c>
      <c r="O148" s="110">
        <v>6120</v>
      </c>
      <c r="P148" s="111">
        <v>102000</v>
      </c>
      <c r="Q148" s="109">
        <v>2.3384164488017429</v>
      </c>
      <c r="R148" s="112">
        <v>140.30498692810457</v>
      </c>
    </row>
    <row r="149" spans="2:18" hidden="1" x14ac:dyDescent="0.25">
      <c r="B149" s="103">
        <v>148</v>
      </c>
      <c r="C149" s="104" t="s">
        <v>209</v>
      </c>
      <c r="D149" s="105" t="s">
        <v>237</v>
      </c>
      <c r="E149" s="122">
        <v>2000000</v>
      </c>
      <c r="F149" s="122">
        <v>100000</v>
      </c>
      <c r="G149" s="122">
        <v>1</v>
      </c>
      <c r="H149" s="123">
        <v>0.7</v>
      </c>
      <c r="I149" s="122">
        <v>20000</v>
      </c>
      <c r="J149" s="122">
        <v>5</v>
      </c>
      <c r="K149" s="124">
        <v>0.85</v>
      </c>
      <c r="L149" s="122">
        <v>10</v>
      </c>
      <c r="M149" s="109">
        <v>320000</v>
      </c>
      <c r="N149" s="109">
        <v>261666.6</v>
      </c>
      <c r="O149" s="110">
        <v>6120</v>
      </c>
      <c r="P149" s="111">
        <v>84308.1</v>
      </c>
      <c r="Q149" s="109">
        <v>1.8136565904139432</v>
      </c>
      <c r="R149" s="112">
        <v>108.8193954248366</v>
      </c>
    </row>
    <row r="150" spans="2:18" hidden="1" x14ac:dyDescent="0.25">
      <c r="B150" s="103">
        <v>149</v>
      </c>
      <c r="C150" s="104" t="s">
        <v>209</v>
      </c>
      <c r="D150" s="105" t="s">
        <v>238</v>
      </c>
      <c r="E150" s="122">
        <v>4100000</v>
      </c>
      <c r="F150" s="122">
        <v>205000</v>
      </c>
      <c r="G150" s="122">
        <v>15</v>
      </c>
      <c r="H150" s="123">
        <v>1</v>
      </c>
      <c r="I150" s="122">
        <v>4100</v>
      </c>
      <c r="J150" s="122">
        <v>10</v>
      </c>
      <c r="K150" s="124">
        <v>0.85</v>
      </c>
      <c r="L150" s="122">
        <v>10</v>
      </c>
      <c r="M150" s="109">
        <v>656000</v>
      </c>
      <c r="N150" s="109">
        <v>536083.19999999995</v>
      </c>
      <c r="O150" s="110">
        <v>6120</v>
      </c>
      <c r="P150" s="111">
        <v>724200</v>
      </c>
      <c r="Q150" s="109">
        <v>5.2186361655773412</v>
      </c>
      <c r="R150" s="112">
        <v>313.11816993464049</v>
      </c>
    </row>
    <row r="151" spans="2:18" hidden="1" x14ac:dyDescent="0.25">
      <c r="B151" s="103">
        <v>150</v>
      </c>
      <c r="C151" s="104" t="s">
        <v>209</v>
      </c>
      <c r="D151" s="121" t="s">
        <v>239</v>
      </c>
      <c r="E151" s="122">
        <v>5000000</v>
      </c>
      <c r="F151" s="122">
        <v>75000</v>
      </c>
      <c r="G151" s="122">
        <v>8</v>
      </c>
      <c r="H151" s="123">
        <v>0.7</v>
      </c>
      <c r="I151" s="122">
        <v>30000</v>
      </c>
      <c r="J151" s="122">
        <v>6</v>
      </c>
      <c r="K151" s="124">
        <v>0.85</v>
      </c>
      <c r="L151" s="122">
        <v>10</v>
      </c>
      <c r="M151" s="109">
        <v>800000</v>
      </c>
      <c r="N151" s="109">
        <v>199249.92000000001</v>
      </c>
      <c r="O151" s="110">
        <v>6120</v>
      </c>
      <c r="P151" s="111">
        <v>342964.8</v>
      </c>
      <c r="Q151" s="125">
        <v>3.6552688453159039</v>
      </c>
      <c r="R151" s="112">
        <v>219.31613071895424</v>
      </c>
    </row>
    <row r="152" spans="2:18" hidden="1" x14ac:dyDescent="0.25">
      <c r="B152" s="103">
        <v>151</v>
      </c>
      <c r="C152" s="104" t="s">
        <v>209</v>
      </c>
      <c r="D152" s="105" t="s">
        <v>240</v>
      </c>
      <c r="E152" s="122">
        <v>1725000</v>
      </c>
      <c r="F152" s="122">
        <v>34500</v>
      </c>
      <c r="G152" s="122">
        <v>4.59375</v>
      </c>
      <c r="H152" s="123"/>
      <c r="I152" s="122">
        <v>34500</v>
      </c>
      <c r="J152" s="122">
        <v>2</v>
      </c>
      <c r="K152" s="124">
        <v>0.85</v>
      </c>
      <c r="L152" s="122">
        <v>10</v>
      </c>
      <c r="M152" s="109">
        <v>276000</v>
      </c>
      <c r="N152" s="109">
        <v>90641.64</v>
      </c>
      <c r="O152" s="110">
        <v>6120</v>
      </c>
      <c r="P152" s="111">
        <v>87975</v>
      </c>
      <c r="Q152" s="109">
        <v>1.2380627450980393</v>
      </c>
      <c r="R152" s="112">
        <v>74.283764705882362</v>
      </c>
    </row>
    <row r="153" spans="2:18" hidden="1" x14ac:dyDescent="0.25">
      <c r="B153" s="103">
        <v>152</v>
      </c>
      <c r="C153" s="104" t="s">
        <v>209</v>
      </c>
      <c r="D153" s="121" t="s">
        <v>241</v>
      </c>
      <c r="E153" s="122">
        <v>5791500</v>
      </c>
      <c r="F153" s="122">
        <v>68850</v>
      </c>
      <c r="G153" s="122">
        <v>8</v>
      </c>
      <c r="H153" s="123">
        <v>0.7</v>
      </c>
      <c r="I153" s="122">
        <v>68850</v>
      </c>
      <c r="J153" s="122">
        <v>6</v>
      </c>
      <c r="K153" s="124">
        <v>0.85</v>
      </c>
      <c r="L153" s="122">
        <v>10</v>
      </c>
      <c r="M153" s="109">
        <v>926640</v>
      </c>
      <c r="N153" s="109">
        <v>183567.42</v>
      </c>
      <c r="O153" s="110">
        <v>6120</v>
      </c>
      <c r="P153" s="111">
        <v>442032.3</v>
      </c>
      <c r="Q153" s="125">
        <v>4.2272323529411766</v>
      </c>
      <c r="R153" s="112">
        <v>253.63394117647059</v>
      </c>
    </row>
    <row r="154" spans="2:18" hidden="1" x14ac:dyDescent="0.25">
      <c r="B154" s="103">
        <v>153</v>
      </c>
      <c r="C154" s="104" t="s">
        <v>209</v>
      </c>
      <c r="D154" s="105" t="s">
        <v>242</v>
      </c>
      <c r="E154" s="122">
        <v>1800000</v>
      </c>
      <c r="F154" s="122">
        <v>3779.9999999999995</v>
      </c>
      <c r="G154" s="122">
        <v>5.88</v>
      </c>
      <c r="H154" s="123"/>
      <c r="I154" s="122">
        <v>147780</v>
      </c>
      <c r="J154" s="122">
        <v>5</v>
      </c>
      <c r="K154" s="124">
        <v>0.85</v>
      </c>
      <c r="L154" s="122">
        <v>10</v>
      </c>
      <c r="M154" s="109">
        <v>288000</v>
      </c>
      <c r="N154" s="109">
        <v>16305.599999999999</v>
      </c>
      <c r="O154" s="110">
        <v>6120</v>
      </c>
      <c r="P154" s="111">
        <v>376839</v>
      </c>
      <c r="Q154" s="109">
        <v>1.8549689542483661</v>
      </c>
      <c r="R154" s="112">
        <v>111.29813725490196</v>
      </c>
    </row>
    <row r="155" spans="2:18" hidden="1" x14ac:dyDescent="0.25">
      <c r="B155" s="103">
        <v>154</v>
      </c>
      <c r="C155" s="104" t="s">
        <v>209</v>
      </c>
      <c r="D155" s="105" t="s">
        <v>243</v>
      </c>
      <c r="E155" s="122">
        <v>7500000</v>
      </c>
      <c r="F155" s="122">
        <v>150000</v>
      </c>
      <c r="G155" s="122">
        <v>35</v>
      </c>
      <c r="H155" s="123"/>
      <c r="I155" s="122">
        <v>150000</v>
      </c>
      <c r="J155" s="122">
        <v>6</v>
      </c>
      <c r="K155" s="124">
        <v>0.85</v>
      </c>
      <c r="L155" s="122">
        <v>10</v>
      </c>
      <c r="M155" s="109">
        <v>1200000</v>
      </c>
      <c r="N155" s="109">
        <v>390499.92</v>
      </c>
      <c r="O155" s="110">
        <v>6120</v>
      </c>
      <c r="P155" s="111">
        <v>382500</v>
      </c>
      <c r="Q155" s="109">
        <v>5.3730934640522872</v>
      </c>
      <c r="R155" s="112">
        <v>322.38560784313722</v>
      </c>
    </row>
    <row r="156" spans="2:18" hidden="1" x14ac:dyDescent="0.25">
      <c r="B156" s="103">
        <v>155</v>
      </c>
      <c r="C156" s="104" t="s">
        <v>209</v>
      </c>
      <c r="D156" s="105" t="s">
        <v>244</v>
      </c>
      <c r="E156" s="122">
        <v>5791500</v>
      </c>
      <c r="F156" s="122">
        <v>68850</v>
      </c>
      <c r="G156" s="122">
        <v>0.7</v>
      </c>
      <c r="H156" s="123"/>
      <c r="I156" s="122">
        <v>68850</v>
      </c>
      <c r="J156" s="122">
        <v>6</v>
      </c>
      <c r="K156" s="124">
        <v>0.85</v>
      </c>
      <c r="L156" s="122">
        <v>10</v>
      </c>
      <c r="M156" s="109">
        <v>926640</v>
      </c>
      <c r="N156" s="109">
        <v>183567.42</v>
      </c>
      <c r="O156" s="110">
        <v>6120</v>
      </c>
      <c r="P156" s="111">
        <v>175567.5</v>
      </c>
      <c r="Q156" s="109">
        <v>3.5015656862745095</v>
      </c>
      <c r="R156" s="112">
        <v>210.09394117647057</v>
      </c>
    </row>
    <row r="157" spans="2:18" hidden="1" x14ac:dyDescent="0.25">
      <c r="B157" s="103">
        <v>156</v>
      </c>
      <c r="C157" s="104" t="s">
        <v>209</v>
      </c>
      <c r="D157" s="119" t="s">
        <v>245</v>
      </c>
      <c r="E157" s="122">
        <v>15000000</v>
      </c>
      <c r="F157" s="122">
        <v>120000</v>
      </c>
      <c r="G157" s="122">
        <v>15</v>
      </c>
      <c r="H157" s="123">
        <v>0.7</v>
      </c>
      <c r="I157" s="122">
        <v>350000</v>
      </c>
      <c r="J157" s="122">
        <v>15</v>
      </c>
      <c r="K157" s="124">
        <v>0.85</v>
      </c>
      <c r="L157" s="122">
        <v>10</v>
      </c>
      <c r="M157" s="109">
        <v>2400000</v>
      </c>
      <c r="N157" s="109">
        <v>325999.8</v>
      </c>
      <c r="O157" s="110">
        <v>6120</v>
      </c>
      <c r="P157" s="111">
        <v>1392121.5</v>
      </c>
      <c r="Q157" s="109">
        <v>11.214927287581698</v>
      </c>
      <c r="R157" s="112">
        <v>672.89563725490189</v>
      </c>
    </row>
    <row r="158" spans="2:18" hidden="1" x14ac:dyDescent="0.25">
      <c r="B158" s="103">
        <v>157</v>
      </c>
      <c r="C158" s="104" t="s">
        <v>209</v>
      </c>
      <c r="D158" s="119" t="s">
        <v>246</v>
      </c>
      <c r="E158" s="122">
        <v>2000000.0000000021</v>
      </c>
      <c r="F158" s="122">
        <v>120000</v>
      </c>
      <c r="G158" s="122">
        <v>15</v>
      </c>
      <c r="H158" s="123">
        <v>0.7</v>
      </c>
      <c r="I158" s="122">
        <v>350000</v>
      </c>
      <c r="J158" s="122">
        <v>15</v>
      </c>
      <c r="K158" s="124">
        <v>0.85</v>
      </c>
      <c r="L158" s="122">
        <v>10</v>
      </c>
      <c r="M158" s="109">
        <v>320000.00000000035</v>
      </c>
      <c r="N158" s="109">
        <v>325999.8</v>
      </c>
      <c r="O158" s="110">
        <v>6120</v>
      </c>
      <c r="P158" s="111">
        <v>1392121.5</v>
      </c>
      <c r="Q158" s="109">
        <v>5.5504392701525065</v>
      </c>
      <c r="R158" s="112">
        <v>333.02635620915038</v>
      </c>
    </row>
    <row r="159" spans="2:18" hidden="1" x14ac:dyDescent="0.25">
      <c r="B159" s="103">
        <v>158</v>
      </c>
      <c r="C159" s="104" t="s">
        <v>209</v>
      </c>
      <c r="D159" s="105" t="s">
        <v>247</v>
      </c>
      <c r="E159" s="122">
        <v>14758625</v>
      </c>
      <c r="F159" s="122">
        <v>737931.25</v>
      </c>
      <c r="G159" s="122">
        <v>75</v>
      </c>
      <c r="H159" s="123">
        <v>0.7</v>
      </c>
      <c r="I159" s="122">
        <v>150000</v>
      </c>
      <c r="J159" s="122">
        <v>30</v>
      </c>
      <c r="K159" s="124">
        <v>0.85</v>
      </c>
      <c r="L159" s="122">
        <v>10</v>
      </c>
      <c r="M159" s="109">
        <v>2361380</v>
      </c>
      <c r="N159" s="109">
        <v>1921724.2875000001</v>
      </c>
      <c r="O159" s="110">
        <v>6120</v>
      </c>
      <c r="P159" s="111">
        <v>2880607.5</v>
      </c>
      <c r="Q159" s="109">
        <v>19.509019029139434</v>
      </c>
      <c r="R159" s="112">
        <v>1170.541141748366</v>
      </c>
    </row>
    <row r="160" spans="2:18" hidden="1" x14ac:dyDescent="0.25">
      <c r="B160" s="103">
        <v>159</v>
      </c>
      <c r="C160" s="104" t="s">
        <v>209</v>
      </c>
      <c r="D160" s="144" t="s">
        <v>248</v>
      </c>
      <c r="E160" s="122">
        <v>12000000</v>
      </c>
      <c r="F160" s="122">
        <v>600000</v>
      </c>
      <c r="G160" s="122">
        <v>26</v>
      </c>
      <c r="H160" s="123">
        <v>0.7</v>
      </c>
      <c r="I160" s="122">
        <v>240000</v>
      </c>
      <c r="J160" s="122">
        <v>75</v>
      </c>
      <c r="K160" s="124">
        <v>0.85</v>
      </c>
      <c r="L160" s="122">
        <v>10</v>
      </c>
      <c r="M160" s="109">
        <v>1920000</v>
      </c>
      <c r="N160" s="109">
        <v>1629999</v>
      </c>
      <c r="O160" s="110">
        <v>6120</v>
      </c>
      <c r="P160" s="111">
        <v>1478010.6</v>
      </c>
      <c r="Q160" s="109">
        <v>13.692836601307189</v>
      </c>
      <c r="R160" s="112">
        <v>821.57019607843131</v>
      </c>
    </row>
    <row r="161" spans="2:18" hidden="1" x14ac:dyDescent="0.25">
      <c r="B161" s="103">
        <v>160</v>
      </c>
      <c r="C161" s="104" t="s">
        <v>209</v>
      </c>
      <c r="D161" s="143" t="s">
        <v>68</v>
      </c>
      <c r="E161" s="122">
        <v>17600000</v>
      </c>
      <c r="F161" s="122">
        <v>176000</v>
      </c>
      <c r="G161" s="122">
        <v>25</v>
      </c>
      <c r="H161" s="123"/>
      <c r="I161" s="122">
        <v>176000</v>
      </c>
      <c r="J161" s="122">
        <v>16</v>
      </c>
      <c r="K161" s="124">
        <v>0.85</v>
      </c>
      <c r="L161" s="122">
        <v>10</v>
      </c>
      <c r="M161" s="109">
        <v>2816000</v>
      </c>
      <c r="N161" s="109">
        <v>470133.12</v>
      </c>
      <c r="O161" s="110">
        <v>6120</v>
      </c>
      <c r="P161" s="111">
        <v>448800</v>
      </c>
      <c r="Q161" s="109">
        <v>10.171386492374728</v>
      </c>
      <c r="R161" s="112">
        <v>610.28318954248368</v>
      </c>
    </row>
    <row r="162" spans="2:18" hidden="1" x14ac:dyDescent="0.25">
      <c r="B162" s="103">
        <v>161</v>
      </c>
      <c r="C162" s="104" t="s">
        <v>209</v>
      </c>
      <c r="D162" s="126" t="s">
        <v>249</v>
      </c>
      <c r="E162" s="122">
        <v>18649220</v>
      </c>
      <c r="F162" s="122">
        <v>745968.8</v>
      </c>
      <c r="G162" s="122">
        <v>11.25</v>
      </c>
      <c r="H162" s="123">
        <v>0.7</v>
      </c>
      <c r="I162" s="122">
        <v>372984.4</v>
      </c>
      <c r="J162" s="122">
        <v>10</v>
      </c>
      <c r="K162" s="124">
        <v>0.85</v>
      </c>
      <c r="L162" s="122">
        <v>10</v>
      </c>
      <c r="M162" s="109">
        <v>2983875.2</v>
      </c>
      <c r="N162" s="109">
        <v>1915553.64</v>
      </c>
      <c r="O162" s="110">
        <v>6120</v>
      </c>
      <c r="P162" s="111">
        <v>1325826.3450000002</v>
      </c>
      <c r="Q162" s="109">
        <v>16.953309327342048</v>
      </c>
      <c r="R162" s="112">
        <v>1017.1985596405228</v>
      </c>
    </row>
    <row r="163" spans="2:18" x14ac:dyDescent="0.25">
      <c r="B163" s="103">
        <v>162</v>
      </c>
      <c r="C163" s="104" t="s">
        <v>209</v>
      </c>
      <c r="D163" s="105" t="s">
        <v>74</v>
      </c>
      <c r="E163" s="122">
        <v>3500000</v>
      </c>
      <c r="F163" s="122">
        <v>35000</v>
      </c>
      <c r="G163" s="122">
        <v>15</v>
      </c>
      <c r="H163" s="123"/>
      <c r="I163" s="122">
        <v>175000</v>
      </c>
      <c r="J163" s="122">
        <v>20</v>
      </c>
      <c r="K163" s="124">
        <v>0.85</v>
      </c>
      <c r="L163" s="122">
        <v>10</v>
      </c>
      <c r="M163" s="109">
        <v>560000</v>
      </c>
      <c r="N163" s="109">
        <v>115916.4</v>
      </c>
      <c r="O163" s="110">
        <v>6120</v>
      </c>
      <c r="P163" s="111">
        <v>446250</v>
      </c>
      <c r="Q163" s="109">
        <v>3.0560087145969494</v>
      </c>
      <c r="R163" s="112">
        <v>183.36052287581697</v>
      </c>
    </row>
    <row r="164" spans="2:18" x14ac:dyDescent="0.25">
      <c r="B164" s="103">
        <v>163</v>
      </c>
      <c r="C164" s="104" t="s">
        <v>209</v>
      </c>
      <c r="D164" s="105" t="s">
        <v>250</v>
      </c>
      <c r="E164" s="122">
        <v>3500000</v>
      </c>
      <c r="F164" s="122">
        <v>70000</v>
      </c>
      <c r="G164" s="122">
        <v>29.75</v>
      </c>
      <c r="H164" s="123">
        <v>0.7</v>
      </c>
      <c r="I164" s="122">
        <v>35000</v>
      </c>
      <c r="J164" s="122">
        <v>10</v>
      </c>
      <c r="K164" s="124">
        <v>0.85</v>
      </c>
      <c r="L164" s="122">
        <v>10</v>
      </c>
      <c r="M164" s="109">
        <v>560000</v>
      </c>
      <c r="N164" s="109">
        <v>191833.2</v>
      </c>
      <c r="O164" s="110">
        <v>6120</v>
      </c>
      <c r="P164" s="111">
        <v>1080165.9749999999</v>
      </c>
      <c r="Q164" s="109">
        <v>4.9891045070806097</v>
      </c>
      <c r="R164" s="112">
        <v>299.34627042483658</v>
      </c>
    </row>
    <row r="165" spans="2:18" hidden="1" x14ac:dyDescent="0.25">
      <c r="B165" s="103">
        <v>164</v>
      </c>
      <c r="C165" s="104" t="s">
        <v>209</v>
      </c>
      <c r="D165" s="105" t="s">
        <v>251</v>
      </c>
      <c r="E165" s="122">
        <v>2000000</v>
      </c>
      <c r="F165" s="122">
        <v>100000</v>
      </c>
      <c r="G165" s="122">
        <v>10</v>
      </c>
      <c r="H165" s="123">
        <v>0.7</v>
      </c>
      <c r="I165" s="122">
        <v>70000</v>
      </c>
      <c r="J165" s="122">
        <v>16</v>
      </c>
      <c r="K165" s="124">
        <v>0.85</v>
      </c>
      <c r="L165" s="122">
        <v>10</v>
      </c>
      <c r="M165" s="109">
        <v>320000</v>
      </c>
      <c r="N165" s="109">
        <v>276333.12</v>
      </c>
      <c r="O165" s="110">
        <v>6120</v>
      </c>
      <c r="P165" s="111">
        <v>511581</v>
      </c>
      <c r="Q165" s="109">
        <v>3.0171953159041398</v>
      </c>
      <c r="R165" s="112">
        <v>181.03171895424839</v>
      </c>
    </row>
    <row r="166" spans="2:18" hidden="1" x14ac:dyDescent="0.25">
      <c r="B166" s="103">
        <v>165</v>
      </c>
      <c r="C166" s="104" t="s">
        <v>209</v>
      </c>
      <c r="D166" s="105" t="s">
        <v>252</v>
      </c>
      <c r="E166" s="122">
        <v>600000</v>
      </c>
      <c r="F166" s="122">
        <v>12000</v>
      </c>
      <c r="G166" s="122">
        <v>5</v>
      </c>
      <c r="H166" s="123"/>
      <c r="I166" s="122">
        <v>12000</v>
      </c>
      <c r="J166" s="122">
        <v>2</v>
      </c>
      <c r="K166" s="124">
        <v>0.85</v>
      </c>
      <c r="L166" s="122">
        <v>10</v>
      </c>
      <c r="M166" s="109">
        <v>96000</v>
      </c>
      <c r="N166" s="109">
        <v>33266.639999999999</v>
      </c>
      <c r="O166" s="110">
        <v>6120</v>
      </c>
      <c r="P166" s="111">
        <v>30600</v>
      </c>
      <c r="Q166" s="109">
        <v>0.43536666666666674</v>
      </c>
      <c r="R166" s="112">
        <v>26.122000000000003</v>
      </c>
    </row>
    <row r="167" spans="2:18" hidden="1" x14ac:dyDescent="0.25">
      <c r="B167" s="103">
        <v>166</v>
      </c>
      <c r="C167" s="104" t="s">
        <v>209</v>
      </c>
      <c r="D167" s="105" t="s">
        <v>59</v>
      </c>
      <c r="E167" s="122">
        <v>750000</v>
      </c>
      <c r="F167" s="122">
        <v>7500</v>
      </c>
      <c r="G167" s="122">
        <v>5</v>
      </c>
      <c r="H167" s="123"/>
      <c r="I167" s="122">
        <v>7500</v>
      </c>
      <c r="J167" s="122">
        <v>4</v>
      </c>
      <c r="K167" s="124">
        <v>0.85</v>
      </c>
      <c r="L167" s="122">
        <v>10</v>
      </c>
      <c r="M167" s="109">
        <v>120000</v>
      </c>
      <c r="N167" s="109">
        <v>24458.28</v>
      </c>
      <c r="O167" s="110">
        <v>6120</v>
      </c>
      <c r="P167" s="111">
        <v>19125</v>
      </c>
      <c r="Q167" s="109">
        <v>0.44548823529411763</v>
      </c>
      <c r="R167" s="112">
        <v>26.729294117647058</v>
      </c>
    </row>
    <row r="168" spans="2:18" hidden="1" x14ac:dyDescent="0.25">
      <c r="B168" s="103">
        <v>167</v>
      </c>
      <c r="C168" s="104" t="s">
        <v>209</v>
      </c>
      <c r="D168" s="140" t="s">
        <v>253</v>
      </c>
      <c r="E168" s="122">
        <v>20000000</v>
      </c>
      <c r="F168" s="122">
        <v>1000000</v>
      </c>
      <c r="G168" s="122">
        <v>10</v>
      </c>
      <c r="H168" s="123">
        <v>1</v>
      </c>
      <c r="I168" s="122">
        <v>400000</v>
      </c>
      <c r="J168" s="122">
        <v>8</v>
      </c>
      <c r="K168" s="124">
        <v>0.85</v>
      </c>
      <c r="L168" s="122">
        <v>10</v>
      </c>
      <c r="M168" s="109">
        <v>3200000</v>
      </c>
      <c r="N168" s="109">
        <v>2560666.56</v>
      </c>
      <c r="O168" s="110">
        <v>6120</v>
      </c>
      <c r="P168" s="111">
        <v>1495830</v>
      </c>
      <c r="Q168" s="109">
        <v>19.761700871459698</v>
      </c>
      <c r="R168" s="112">
        <v>1185.7020522875819</v>
      </c>
    </row>
    <row r="169" spans="2:18" hidden="1" x14ac:dyDescent="0.25">
      <c r="B169" s="103">
        <v>168</v>
      </c>
      <c r="C169" s="104" t="s">
        <v>209</v>
      </c>
      <c r="D169" s="105" t="s">
        <v>254</v>
      </c>
      <c r="E169" s="122">
        <v>3000000</v>
      </c>
      <c r="F169" s="122">
        <v>60000</v>
      </c>
      <c r="G169" s="122">
        <v>29.75</v>
      </c>
      <c r="H169" s="123">
        <v>0.7</v>
      </c>
      <c r="I169" s="122">
        <v>30000</v>
      </c>
      <c r="J169" s="122">
        <v>10</v>
      </c>
      <c r="K169" s="124">
        <v>0.85</v>
      </c>
      <c r="L169" s="122">
        <v>10</v>
      </c>
      <c r="M169" s="109">
        <v>480000</v>
      </c>
      <c r="N169" s="109">
        <v>166333.20000000001</v>
      </c>
      <c r="O169" s="110">
        <v>6120</v>
      </c>
      <c r="P169" s="111">
        <v>1067415.9749999999</v>
      </c>
      <c r="Q169" s="109">
        <v>4.6670729166666662</v>
      </c>
      <c r="R169" s="112">
        <v>280.02437499999996</v>
      </c>
    </row>
    <row r="170" spans="2:18" hidden="1" x14ac:dyDescent="0.25">
      <c r="B170" s="103">
        <v>169</v>
      </c>
      <c r="C170" s="104" t="s">
        <v>209</v>
      </c>
      <c r="D170" s="105" t="s">
        <v>255</v>
      </c>
      <c r="E170" s="122">
        <v>500000</v>
      </c>
      <c r="F170" s="122">
        <v>10000</v>
      </c>
      <c r="G170" s="122">
        <v>5</v>
      </c>
      <c r="H170" s="123"/>
      <c r="I170" s="122">
        <v>10000</v>
      </c>
      <c r="J170" s="122"/>
      <c r="K170" s="124">
        <v>0.85</v>
      </c>
      <c r="L170" s="122">
        <v>10</v>
      </c>
      <c r="M170" s="109">
        <v>80000</v>
      </c>
      <c r="N170" s="109">
        <v>25500</v>
      </c>
      <c r="O170" s="110">
        <v>6120</v>
      </c>
      <c r="P170" s="111">
        <v>25500</v>
      </c>
      <c r="Q170" s="109">
        <v>0.35675381263616557</v>
      </c>
      <c r="R170" s="112">
        <v>21.405228758169933</v>
      </c>
    </row>
    <row r="171" spans="2:18" hidden="1" x14ac:dyDescent="0.25">
      <c r="B171" s="103">
        <v>170</v>
      </c>
      <c r="C171" s="104" t="s">
        <v>209</v>
      </c>
      <c r="D171" s="105" t="s">
        <v>69</v>
      </c>
      <c r="E171" s="122">
        <v>600000</v>
      </c>
      <c r="F171" s="122">
        <v>6000</v>
      </c>
      <c r="G171" s="122">
        <v>2</v>
      </c>
      <c r="H171" s="123"/>
      <c r="I171" s="122">
        <v>6000</v>
      </c>
      <c r="J171" s="122">
        <v>5</v>
      </c>
      <c r="K171" s="124">
        <v>0.85</v>
      </c>
      <c r="L171" s="122">
        <v>10</v>
      </c>
      <c r="M171" s="109">
        <v>96000</v>
      </c>
      <c r="N171" s="109">
        <v>21966.6</v>
      </c>
      <c r="O171" s="110">
        <v>6120</v>
      </c>
      <c r="P171" s="111">
        <v>15300</v>
      </c>
      <c r="Q171" s="109">
        <v>0.36292647058823529</v>
      </c>
      <c r="R171" s="112">
        <v>21.775588235294119</v>
      </c>
    </row>
    <row r="172" spans="2:18" hidden="1" x14ac:dyDescent="0.25">
      <c r="B172" s="103">
        <v>171</v>
      </c>
      <c r="C172" s="104" t="s">
        <v>209</v>
      </c>
      <c r="D172" s="145" t="s">
        <v>256</v>
      </c>
      <c r="E172" s="122">
        <v>24607668</v>
      </c>
      <c r="F172" s="122">
        <v>984306.72</v>
      </c>
      <c r="G172" s="122">
        <v>50</v>
      </c>
      <c r="H172" s="123"/>
      <c r="I172" s="122">
        <v>492153.36</v>
      </c>
      <c r="J172" s="122">
        <v>35</v>
      </c>
      <c r="K172" s="124">
        <v>0.85</v>
      </c>
      <c r="L172" s="122">
        <v>10</v>
      </c>
      <c r="M172" s="109">
        <v>3937226.88</v>
      </c>
      <c r="N172" s="109">
        <v>2556648.3360000001</v>
      </c>
      <c r="O172" s="110">
        <v>6120</v>
      </c>
      <c r="P172" s="111">
        <v>1254991.068</v>
      </c>
      <c r="Q172" s="109">
        <v>21.102577026143788</v>
      </c>
      <c r="R172" s="112">
        <v>1266.1546215686274</v>
      </c>
    </row>
    <row r="173" spans="2:18" hidden="1" x14ac:dyDescent="0.25">
      <c r="B173" s="103">
        <v>172</v>
      </c>
      <c r="C173" s="104" t="s">
        <v>257</v>
      </c>
      <c r="D173" s="140" t="s">
        <v>258</v>
      </c>
      <c r="E173" s="146">
        <v>2000000</v>
      </c>
      <c r="F173" s="146">
        <v>20000</v>
      </c>
      <c r="G173" s="146"/>
      <c r="H173" s="147">
        <v>25</v>
      </c>
      <c r="I173" s="146">
        <v>20000</v>
      </c>
      <c r="J173" s="146">
        <v>10</v>
      </c>
      <c r="K173" s="148">
        <v>0.85</v>
      </c>
      <c r="L173" s="146">
        <v>10</v>
      </c>
      <c r="M173" s="109">
        <v>320000</v>
      </c>
      <c r="N173" s="109">
        <v>64333.2</v>
      </c>
      <c r="O173" s="110">
        <v>6120</v>
      </c>
      <c r="P173" s="111">
        <v>51000</v>
      </c>
      <c r="Q173" s="109">
        <v>1.1855479302832244</v>
      </c>
      <c r="R173" s="112">
        <v>71.132875816993462</v>
      </c>
    </row>
    <row r="174" spans="2:18" hidden="1" x14ac:dyDescent="0.25">
      <c r="B174" s="103">
        <v>173</v>
      </c>
      <c r="C174" s="104" t="s">
        <v>257</v>
      </c>
      <c r="D174" s="105" t="s">
        <v>257</v>
      </c>
      <c r="E174" s="146">
        <v>1000000</v>
      </c>
      <c r="F174" s="146">
        <v>40000</v>
      </c>
      <c r="G174" s="146">
        <v>1</v>
      </c>
      <c r="H174" s="147">
        <v>0.7</v>
      </c>
      <c r="I174" s="146">
        <v>20000</v>
      </c>
      <c r="J174" s="146">
        <v>5</v>
      </c>
      <c r="K174" s="148">
        <v>0.85</v>
      </c>
      <c r="L174" s="146">
        <v>10</v>
      </c>
      <c r="M174" s="109">
        <v>160000</v>
      </c>
      <c r="N174" s="109">
        <v>108666.6</v>
      </c>
      <c r="O174" s="110">
        <v>6120</v>
      </c>
      <c r="P174" s="111">
        <v>84308.1</v>
      </c>
      <c r="Q174" s="109">
        <v>0.96126007625272325</v>
      </c>
      <c r="R174" s="112">
        <v>57.675604575163398</v>
      </c>
    </row>
    <row r="175" spans="2:18" hidden="1" x14ac:dyDescent="0.25">
      <c r="B175" s="103">
        <v>174</v>
      </c>
      <c r="C175" s="104" t="s">
        <v>257</v>
      </c>
      <c r="D175" s="149" t="s">
        <v>259</v>
      </c>
      <c r="E175" s="146">
        <v>130000</v>
      </c>
      <c r="F175" s="146">
        <v>6500</v>
      </c>
      <c r="G175" s="146">
        <v>4</v>
      </c>
      <c r="H175" s="147">
        <v>0.7</v>
      </c>
      <c r="I175" s="146">
        <v>2600</v>
      </c>
      <c r="J175" s="146">
        <v>6</v>
      </c>
      <c r="K175" s="148">
        <v>0.85</v>
      </c>
      <c r="L175" s="146">
        <v>10</v>
      </c>
      <c r="M175" s="109">
        <v>20800</v>
      </c>
      <c r="N175" s="109">
        <v>24574.92</v>
      </c>
      <c r="O175" s="110">
        <v>6120</v>
      </c>
      <c r="P175" s="111">
        <v>139862.39999999999</v>
      </c>
      <c r="Q175" s="109">
        <v>0.50445893246187368</v>
      </c>
      <c r="R175" s="112">
        <v>30.267535947712421</v>
      </c>
    </row>
    <row r="176" spans="2:18" hidden="1" x14ac:dyDescent="0.25">
      <c r="B176" s="103">
        <v>175</v>
      </c>
      <c r="C176" s="104" t="s">
        <v>257</v>
      </c>
      <c r="D176" s="149" t="s">
        <v>260</v>
      </c>
      <c r="E176" s="146">
        <v>12000000</v>
      </c>
      <c r="F176" s="146">
        <v>800000</v>
      </c>
      <c r="G176" s="146">
        <v>24</v>
      </c>
      <c r="H176" s="147">
        <v>0.7</v>
      </c>
      <c r="I176" s="146">
        <v>60000</v>
      </c>
      <c r="J176" s="146">
        <v>20</v>
      </c>
      <c r="K176" s="148">
        <v>0.85</v>
      </c>
      <c r="L176" s="146">
        <v>10</v>
      </c>
      <c r="M176" s="109">
        <v>1920000</v>
      </c>
      <c r="N176" s="109">
        <v>2066666.4</v>
      </c>
      <c r="O176" s="110">
        <v>6120</v>
      </c>
      <c r="P176" s="111">
        <v>952394.39999999991</v>
      </c>
      <c r="Q176" s="109">
        <v>13.450601307189542</v>
      </c>
      <c r="R176" s="112">
        <v>807.03607843137252</v>
      </c>
    </row>
    <row r="177" spans="2:18" hidden="1" x14ac:dyDescent="0.25">
      <c r="B177" s="103">
        <v>176</v>
      </c>
      <c r="C177" s="104" t="s">
        <v>257</v>
      </c>
      <c r="D177" s="105" t="s">
        <v>261</v>
      </c>
      <c r="E177" s="146">
        <v>1000000</v>
      </c>
      <c r="F177" s="146">
        <v>50000</v>
      </c>
      <c r="G177" s="146">
        <v>5</v>
      </c>
      <c r="H177" s="147">
        <v>0.6</v>
      </c>
      <c r="I177" s="146">
        <v>20000</v>
      </c>
      <c r="J177" s="146">
        <v>25</v>
      </c>
      <c r="K177" s="148">
        <v>0.85</v>
      </c>
      <c r="L177" s="146">
        <v>10</v>
      </c>
      <c r="M177" s="109">
        <v>160000</v>
      </c>
      <c r="N177" s="109">
        <v>160833</v>
      </c>
      <c r="O177" s="110">
        <v>6120</v>
      </c>
      <c r="P177" s="111">
        <v>193749</v>
      </c>
      <c r="Q177" s="109">
        <v>1.4013671023965142</v>
      </c>
      <c r="R177" s="112">
        <v>84.082026143790856</v>
      </c>
    </row>
    <row r="178" spans="2:18" hidden="1" x14ac:dyDescent="0.25">
      <c r="B178" s="103">
        <v>177</v>
      </c>
      <c r="C178" s="104" t="s">
        <v>257</v>
      </c>
      <c r="D178" s="105" t="s">
        <v>262</v>
      </c>
      <c r="E178" s="146">
        <v>500000</v>
      </c>
      <c r="F178" s="146">
        <v>5000</v>
      </c>
      <c r="G178" s="146">
        <v>25</v>
      </c>
      <c r="H178" s="147"/>
      <c r="I178" s="146">
        <v>5000</v>
      </c>
      <c r="J178" s="146">
        <v>2</v>
      </c>
      <c r="K178" s="148">
        <v>0.85</v>
      </c>
      <c r="L178" s="146">
        <v>10</v>
      </c>
      <c r="M178" s="109">
        <v>80000</v>
      </c>
      <c r="N178" s="109">
        <v>15416.64</v>
      </c>
      <c r="O178" s="110">
        <v>6120</v>
      </c>
      <c r="P178" s="111">
        <v>12750</v>
      </c>
      <c r="Q178" s="109">
        <v>0.2945714596949891</v>
      </c>
      <c r="R178" s="112">
        <v>17.674287581699346</v>
      </c>
    </row>
    <row r="179" spans="2:18" hidden="1" x14ac:dyDescent="0.25">
      <c r="B179" s="103">
        <v>178</v>
      </c>
      <c r="C179" s="104" t="s">
        <v>257</v>
      </c>
      <c r="D179" s="143" t="s">
        <v>263</v>
      </c>
      <c r="E179" s="146">
        <v>1800000</v>
      </c>
      <c r="F179" s="146">
        <v>90000</v>
      </c>
      <c r="G179" s="146">
        <v>7.5</v>
      </c>
      <c r="H179" s="147">
        <v>0.7</v>
      </c>
      <c r="I179" s="146">
        <v>36000</v>
      </c>
      <c r="J179" s="146">
        <v>10</v>
      </c>
      <c r="K179" s="148">
        <v>0.85</v>
      </c>
      <c r="L179" s="146">
        <v>10</v>
      </c>
      <c r="M179" s="109">
        <v>288000</v>
      </c>
      <c r="N179" s="109">
        <v>242833.2</v>
      </c>
      <c r="O179" s="110">
        <v>6120</v>
      </c>
      <c r="P179" s="111">
        <v>341610.74999999994</v>
      </c>
      <c r="Q179" s="109">
        <v>2.375936683006536</v>
      </c>
      <c r="R179" s="112">
        <v>142.55620098039216</v>
      </c>
    </row>
    <row r="180" spans="2:18" hidden="1" x14ac:dyDescent="0.25">
      <c r="B180" s="103">
        <v>179</v>
      </c>
      <c r="C180" s="104" t="s">
        <v>257</v>
      </c>
      <c r="D180" s="105" t="s">
        <v>264</v>
      </c>
      <c r="E180" s="146">
        <v>800000</v>
      </c>
      <c r="F180" s="146">
        <v>40000</v>
      </c>
      <c r="G180" s="146">
        <v>5</v>
      </c>
      <c r="H180" s="147"/>
      <c r="I180" s="146">
        <v>80000</v>
      </c>
      <c r="J180" s="146">
        <v>10</v>
      </c>
      <c r="K180" s="148">
        <v>0.85</v>
      </c>
      <c r="L180" s="146">
        <v>10</v>
      </c>
      <c r="M180" s="109">
        <v>128000</v>
      </c>
      <c r="N180" s="109">
        <v>115333.2</v>
      </c>
      <c r="O180" s="110">
        <v>6120</v>
      </c>
      <c r="P180" s="111">
        <v>204000</v>
      </c>
      <c r="Q180" s="109">
        <v>1.218227668845316</v>
      </c>
      <c r="R180" s="112">
        <v>73.093660130718959</v>
      </c>
    </row>
    <row r="181" spans="2:18" hidden="1" x14ac:dyDescent="0.25">
      <c r="B181" s="103">
        <v>180</v>
      </c>
      <c r="C181" s="104" t="s">
        <v>257</v>
      </c>
      <c r="D181" s="121" t="s">
        <v>265</v>
      </c>
      <c r="E181" s="116">
        <v>5000000</v>
      </c>
      <c r="F181" s="116">
        <v>50000</v>
      </c>
      <c r="G181" s="116">
        <v>15</v>
      </c>
      <c r="H181" s="117"/>
      <c r="I181" s="116">
        <v>50000</v>
      </c>
      <c r="J181" s="116">
        <v>8</v>
      </c>
      <c r="K181" s="118">
        <v>0.85</v>
      </c>
      <c r="L181" s="116">
        <v>10</v>
      </c>
      <c r="M181" s="109">
        <v>800000</v>
      </c>
      <c r="N181" s="109">
        <v>138166.56</v>
      </c>
      <c r="O181" s="110">
        <v>6120</v>
      </c>
      <c r="P181" s="111">
        <v>127500</v>
      </c>
      <c r="Q181" s="109">
        <v>2.9021420479302833</v>
      </c>
      <c r="R181" s="112">
        <v>174.128522875817</v>
      </c>
    </row>
    <row r="182" spans="2:18" hidden="1" x14ac:dyDescent="0.25">
      <c r="B182" s="103">
        <v>181</v>
      </c>
      <c r="C182" s="104" t="s">
        <v>257</v>
      </c>
      <c r="D182" s="105" t="s">
        <v>266</v>
      </c>
      <c r="E182" s="146">
        <v>64000000</v>
      </c>
      <c r="F182" s="146">
        <v>640000</v>
      </c>
      <c r="G182" s="146">
        <v>20</v>
      </c>
      <c r="H182" s="147"/>
      <c r="I182" s="146">
        <v>3200000</v>
      </c>
      <c r="J182" s="146">
        <v>15</v>
      </c>
      <c r="K182" s="148">
        <v>0.85</v>
      </c>
      <c r="L182" s="146">
        <v>10</v>
      </c>
      <c r="M182" s="109">
        <v>10240000</v>
      </c>
      <c r="N182" s="109">
        <v>1651999.8</v>
      </c>
      <c r="O182" s="110">
        <v>6120</v>
      </c>
      <c r="P182" s="111">
        <v>8160000</v>
      </c>
      <c r="Q182" s="109">
        <v>54.607842592592597</v>
      </c>
      <c r="R182" s="112">
        <v>3276.4705555555556</v>
      </c>
    </row>
    <row r="183" spans="2:18" hidden="1" x14ac:dyDescent="0.25">
      <c r="B183" s="103">
        <v>182</v>
      </c>
      <c r="C183" s="104" t="s">
        <v>257</v>
      </c>
      <c r="D183" s="105" t="s">
        <v>267</v>
      </c>
      <c r="E183" s="146">
        <v>2500000</v>
      </c>
      <c r="F183" s="146">
        <v>125000</v>
      </c>
      <c r="G183" s="146"/>
      <c r="H183" s="147"/>
      <c r="I183" s="146">
        <v>250000</v>
      </c>
      <c r="J183" s="146">
        <v>10</v>
      </c>
      <c r="K183" s="148">
        <v>0.85</v>
      </c>
      <c r="L183" s="146">
        <v>10</v>
      </c>
      <c r="M183" s="109">
        <v>400000</v>
      </c>
      <c r="N183" s="109">
        <v>332083.20000000001</v>
      </c>
      <c r="O183" s="110">
        <v>6120</v>
      </c>
      <c r="P183" s="111">
        <v>637500</v>
      </c>
      <c r="Q183" s="109">
        <v>3.7298017429193902</v>
      </c>
      <c r="R183" s="112">
        <v>223.7881045751634</v>
      </c>
    </row>
    <row r="184" spans="2:18" hidden="1" x14ac:dyDescent="0.25">
      <c r="B184" s="103">
        <v>183</v>
      </c>
      <c r="C184" s="104" t="s">
        <v>257</v>
      </c>
      <c r="D184" s="105" t="s">
        <v>268</v>
      </c>
      <c r="E184" s="146">
        <v>12500000</v>
      </c>
      <c r="F184" s="146">
        <v>800000</v>
      </c>
      <c r="G184" s="146">
        <v>24</v>
      </c>
      <c r="H184" s="147">
        <v>0.7</v>
      </c>
      <c r="I184" s="146">
        <v>62500</v>
      </c>
      <c r="J184" s="146">
        <v>10</v>
      </c>
      <c r="K184" s="148">
        <v>0.85</v>
      </c>
      <c r="L184" s="146">
        <v>10</v>
      </c>
      <c r="M184" s="109">
        <v>2000000</v>
      </c>
      <c r="N184" s="109">
        <v>2053333.2</v>
      </c>
      <c r="O184" s="110">
        <v>6120</v>
      </c>
      <c r="P184" s="111">
        <v>958769.39999999991</v>
      </c>
      <c r="Q184" s="109">
        <v>13.64951688453159</v>
      </c>
      <c r="R184" s="112">
        <v>818.97101307189541</v>
      </c>
    </row>
    <row r="185" spans="2:18" hidden="1" x14ac:dyDescent="0.25">
      <c r="B185" s="103">
        <v>184</v>
      </c>
      <c r="C185" s="104" t="s">
        <v>257</v>
      </c>
      <c r="D185" s="119" t="s">
        <v>269</v>
      </c>
      <c r="E185" s="146">
        <v>4000000</v>
      </c>
      <c r="F185" s="146">
        <v>120000</v>
      </c>
      <c r="G185" s="146">
        <v>50</v>
      </c>
      <c r="H185" s="147">
        <v>0.7</v>
      </c>
      <c r="I185" s="146">
        <v>350000</v>
      </c>
      <c r="J185" s="146">
        <v>20</v>
      </c>
      <c r="K185" s="148">
        <v>0.85</v>
      </c>
      <c r="L185" s="146">
        <v>10</v>
      </c>
      <c r="M185" s="109">
        <v>640000</v>
      </c>
      <c r="N185" s="109">
        <v>332666.40000000002</v>
      </c>
      <c r="O185" s="110">
        <v>6120</v>
      </c>
      <c r="P185" s="111">
        <v>2557905</v>
      </c>
      <c r="Q185" s="109">
        <v>9.6148458605664491</v>
      </c>
      <c r="R185" s="112">
        <v>576.89075163398695</v>
      </c>
    </row>
    <row r="186" spans="2:18" hidden="1" x14ac:dyDescent="0.25">
      <c r="B186" s="103">
        <v>185</v>
      </c>
      <c r="C186" s="104" t="s">
        <v>270</v>
      </c>
      <c r="D186" s="105" t="s">
        <v>77</v>
      </c>
      <c r="E186" s="150">
        <v>3600000</v>
      </c>
      <c r="F186" s="150">
        <v>24000</v>
      </c>
      <c r="G186" s="150">
        <v>24</v>
      </c>
      <c r="H186" s="151"/>
      <c r="I186" s="150">
        <v>446016</v>
      </c>
      <c r="J186" s="150">
        <v>20</v>
      </c>
      <c r="K186" s="152">
        <v>0.85</v>
      </c>
      <c r="L186" s="150">
        <v>10</v>
      </c>
      <c r="M186" s="109">
        <v>576000</v>
      </c>
      <c r="N186" s="109">
        <v>87866.4</v>
      </c>
      <c r="O186" s="110">
        <v>6120</v>
      </c>
      <c r="P186" s="111">
        <v>1137340.8</v>
      </c>
      <c r="Q186" s="109">
        <v>4.9052483660130717</v>
      </c>
      <c r="R186" s="112">
        <v>294.31490196078431</v>
      </c>
    </row>
    <row r="187" spans="2:18" hidden="1" x14ac:dyDescent="0.25">
      <c r="B187" s="103">
        <v>186</v>
      </c>
      <c r="C187" s="104" t="s">
        <v>270</v>
      </c>
      <c r="D187" s="105" t="s">
        <v>81</v>
      </c>
      <c r="E187" s="150">
        <v>12500000</v>
      </c>
      <c r="F187" s="150">
        <v>83333.333333333328</v>
      </c>
      <c r="G187" s="150">
        <v>62</v>
      </c>
      <c r="H187" s="151"/>
      <c r="I187" s="150">
        <v>446016</v>
      </c>
      <c r="J187" s="150">
        <v>40</v>
      </c>
      <c r="K187" s="152">
        <v>0.85</v>
      </c>
      <c r="L187" s="150">
        <v>10</v>
      </c>
      <c r="M187" s="109">
        <v>2000000</v>
      </c>
      <c r="N187" s="109">
        <v>265832.8</v>
      </c>
      <c r="O187" s="110">
        <v>6120</v>
      </c>
      <c r="P187" s="111">
        <v>1137340.8</v>
      </c>
      <c r="Q187" s="109">
        <v>9.2679019607843145</v>
      </c>
      <c r="R187" s="112">
        <v>556.07411764705887</v>
      </c>
    </row>
    <row r="188" spans="2:18" hidden="1" x14ac:dyDescent="0.25">
      <c r="B188" s="103">
        <v>187</v>
      </c>
      <c r="C188" s="104" t="s">
        <v>270</v>
      </c>
      <c r="D188" s="105" t="s">
        <v>82</v>
      </c>
      <c r="E188" s="150">
        <v>32500000</v>
      </c>
      <c r="F188" s="150">
        <v>216666.66666666666</v>
      </c>
      <c r="G188" s="150">
        <v>120</v>
      </c>
      <c r="H188" s="151"/>
      <c r="I188" s="150">
        <v>446016</v>
      </c>
      <c r="J188" s="150">
        <v>50</v>
      </c>
      <c r="K188" s="152">
        <v>0.85</v>
      </c>
      <c r="L188" s="150">
        <v>10</v>
      </c>
      <c r="M188" s="109">
        <v>5200000</v>
      </c>
      <c r="N188" s="109">
        <v>619166</v>
      </c>
      <c r="O188" s="110">
        <v>6120</v>
      </c>
      <c r="P188" s="111">
        <v>1137340.8</v>
      </c>
      <c r="Q188" s="109">
        <v>18.944735294117649</v>
      </c>
      <c r="R188" s="112">
        <v>1136.6841176470589</v>
      </c>
    </row>
    <row r="189" spans="2:18" hidden="1" x14ac:dyDescent="0.25">
      <c r="B189" s="103">
        <v>188</v>
      </c>
      <c r="C189" s="104" t="s">
        <v>270</v>
      </c>
      <c r="D189" s="105" t="s">
        <v>83</v>
      </c>
      <c r="E189" s="150">
        <v>2500000</v>
      </c>
      <c r="F189" s="150">
        <v>16666.666666666668</v>
      </c>
      <c r="G189" s="150">
        <v>16</v>
      </c>
      <c r="H189" s="151"/>
      <c r="I189" s="150">
        <v>375720</v>
      </c>
      <c r="J189" s="150">
        <v>15</v>
      </c>
      <c r="K189" s="152">
        <v>0.85</v>
      </c>
      <c r="L189" s="150">
        <v>10</v>
      </c>
      <c r="M189" s="109">
        <v>400000</v>
      </c>
      <c r="N189" s="109">
        <v>62499.8</v>
      </c>
      <c r="O189" s="110">
        <v>6120</v>
      </c>
      <c r="P189" s="111">
        <v>958086</v>
      </c>
      <c r="Q189" s="109">
        <v>3.8686977124183008</v>
      </c>
      <c r="R189" s="112">
        <v>232.12186274509804</v>
      </c>
    </row>
    <row r="190" spans="2:18" hidden="1" x14ac:dyDescent="0.25">
      <c r="B190" s="103">
        <v>189</v>
      </c>
      <c r="C190" s="104" t="s">
        <v>270</v>
      </c>
      <c r="D190" s="105" t="s">
        <v>98</v>
      </c>
      <c r="E190" s="150">
        <v>300000000</v>
      </c>
      <c r="F190" s="150">
        <v>2000000</v>
      </c>
      <c r="G190" s="150">
        <v>200</v>
      </c>
      <c r="H190" s="151"/>
      <c r="I190" s="150">
        <v>446016</v>
      </c>
      <c r="J190" s="150">
        <v>15</v>
      </c>
      <c r="K190" s="152">
        <v>0.85</v>
      </c>
      <c r="L190" s="150">
        <v>10</v>
      </c>
      <c r="M190" s="109">
        <v>48000000</v>
      </c>
      <c r="N190" s="109">
        <v>5119999.8</v>
      </c>
      <c r="O190" s="110">
        <v>6120</v>
      </c>
      <c r="P190" s="111">
        <v>1137340.8</v>
      </c>
      <c r="Q190" s="109">
        <v>147.75964215686275</v>
      </c>
      <c r="R190" s="112">
        <v>8865.578529411765</v>
      </c>
    </row>
    <row r="191" spans="2:18" hidden="1" x14ac:dyDescent="0.25">
      <c r="B191" s="103">
        <v>190</v>
      </c>
      <c r="C191" s="104" t="s">
        <v>271</v>
      </c>
      <c r="D191" s="105" t="s">
        <v>272</v>
      </c>
      <c r="E191" s="153">
        <v>10000000</v>
      </c>
      <c r="F191" s="153">
        <v>250000</v>
      </c>
      <c r="G191" s="153">
        <v>35</v>
      </c>
      <c r="H191" s="154">
        <v>0.7</v>
      </c>
      <c r="I191" s="153">
        <v>200000</v>
      </c>
      <c r="J191" s="153">
        <v>30</v>
      </c>
      <c r="K191" s="155">
        <v>0.85</v>
      </c>
      <c r="L191" s="153">
        <v>10</v>
      </c>
      <c r="M191" s="109">
        <v>1600000</v>
      </c>
      <c r="N191" s="109">
        <v>677499.6</v>
      </c>
      <c r="O191" s="110">
        <v>6120</v>
      </c>
      <c r="P191" s="111">
        <v>1675783.5</v>
      </c>
      <c r="Q191" s="109">
        <v>10.766021514161221</v>
      </c>
      <c r="R191" s="112">
        <v>645.96129084967322</v>
      </c>
    </row>
    <row r="192" spans="2:18" hidden="1" x14ac:dyDescent="0.25">
      <c r="B192" s="103">
        <v>191</v>
      </c>
      <c r="C192" s="104" t="s">
        <v>271</v>
      </c>
      <c r="D192" s="105" t="s">
        <v>273</v>
      </c>
      <c r="E192" s="153">
        <v>800000</v>
      </c>
      <c r="F192" s="153">
        <v>20000</v>
      </c>
      <c r="G192" s="153">
        <v>10</v>
      </c>
      <c r="H192" s="154">
        <v>0.7</v>
      </c>
      <c r="I192" s="153">
        <v>16000</v>
      </c>
      <c r="J192" s="153">
        <v>6</v>
      </c>
      <c r="K192" s="155">
        <v>0.85</v>
      </c>
      <c r="L192" s="153">
        <v>10</v>
      </c>
      <c r="M192" s="109">
        <v>128000</v>
      </c>
      <c r="N192" s="109">
        <v>58999.92</v>
      </c>
      <c r="O192" s="110">
        <v>6120</v>
      </c>
      <c r="P192" s="111">
        <v>373881</v>
      </c>
      <c r="Q192" s="109">
        <v>1.5274534858387798</v>
      </c>
      <c r="R192" s="112">
        <v>91.647209150326788</v>
      </c>
    </row>
    <row r="193" spans="2:18" hidden="1" x14ac:dyDescent="0.25">
      <c r="B193" s="103">
        <v>192</v>
      </c>
      <c r="C193" s="104" t="s">
        <v>271</v>
      </c>
      <c r="D193" s="105" t="s">
        <v>274</v>
      </c>
      <c r="E193" s="153">
        <v>1100000</v>
      </c>
      <c r="F193" s="153">
        <v>27500</v>
      </c>
      <c r="G193" s="153">
        <v>14</v>
      </c>
      <c r="H193" s="154">
        <v>0.7</v>
      </c>
      <c r="I193" s="153">
        <v>22000</v>
      </c>
      <c r="J193" s="153">
        <v>6</v>
      </c>
      <c r="K193" s="155">
        <v>0.85</v>
      </c>
      <c r="L193" s="153">
        <v>10</v>
      </c>
      <c r="M193" s="109">
        <v>176000</v>
      </c>
      <c r="N193" s="109">
        <v>78124.92</v>
      </c>
      <c r="O193" s="110">
        <v>6120</v>
      </c>
      <c r="P193" s="111">
        <v>522413.39999999991</v>
      </c>
      <c r="Q193" s="109">
        <v>2.1147557734204789</v>
      </c>
      <c r="R193" s="112">
        <v>126.88534640522873</v>
      </c>
    </row>
    <row r="194" spans="2:18" hidden="1" x14ac:dyDescent="0.25">
      <c r="B194" s="103">
        <v>193</v>
      </c>
      <c r="C194" s="104" t="s">
        <v>271</v>
      </c>
      <c r="D194" s="105" t="s">
        <v>275</v>
      </c>
      <c r="E194" s="153">
        <v>1500000</v>
      </c>
      <c r="F194" s="153">
        <v>37500</v>
      </c>
      <c r="G194" s="153">
        <v>15</v>
      </c>
      <c r="H194" s="154">
        <v>0.7</v>
      </c>
      <c r="I194" s="153">
        <v>30000</v>
      </c>
      <c r="J194" s="153">
        <v>16</v>
      </c>
      <c r="K194" s="155">
        <v>0.85</v>
      </c>
      <c r="L194" s="153">
        <v>10</v>
      </c>
      <c r="M194" s="109">
        <v>240000</v>
      </c>
      <c r="N194" s="109">
        <v>116958.12</v>
      </c>
      <c r="O194" s="110">
        <v>6120</v>
      </c>
      <c r="P194" s="111">
        <v>576121.49999999988</v>
      </c>
      <c r="Q194" s="109">
        <v>2.5410665032679733</v>
      </c>
      <c r="R194" s="112">
        <v>152.46399019607841</v>
      </c>
    </row>
    <row r="195" spans="2:18" hidden="1" x14ac:dyDescent="0.25">
      <c r="B195" s="103">
        <v>194</v>
      </c>
      <c r="C195" s="104" t="s">
        <v>271</v>
      </c>
      <c r="D195" s="105" t="s">
        <v>276</v>
      </c>
      <c r="E195" s="153">
        <v>1800000</v>
      </c>
      <c r="F195" s="153">
        <v>45000</v>
      </c>
      <c r="G195" s="153">
        <v>18</v>
      </c>
      <c r="H195" s="154">
        <v>0.7</v>
      </c>
      <c r="I195" s="153">
        <v>36000</v>
      </c>
      <c r="J195" s="153">
        <v>16</v>
      </c>
      <c r="K195" s="155">
        <v>0.85</v>
      </c>
      <c r="L195" s="153">
        <v>10</v>
      </c>
      <c r="M195" s="109">
        <v>288000</v>
      </c>
      <c r="N195" s="109">
        <v>136083.12</v>
      </c>
      <c r="O195" s="110">
        <v>6120</v>
      </c>
      <c r="P195" s="111">
        <v>691345.79999999993</v>
      </c>
      <c r="Q195" s="109">
        <v>3.0376604575163397</v>
      </c>
      <c r="R195" s="112">
        <v>182.25962745098039</v>
      </c>
    </row>
    <row r="196" spans="2:18" hidden="1" x14ac:dyDescent="0.25">
      <c r="B196" s="103">
        <v>195</v>
      </c>
      <c r="C196" s="104" t="s">
        <v>271</v>
      </c>
      <c r="D196" s="105" t="s">
        <v>277</v>
      </c>
      <c r="E196" s="153">
        <v>2800000</v>
      </c>
      <c r="F196" s="153">
        <v>70000</v>
      </c>
      <c r="G196" s="153">
        <v>22</v>
      </c>
      <c r="H196" s="154">
        <v>0.7</v>
      </c>
      <c r="I196" s="153">
        <v>56000</v>
      </c>
      <c r="J196" s="153">
        <v>20</v>
      </c>
      <c r="K196" s="155">
        <v>0.85</v>
      </c>
      <c r="L196" s="153">
        <v>10</v>
      </c>
      <c r="M196" s="109">
        <v>448000</v>
      </c>
      <c r="N196" s="109">
        <v>205166.4</v>
      </c>
      <c r="O196" s="110">
        <v>6120</v>
      </c>
      <c r="P196" s="111">
        <v>875578.2</v>
      </c>
      <c r="Q196" s="109">
        <v>4.1632478213507618</v>
      </c>
      <c r="R196" s="112">
        <v>249.79486928104569</v>
      </c>
    </row>
    <row r="197" spans="2:18" hidden="1" x14ac:dyDescent="0.25">
      <c r="B197" s="103">
        <v>196</v>
      </c>
      <c r="C197" s="104" t="s">
        <v>271</v>
      </c>
      <c r="D197" s="105" t="s">
        <v>278</v>
      </c>
      <c r="E197" s="153">
        <v>3500000</v>
      </c>
      <c r="F197" s="153">
        <v>87500</v>
      </c>
      <c r="G197" s="153">
        <v>25</v>
      </c>
      <c r="H197" s="154">
        <v>0.7</v>
      </c>
      <c r="I197" s="153">
        <v>70000</v>
      </c>
      <c r="J197" s="153">
        <v>20</v>
      </c>
      <c r="K197" s="155">
        <v>0.85</v>
      </c>
      <c r="L197" s="153">
        <v>10</v>
      </c>
      <c r="M197" s="109">
        <v>560000</v>
      </c>
      <c r="N197" s="109">
        <v>249791.4</v>
      </c>
      <c r="O197" s="110">
        <v>6120</v>
      </c>
      <c r="P197" s="111">
        <v>1011202.5</v>
      </c>
      <c r="Q197" s="109">
        <v>4.9591337145969492</v>
      </c>
      <c r="R197" s="112">
        <v>297.54802287581697</v>
      </c>
    </row>
    <row r="198" spans="2:18" hidden="1" x14ac:dyDescent="0.25">
      <c r="B198" s="103">
        <v>197</v>
      </c>
      <c r="C198" s="104" t="s">
        <v>271</v>
      </c>
      <c r="D198" s="105" t="s">
        <v>279</v>
      </c>
      <c r="E198" s="153">
        <v>4500000</v>
      </c>
      <c r="F198" s="153">
        <v>112500</v>
      </c>
      <c r="G198" s="153">
        <v>30</v>
      </c>
      <c r="H198" s="154">
        <v>0.7</v>
      </c>
      <c r="I198" s="153">
        <v>90000</v>
      </c>
      <c r="J198" s="153">
        <v>22</v>
      </c>
      <c r="K198" s="155">
        <v>0.85</v>
      </c>
      <c r="L198" s="153">
        <v>10</v>
      </c>
      <c r="M198" s="109">
        <v>720000</v>
      </c>
      <c r="N198" s="109">
        <v>316208.03999999998</v>
      </c>
      <c r="O198" s="110">
        <v>6120</v>
      </c>
      <c r="P198" s="111">
        <v>1228742.9999999998</v>
      </c>
      <c r="Q198" s="109">
        <v>6.1681673202614373</v>
      </c>
      <c r="R198" s="112">
        <v>370.09003921568626</v>
      </c>
    </row>
    <row r="199" spans="2:18" hidden="1" x14ac:dyDescent="0.25">
      <c r="B199" s="103">
        <v>198</v>
      </c>
      <c r="C199" s="104" t="s">
        <v>271</v>
      </c>
      <c r="D199" s="105" t="s">
        <v>280</v>
      </c>
      <c r="E199" s="153">
        <v>5500000</v>
      </c>
      <c r="F199" s="153">
        <v>137500</v>
      </c>
      <c r="G199" s="153">
        <v>35</v>
      </c>
      <c r="H199" s="154">
        <v>0.7</v>
      </c>
      <c r="I199" s="153">
        <v>110000</v>
      </c>
      <c r="J199" s="153">
        <v>26</v>
      </c>
      <c r="K199" s="155">
        <v>0.85</v>
      </c>
      <c r="L199" s="153">
        <v>10</v>
      </c>
      <c r="M199" s="109">
        <v>880000</v>
      </c>
      <c r="N199" s="109">
        <v>385291.32</v>
      </c>
      <c r="O199" s="110">
        <v>6120</v>
      </c>
      <c r="P199" s="111">
        <v>1446283.5</v>
      </c>
      <c r="Q199" s="109">
        <v>7.3844630174291952</v>
      </c>
      <c r="R199" s="112">
        <v>443.0677810457517</v>
      </c>
    </row>
    <row r="200" spans="2:18" hidden="1" x14ac:dyDescent="0.25">
      <c r="B200" s="103">
        <v>199</v>
      </c>
      <c r="C200" s="104" t="s">
        <v>271</v>
      </c>
      <c r="D200" s="105" t="s">
        <v>281</v>
      </c>
      <c r="E200" s="153">
        <v>12000000</v>
      </c>
      <c r="F200" s="153">
        <v>300000</v>
      </c>
      <c r="G200" s="153">
        <v>161.53846153846152</v>
      </c>
      <c r="H200" s="154">
        <v>0.7</v>
      </c>
      <c r="I200" s="153">
        <v>240000</v>
      </c>
      <c r="J200" s="153">
        <v>119.99999999999999</v>
      </c>
      <c r="K200" s="155">
        <v>0.85</v>
      </c>
      <c r="L200" s="153">
        <v>10</v>
      </c>
      <c r="M200" s="109">
        <v>1920000</v>
      </c>
      <c r="N200" s="109">
        <v>924998.39999999991</v>
      </c>
      <c r="O200" s="110">
        <v>6120</v>
      </c>
      <c r="P200" s="111">
        <v>5992539.2307692301</v>
      </c>
      <c r="Q200" s="109">
        <v>24.067368275515332</v>
      </c>
      <c r="R200" s="112">
        <v>1444.0420965309199</v>
      </c>
    </row>
    <row r="201" spans="2:18" hidden="1" x14ac:dyDescent="0.25">
      <c r="B201" s="103">
        <v>200</v>
      </c>
      <c r="C201" s="104" t="s">
        <v>282</v>
      </c>
      <c r="D201" s="105" t="s">
        <v>283</v>
      </c>
      <c r="E201" s="137">
        <v>14000000</v>
      </c>
      <c r="F201" s="137">
        <v>35000</v>
      </c>
      <c r="G201" s="137">
        <v>10</v>
      </c>
      <c r="H201" s="138">
        <v>0.7</v>
      </c>
      <c r="I201" s="137">
        <v>35000</v>
      </c>
      <c r="J201" s="137">
        <v>5</v>
      </c>
      <c r="K201" s="139">
        <v>0.85</v>
      </c>
      <c r="L201" s="137">
        <v>10</v>
      </c>
      <c r="M201" s="109">
        <v>2240000</v>
      </c>
      <c r="N201" s="109">
        <v>95916.6</v>
      </c>
      <c r="O201" s="110">
        <v>6120</v>
      </c>
      <c r="P201" s="111">
        <v>422331</v>
      </c>
      <c r="Q201" s="109">
        <v>7.5115675381263616</v>
      </c>
      <c r="R201" s="112">
        <v>450.69405228758171</v>
      </c>
    </row>
    <row r="202" spans="2:18" hidden="1" x14ac:dyDescent="0.25">
      <c r="B202" s="103">
        <v>201</v>
      </c>
      <c r="C202" s="104" t="s">
        <v>282</v>
      </c>
      <c r="D202" s="105" t="s">
        <v>284</v>
      </c>
      <c r="E202" s="137">
        <v>1500000</v>
      </c>
      <c r="F202" s="137">
        <v>20000</v>
      </c>
      <c r="G202" s="137">
        <v>5</v>
      </c>
      <c r="H202" s="138">
        <v>0.7</v>
      </c>
      <c r="I202" s="137">
        <v>20000</v>
      </c>
      <c r="J202" s="137">
        <v>8</v>
      </c>
      <c r="K202" s="139">
        <v>0.85</v>
      </c>
      <c r="L202" s="137">
        <v>10</v>
      </c>
      <c r="M202" s="109">
        <v>240000</v>
      </c>
      <c r="N202" s="109">
        <v>61666.559999999998</v>
      </c>
      <c r="O202" s="110">
        <v>6120</v>
      </c>
      <c r="P202" s="111">
        <v>217540.5</v>
      </c>
      <c r="Q202" s="109">
        <v>1.4139625816993464</v>
      </c>
      <c r="R202" s="112">
        <v>84.837754901960778</v>
      </c>
    </row>
    <row r="203" spans="2:18" hidden="1" x14ac:dyDescent="0.25">
      <c r="B203" s="103">
        <v>202</v>
      </c>
      <c r="C203" s="104" t="s">
        <v>282</v>
      </c>
      <c r="D203" s="105" t="s">
        <v>285</v>
      </c>
      <c r="E203" s="137">
        <v>1148000</v>
      </c>
      <c r="F203" s="137">
        <v>57400</v>
      </c>
      <c r="G203" s="137">
        <v>15</v>
      </c>
      <c r="H203" s="138">
        <v>1</v>
      </c>
      <c r="I203" s="137">
        <v>34440</v>
      </c>
      <c r="J203" s="137">
        <v>8</v>
      </c>
      <c r="K203" s="139">
        <v>0.85</v>
      </c>
      <c r="L203" s="137">
        <v>10</v>
      </c>
      <c r="M203" s="109">
        <v>183680</v>
      </c>
      <c r="N203" s="109">
        <v>157036.56</v>
      </c>
      <c r="O203" s="110">
        <v>6120</v>
      </c>
      <c r="P203" s="111">
        <v>801567</v>
      </c>
      <c r="Q203" s="109">
        <v>3.1107940087145973</v>
      </c>
      <c r="R203" s="112">
        <v>186.64764052287583</v>
      </c>
    </row>
    <row r="204" spans="2:18" hidden="1" x14ac:dyDescent="0.25">
      <c r="B204" s="103">
        <v>203</v>
      </c>
      <c r="C204" s="104" t="s">
        <v>282</v>
      </c>
      <c r="D204" s="105" t="s">
        <v>286</v>
      </c>
      <c r="E204" s="137">
        <v>24500000</v>
      </c>
      <c r="F204" s="137">
        <v>49000</v>
      </c>
      <c r="G204" s="137">
        <v>15</v>
      </c>
      <c r="H204" s="138">
        <v>0.7</v>
      </c>
      <c r="I204" s="137">
        <v>49000</v>
      </c>
      <c r="J204" s="137">
        <v>8</v>
      </c>
      <c r="K204" s="139">
        <v>0.85</v>
      </c>
      <c r="L204" s="137">
        <v>10</v>
      </c>
      <c r="M204" s="109">
        <v>3920000</v>
      </c>
      <c r="N204" s="109">
        <v>135616.56</v>
      </c>
      <c r="O204" s="110">
        <v>6120</v>
      </c>
      <c r="P204" s="111">
        <v>624571.49999999988</v>
      </c>
      <c r="Q204" s="109">
        <v>12.745610185185184</v>
      </c>
      <c r="R204" s="112">
        <v>764.73661111111107</v>
      </c>
    </row>
    <row r="205" spans="2:18" hidden="1" x14ac:dyDescent="0.25">
      <c r="B205" s="103">
        <v>204</v>
      </c>
      <c r="C205" s="104" t="s">
        <v>282</v>
      </c>
      <c r="D205" s="105" t="s">
        <v>287</v>
      </c>
      <c r="E205" s="137">
        <v>2500000</v>
      </c>
      <c r="F205" s="137">
        <v>40000</v>
      </c>
      <c r="G205" s="137">
        <v>7.5</v>
      </c>
      <c r="H205" s="138">
        <v>0.7</v>
      </c>
      <c r="I205" s="137">
        <v>30000</v>
      </c>
      <c r="J205" s="137">
        <v>8</v>
      </c>
      <c r="K205" s="139">
        <v>0.85</v>
      </c>
      <c r="L205" s="137">
        <v>10</v>
      </c>
      <c r="M205" s="109">
        <v>400000</v>
      </c>
      <c r="N205" s="109">
        <v>112666.56</v>
      </c>
      <c r="O205" s="110">
        <v>6120</v>
      </c>
      <c r="P205" s="111">
        <v>326310.74999999994</v>
      </c>
      <c r="Q205" s="109">
        <v>2.2847965958605667</v>
      </c>
      <c r="R205" s="112">
        <v>137.08779575163399</v>
      </c>
    </row>
    <row r="206" spans="2:18" hidden="1" x14ac:dyDescent="0.25">
      <c r="B206" s="103">
        <v>205</v>
      </c>
      <c r="C206" s="104" t="s">
        <v>282</v>
      </c>
      <c r="D206" s="105" t="s">
        <v>288</v>
      </c>
      <c r="E206" s="137">
        <v>42000000</v>
      </c>
      <c r="F206" s="137">
        <v>56000</v>
      </c>
      <c r="G206" s="137">
        <v>25</v>
      </c>
      <c r="H206" s="138">
        <v>0.7</v>
      </c>
      <c r="I206" s="137">
        <v>56000</v>
      </c>
      <c r="J206" s="137">
        <v>10</v>
      </c>
      <c r="K206" s="139">
        <v>0.85</v>
      </c>
      <c r="L206" s="137">
        <v>10</v>
      </c>
      <c r="M206" s="109">
        <v>6720000</v>
      </c>
      <c r="N206" s="109">
        <v>156133.20000000001</v>
      </c>
      <c r="O206" s="110">
        <v>6120</v>
      </c>
      <c r="P206" s="111">
        <v>975502.5</v>
      </c>
      <c r="Q206" s="109">
        <v>21.382450163398694</v>
      </c>
      <c r="R206" s="112">
        <v>1282.9470098039217</v>
      </c>
    </row>
    <row r="207" spans="2:18" hidden="1" x14ac:dyDescent="0.25">
      <c r="B207" s="103">
        <v>206</v>
      </c>
      <c r="C207" s="104" t="s">
        <v>282</v>
      </c>
      <c r="D207" s="105" t="s">
        <v>289</v>
      </c>
      <c r="E207" s="137">
        <v>4000000</v>
      </c>
      <c r="F207" s="137">
        <v>50000</v>
      </c>
      <c r="G207" s="137">
        <v>12.5</v>
      </c>
      <c r="H207" s="138">
        <v>0.7</v>
      </c>
      <c r="I207" s="137">
        <v>50000</v>
      </c>
      <c r="J207" s="137">
        <v>10</v>
      </c>
      <c r="K207" s="139">
        <v>0.85</v>
      </c>
      <c r="L207" s="137">
        <v>10</v>
      </c>
      <c r="M207" s="109">
        <v>640000</v>
      </c>
      <c r="N207" s="109">
        <v>140833.20000000001</v>
      </c>
      <c r="O207" s="110">
        <v>6120</v>
      </c>
      <c r="P207" s="111">
        <v>543851.25</v>
      </c>
      <c r="Q207" s="109">
        <v>3.6075284586056644</v>
      </c>
      <c r="R207" s="112">
        <v>216.45170751633987</v>
      </c>
    </row>
    <row r="208" spans="2:18" hidden="1" x14ac:dyDescent="0.25">
      <c r="B208" s="103">
        <v>207</v>
      </c>
      <c r="C208" s="104" t="s">
        <v>282</v>
      </c>
      <c r="D208" s="105" t="s">
        <v>290</v>
      </c>
      <c r="E208" s="137">
        <v>53000000</v>
      </c>
      <c r="F208" s="137">
        <v>60000</v>
      </c>
      <c r="G208" s="137">
        <v>30</v>
      </c>
      <c r="H208" s="138">
        <v>0.7</v>
      </c>
      <c r="I208" s="137">
        <v>62000</v>
      </c>
      <c r="J208" s="137">
        <v>16</v>
      </c>
      <c r="K208" s="139">
        <v>0.85</v>
      </c>
      <c r="L208" s="137">
        <v>10</v>
      </c>
      <c r="M208" s="109">
        <v>8480000</v>
      </c>
      <c r="N208" s="109">
        <v>174333.12</v>
      </c>
      <c r="O208" s="110">
        <v>6120</v>
      </c>
      <c r="P208" s="111">
        <v>1157342.9999999998</v>
      </c>
      <c r="Q208" s="109">
        <v>26.720250871459694</v>
      </c>
      <c r="R208" s="112">
        <v>1603.2150522875816</v>
      </c>
    </row>
    <row r="209" spans="2:18" hidden="1" x14ac:dyDescent="0.25">
      <c r="B209" s="103">
        <v>208</v>
      </c>
      <c r="C209" s="104" t="s">
        <v>282</v>
      </c>
      <c r="D209" s="105" t="s">
        <v>291</v>
      </c>
      <c r="E209" s="137">
        <v>6500000</v>
      </c>
      <c r="F209" s="137">
        <v>75000</v>
      </c>
      <c r="G209" s="137">
        <v>15.5</v>
      </c>
      <c r="H209" s="138">
        <v>0.7</v>
      </c>
      <c r="I209" s="137">
        <v>65000</v>
      </c>
      <c r="J209" s="137">
        <v>10</v>
      </c>
      <c r="K209" s="139">
        <v>0.85</v>
      </c>
      <c r="L209" s="137">
        <v>10</v>
      </c>
      <c r="M209" s="109">
        <v>1040000</v>
      </c>
      <c r="N209" s="109">
        <v>204583.2</v>
      </c>
      <c r="O209" s="110">
        <v>6120</v>
      </c>
      <c r="P209" s="111">
        <v>682025.55</v>
      </c>
      <c r="Q209" s="109">
        <v>5.2467558551198259</v>
      </c>
      <c r="R209" s="112">
        <v>314.80535130718954</v>
      </c>
    </row>
    <row r="210" spans="2:18" hidden="1" x14ac:dyDescent="0.25">
      <c r="B210" s="103">
        <v>209</v>
      </c>
      <c r="C210" s="104" t="s">
        <v>282</v>
      </c>
      <c r="D210" s="105" t="s">
        <v>292</v>
      </c>
      <c r="E210" s="137">
        <v>63000000</v>
      </c>
      <c r="F210" s="137">
        <v>70000</v>
      </c>
      <c r="G210" s="137">
        <v>35</v>
      </c>
      <c r="H210" s="138">
        <v>0.7</v>
      </c>
      <c r="I210" s="137">
        <v>70000</v>
      </c>
      <c r="J210" s="137">
        <v>16</v>
      </c>
      <c r="K210" s="139">
        <v>0.85</v>
      </c>
      <c r="L210" s="137">
        <v>10</v>
      </c>
      <c r="M210" s="109">
        <v>10080000</v>
      </c>
      <c r="N210" s="109">
        <v>199833.12</v>
      </c>
      <c r="O210" s="110">
        <v>6120</v>
      </c>
      <c r="P210" s="111">
        <v>1344283.5</v>
      </c>
      <c r="Q210" s="109">
        <v>31.656091013071897</v>
      </c>
      <c r="R210" s="112">
        <v>1899.3654607843139</v>
      </c>
    </row>
    <row r="211" spans="2:18" hidden="1" x14ac:dyDescent="0.25">
      <c r="B211" s="103">
        <v>210</v>
      </c>
      <c r="C211" s="104" t="s">
        <v>282</v>
      </c>
      <c r="D211" s="105" t="s">
        <v>293</v>
      </c>
      <c r="E211" s="137">
        <v>8500000</v>
      </c>
      <c r="F211" s="137">
        <v>100000</v>
      </c>
      <c r="G211" s="137">
        <v>17.5</v>
      </c>
      <c r="H211" s="138">
        <v>0.7</v>
      </c>
      <c r="I211" s="137">
        <v>80000</v>
      </c>
      <c r="J211" s="137">
        <v>10</v>
      </c>
      <c r="K211" s="139">
        <v>0.85</v>
      </c>
      <c r="L211" s="137">
        <v>10</v>
      </c>
      <c r="M211" s="109">
        <v>1360000</v>
      </c>
      <c r="N211" s="109">
        <v>268333.2</v>
      </c>
      <c r="O211" s="110">
        <v>6120</v>
      </c>
      <c r="P211" s="111">
        <v>786891.75</v>
      </c>
      <c r="Q211" s="109">
        <v>6.5774099945533777</v>
      </c>
      <c r="R211" s="112">
        <v>394.64459967320266</v>
      </c>
    </row>
    <row r="212" spans="2:18" hidden="1" x14ac:dyDescent="0.25">
      <c r="B212" s="103">
        <v>211</v>
      </c>
      <c r="C212" s="104" t="s">
        <v>282</v>
      </c>
      <c r="D212" s="105" t="s">
        <v>294</v>
      </c>
      <c r="E212" s="137">
        <v>35000000</v>
      </c>
      <c r="F212" s="137">
        <v>300000</v>
      </c>
      <c r="G212" s="137">
        <v>35</v>
      </c>
      <c r="H212" s="138">
        <v>0.7</v>
      </c>
      <c r="I212" s="137">
        <v>250000</v>
      </c>
      <c r="J212" s="137">
        <v>11</v>
      </c>
      <c r="K212" s="139">
        <v>0.85</v>
      </c>
      <c r="L212" s="137">
        <v>10</v>
      </c>
      <c r="M212" s="109">
        <v>5600000</v>
      </c>
      <c r="N212" s="109">
        <v>779666.52</v>
      </c>
      <c r="O212" s="110">
        <v>6120</v>
      </c>
      <c r="P212" s="111">
        <v>1803283.5</v>
      </c>
      <c r="Q212" s="109">
        <v>22.284722276688452</v>
      </c>
      <c r="R212" s="112">
        <v>1337.0833366013071</v>
      </c>
    </row>
    <row r="213" spans="2:18" hidden="1" x14ac:dyDescent="0.25">
      <c r="B213" s="103">
        <v>212</v>
      </c>
      <c r="C213" s="104" t="s">
        <v>282</v>
      </c>
      <c r="D213" s="105" t="s">
        <v>295</v>
      </c>
      <c r="E213" s="137">
        <v>45000000</v>
      </c>
      <c r="F213" s="137">
        <v>400000</v>
      </c>
      <c r="G213" s="137">
        <v>45</v>
      </c>
      <c r="H213" s="138">
        <v>0.7</v>
      </c>
      <c r="I213" s="137">
        <v>300000</v>
      </c>
      <c r="J213" s="137">
        <v>13</v>
      </c>
      <c r="K213" s="139">
        <v>0.85</v>
      </c>
      <c r="L213" s="137">
        <v>10</v>
      </c>
      <c r="M213" s="109">
        <v>7200000</v>
      </c>
      <c r="N213" s="109">
        <v>1037333.16</v>
      </c>
      <c r="O213" s="110">
        <v>6120</v>
      </c>
      <c r="P213" s="111">
        <v>2263864.5</v>
      </c>
      <c r="Q213" s="109">
        <v>28.598032843137258</v>
      </c>
      <c r="R213" s="112">
        <v>1715.8819705882354</v>
      </c>
    </row>
    <row r="214" spans="2:18" hidden="1" x14ac:dyDescent="0.25">
      <c r="B214" s="103">
        <v>213</v>
      </c>
      <c r="C214" s="104" t="s">
        <v>282</v>
      </c>
      <c r="D214" s="156" t="s">
        <v>296</v>
      </c>
      <c r="E214" s="137">
        <v>45000000</v>
      </c>
      <c r="F214" s="137">
        <v>400000</v>
      </c>
      <c r="G214" s="137">
        <v>45</v>
      </c>
      <c r="H214" s="138">
        <v>0.7</v>
      </c>
      <c r="I214" s="137">
        <v>16200</v>
      </c>
      <c r="J214" s="137">
        <v>13</v>
      </c>
      <c r="K214" s="139">
        <v>0.85</v>
      </c>
      <c r="L214" s="137">
        <v>10</v>
      </c>
      <c r="M214" s="109">
        <v>7200000</v>
      </c>
      <c r="N214" s="109">
        <v>1037333.16</v>
      </c>
      <c r="O214" s="110">
        <v>6120</v>
      </c>
      <c r="P214" s="111">
        <v>1540174.5</v>
      </c>
      <c r="Q214" s="109">
        <v>26.627199509803923</v>
      </c>
      <c r="R214" s="112">
        <v>1597.6319705882354</v>
      </c>
    </row>
    <row r="215" spans="2:18" hidden="1" x14ac:dyDescent="0.25">
      <c r="B215" s="103">
        <v>214</v>
      </c>
      <c r="C215" s="104" t="s">
        <v>282</v>
      </c>
      <c r="D215" s="105" t="s">
        <v>297</v>
      </c>
      <c r="E215" s="137">
        <v>50000000</v>
      </c>
      <c r="F215" s="137">
        <v>500000</v>
      </c>
      <c r="G215" s="137">
        <v>45</v>
      </c>
      <c r="H215" s="138">
        <v>0.7</v>
      </c>
      <c r="I215" s="137">
        <v>350000</v>
      </c>
      <c r="J215" s="137">
        <v>15</v>
      </c>
      <c r="K215" s="139">
        <v>0.85</v>
      </c>
      <c r="L215" s="137">
        <v>10</v>
      </c>
      <c r="M215" s="109">
        <v>8000000</v>
      </c>
      <c r="N215" s="109">
        <v>1294999.8</v>
      </c>
      <c r="O215" s="110">
        <v>6120</v>
      </c>
      <c r="P215" s="111">
        <v>2391364.5</v>
      </c>
      <c r="Q215" s="109">
        <v>31.825610838779959</v>
      </c>
      <c r="R215" s="112">
        <v>1909.5366503267976</v>
      </c>
    </row>
    <row r="216" spans="2:18" hidden="1" x14ac:dyDescent="0.25">
      <c r="B216" s="103">
        <v>215</v>
      </c>
      <c r="C216" s="104" t="s">
        <v>282</v>
      </c>
      <c r="D216" s="140" t="s">
        <v>298</v>
      </c>
      <c r="E216" s="137">
        <v>300000</v>
      </c>
      <c r="F216" s="137">
        <v>3000</v>
      </c>
      <c r="G216" s="137">
        <v>7.5</v>
      </c>
      <c r="H216" s="138">
        <v>0.7</v>
      </c>
      <c r="I216" s="137">
        <v>6000</v>
      </c>
      <c r="J216" s="137">
        <v>15</v>
      </c>
      <c r="K216" s="139">
        <v>0.85</v>
      </c>
      <c r="L216" s="137">
        <v>10</v>
      </c>
      <c r="M216" s="109">
        <v>48000</v>
      </c>
      <c r="N216" s="109">
        <v>27649.8</v>
      </c>
      <c r="O216" s="110">
        <v>6120</v>
      </c>
      <c r="P216" s="111">
        <v>265110.74999999994</v>
      </c>
      <c r="Q216" s="109">
        <v>0.92799714052287563</v>
      </c>
      <c r="R216" s="112">
        <v>55.679828431372535</v>
      </c>
    </row>
    <row r="217" spans="2:18" hidden="1" x14ac:dyDescent="0.25">
      <c r="B217" s="103">
        <v>216</v>
      </c>
      <c r="C217" s="104" t="s">
        <v>282</v>
      </c>
      <c r="D217" s="121" t="s">
        <v>299</v>
      </c>
      <c r="E217" s="137">
        <v>1000000</v>
      </c>
      <c r="F217" s="137">
        <v>20000</v>
      </c>
      <c r="G217" s="137">
        <v>12.5</v>
      </c>
      <c r="H217" s="138">
        <v>0.7</v>
      </c>
      <c r="I217" s="137">
        <v>20000</v>
      </c>
      <c r="J217" s="137">
        <v>10</v>
      </c>
      <c r="K217" s="139">
        <v>0.85</v>
      </c>
      <c r="L217" s="137">
        <v>10</v>
      </c>
      <c r="M217" s="109">
        <v>160000</v>
      </c>
      <c r="N217" s="109">
        <v>64333.2</v>
      </c>
      <c r="O217" s="110">
        <v>6120</v>
      </c>
      <c r="P217" s="111">
        <v>467351.25</v>
      </c>
      <c r="Q217" s="125">
        <v>1.8836722494553375</v>
      </c>
      <c r="R217" s="112">
        <v>113.02033496732025</v>
      </c>
    </row>
    <row r="218" spans="2:18" hidden="1" x14ac:dyDescent="0.25">
      <c r="B218" s="103">
        <v>217</v>
      </c>
      <c r="C218" s="104" t="s">
        <v>282</v>
      </c>
      <c r="D218" s="121" t="s">
        <v>300</v>
      </c>
      <c r="E218" s="137">
        <v>750000</v>
      </c>
      <c r="F218" s="137">
        <v>15000</v>
      </c>
      <c r="G218" s="137">
        <v>6</v>
      </c>
      <c r="H218" s="138">
        <v>0.7</v>
      </c>
      <c r="I218" s="137">
        <v>15000</v>
      </c>
      <c r="J218" s="137">
        <v>10</v>
      </c>
      <c r="K218" s="139">
        <v>0.85</v>
      </c>
      <c r="L218" s="137">
        <v>10</v>
      </c>
      <c r="M218" s="109">
        <v>120000</v>
      </c>
      <c r="N218" s="109">
        <v>51583.199999999997</v>
      </c>
      <c r="O218" s="110">
        <v>6120</v>
      </c>
      <c r="P218" s="111">
        <v>238098.59999999998</v>
      </c>
      <c r="Q218" s="125">
        <v>1.1156911764705881</v>
      </c>
      <c r="R218" s="112">
        <v>66.941470588235291</v>
      </c>
    </row>
    <row r="219" spans="2:18" hidden="1" x14ac:dyDescent="0.25">
      <c r="B219" s="103">
        <v>218</v>
      </c>
      <c r="C219" s="104" t="s">
        <v>282</v>
      </c>
      <c r="D219" s="149" t="s">
        <v>301</v>
      </c>
      <c r="E219" s="137">
        <v>3000000</v>
      </c>
      <c r="F219" s="137">
        <v>150000</v>
      </c>
      <c r="G219" s="137">
        <v>24</v>
      </c>
      <c r="H219" s="138">
        <v>0.7</v>
      </c>
      <c r="I219" s="137">
        <v>60000</v>
      </c>
      <c r="J219" s="137">
        <v>20</v>
      </c>
      <c r="K219" s="139">
        <v>0.85</v>
      </c>
      <c r="L219" s="137">
        <v>10</v>
      </c>
      <c r="M219" s="109">
        <v>480000</v>
      </c>
      <c r="N219" s="109">
        <v>409166.4</v>
      </c>
      <c r="O219" s="110">
        <v>6120</v>
      </c>
      <c r="P219" s="111">
        <v>952394.39999999991</v>
      </c>
      <c r="Q219" s="109">
        <v>5.015143790849673</v>
      </c>
      <c r="R219" s="112">
        <v>300.90862745098036</v>
      </c>
    </row>
    <row r="220" spans="2:18" hidden="1" x14ac:dyDescent="0.25">
      <c r="B220" s="103">
        <v>219</v>
      </c>
      <c r="C220" s="104" t="s">
        <v>282</v>
      </c>
      <c r="D220" s="157" t="s">
        <v>302</v>
      </c>
      <c r="E220" s="137">
        <v>4000000</v>
      </c>
      <c r="F220" s="137">
        <v>100000</v>
      </c>
      <c r="G220" s="137">
        <v>25</v>
      </c>
      <c r="H220" s="138">
        <v>0.7</v>
      </c>
      <c r="I220" s="137">
        <v>80000</v>
      </c>
      <c r="J220" s="137">
        <v>10</v>
      </c>
      <c r="K220" s="139">
        <v>0.85</v>
      </c>
      <c r="L220" s="137">
        <v>10</v>
      </c>
      <c r="M220" s="109">
        <v>640000</v>
      </c>
      <c r="N220" s="109">
        <v>268333.2</v>
      </c>
      <c r="O220" s="110">
        <v>6120</v>
      </c>
      <c r="P220" s="111">
        <v>1036702.5</v>
      </c>
      <c r="Q220" s="109">
        <v>5.2969381808278859</v>
      </c>
      <c r="R220" s="112">
        <v>317.81629084967318</v>
      </c>
    </row>
    <row r="221" spans="2:18" hidden="1" x14ac:dyDescent="0.25">
      <c r="B221" s="103">
        <v>220</v>
      </c>
      <c r="C221" s="104" t="s">
        <v>282</v>
      </c>
      <c r="D221" s="105" t="s">
        <v>303</v>
      </c>
      <c r="E221" s="137">
        <v>1125000</v>
      </c>
      <c r="F221" s="137">
        <v>56250</v>
      </c>
      <c r="G221" s="137">
        <v>10</v>
      </c>
      <c r="H221" s="138">
        <v>0.7</v>
      </c>
      <c r="I221" s="137">
        <v>22500</v>
      </c>
      <c r="J221" s="137">
        <v>25</v>
      </c>
      <c r="K221" s="139">
        <v>0.85</v>
      </c>
      <c r="L221" s="137">
        <v>10</v>
      </c>
      <c r="M221" s="109">
        <v>180000</v>
      </c>
      <c r="N221" s="109">
        <v>176770.5</v>
      </c>
      <c r="O221" s="110">
        <v>6120</v>
      </c>
      <c r="P221" s="111">
        <v>390456</v>
      </c>
      <c r="Q221" s="109">
        <v>2.0349305555555555</v>
      </c>
      <c r="R221" s="112">
        <v>122.09583333333333</v>
      </c>
    </row>
    <row r="222" spans="2:18" hidden="1" x14ac:dyDescent="0.25">
      <c r="B222" s="103">
        <v>221</v>
      </c>
      <c r="C222" s="104" t="s">
        <v>282</v>
      </c>
      <c r="D222" s="105" t="s">
        <v>304</v>
      </c>
      <c r="E222" s="137">
        <v>5000000</v>
      </c>
      <c r="F222" s="137">
        <v>250000</v>
      </c>
      <c r="G222" s="137">
        <v>50</v>
      </c>
      <c r="H222" s="138">
        <v>0.7</v>
      </c>
      <c r="I222" s="137">
        <v>100000</v>
      </c>
      <c r="J222" s="137">
        <v>25</v>
      </c>
      <c r="K222" s="139">
        <v>0.85</v>
      </c>
      <c r="L222" s="137">
        <v>10</v>
      </c>
      <c r="M222" s="109">
        <v>800000</v>
      </c>
      <c r="N222" s="109">
        <v>670833</v>
      </c>
      <c r="O222" s="110">
        <v>6120</v>
      </c>
      <c r="P222" s="111">
        <v>1920405</v>
      </c>
      <c r="Q222" s="109">
        <v>9.235397603485838</v>
      </c>
      <c r="R222" s="112">
        <v>554.12385620915029</v>
      </c>
    </row>
    <row r="223" spans="2:18" hidden="1" x14ac:dyDescent="0.25">
      <c r="B223" s="103">
        <v>222</v>
      </c>
      <c r="C223" s="104" t="s">
        <v>282</v>
      </c>
      <c r="D223" s="105" t="s">
        <v>305</v>
      </c>
      <c r="E223" s="137">
        <v>20000000</v>
      </c>
      <c r="F223" s="137">
        <v>200000</v>
      </c>
      <c r="G223" s="137">
        <v>150</v>
      </c>
      <c r="H223" s="138"/>
      <c r="I223" s="137">
        <v>1000000</v>
      </c>
      <c r="J223" s="137">
        <v>40</v>
      </c>
      <c r="K223" s="139">
        <v>0.85</v>
      </c>
      <c r="L223" s="137">
        <v>10</v>
      </c>
      <c r="M223" s="109">
        <v>3200000</v>
      </c>
      <c r="N223" s="109">
        <v>563332.80000000005</v>
      </c>
      <c r="O223" s="110">
        <v>6120</v>
      </c>
      <c r="P223" s="111">
        <v>2550000</v>
      </c>
      <c r="Q223" s="109">
        <v>17.193172113289759</v>
      </c>
      <c r="R223" s="112">
        <v>1031.5903267973856</v>
      </c>
    </row>
    <row r="224" spans="2:18" hidden="1" x14ac:dyDescent="0.25">
      <c r="B224" s="103">
        <v>223</v>
      </c>
      <c r="C224" s="104" t="s">
        <v>282</v>
      </c>
      <c r="D224" s="105" t="s">
        <v>306</v>
      </c>
      <c r="E224" s="137">
        <v>3000000</v>
      </c>
      <c r="F224" s="137">
        <v>30000</v>
      </c>
      <c r="G224" s="137">
        <v>0</v>
      </c>
      <c r="H224" s="138">
        <v>1</v>
      </c>
      <c r="I224" s="137">
        <v>30000</v>
      </c>
      <c r="J224" s="137">
        <v>0</v>
      </c>
      <c r="K224" s="139">
        <v>0.85</v>
      </c>
      <c r="L224" s="137">
        <v>10</v>
      </c>
      <c r="M224" s="109">
        <v>480000</v>
      </c>
      <c r="N224" s="109">
        <v>76500</v>
      </c>
      <c r="O224" s="110">
        <v>6120</v>
      </c>
      <c r="P224" s="111">
        <v>76500</v>
      </c>
      <c r="Q224" s="109">
        <v>1.7238562091503269</v>
      </c>
      <c r="R224" s="112">
        <v>103.43137254901961</v>
      </c>
    </row>
    <row r="225" spans="2:18" hidden="1" x14ac:dyDescent="0.25">
      <c r="B225" s="103">
        <v>224</v>
      </c>
      <c r="C225" s="104" t="s">
        <v>282</v>
      </c>
      <c r="D225" s="105" t="s">
        <v>307</v>
      </c>
      <c r="E225" s="137">
        <v>5000000</v>
      </c>
      <c r="F225" s="137">
        <v>100000</v>
      </c>
      <c r="G225" s="137">
        <v>50</v>
      </c>
      <c r="H225" s="138">
        <v>0.7</v>
      </c>
      <c r="I225" s="137">
        <v>50000</v>
      </c>
      <c r="J225" s="137">
        <v>25</v>
      </c>
      <c r="K225" s="139">
        <v>0.85</v>
      </c>
      <c r="L225" s="137">
        <v>10</v>
      </c>
      <c r="M225" s="109">
        <v>800000</v>
      </c>
      <c r="N225" s="109">
        <v>288333</v>
      </c>
      <c r="O225" s="110">
        <v>6120</v>
      </c>
      <c r="P225" s="111">
        <v>1792905</v>
      </c>
      <c r="Q225" s="109">
        <v>7.8465087145969497</v>
      </c>
      <c r="R225" s="112">
        <v>470.79052287581698</v>
      </c>
    </row>
    <row r="226" spans="2:18" hidden="1" x14ac:dyDescent="0.25">
      <c r="B226" s="103">
        <v>225</v>
      </c>
      <c r="C226" s="104" t="s">
        <v>282</v>
      </c>
      <c r="D226" s="149" t="s">
        <v>308</v>
      </c>
      <c r="E226" s="137">
        <v>200000</v>
      </c>
      <c r="F226" s="137">
        <v>10000</v>
      </c>
      <c r="G226" s="137">
        <v>2</v>
      </c>
      <c r="H226" s="138">
        <v>0.7</v>
      </c>
      <c r="I226" s="137">
        <v>4000</v>
      </c>
      <c r="J226" s="137">
        <v>24</v>
      </c>
      <c r="K226" s="139">
        <v>0.85</v>
      </c>
      <c r="L226" s="137">
        <v>10</v>
      </c>
      <c r="M226" s="109">
        <v>32000</v>
      </c>
      <c r="N226" s="109">
        <v>57499.68</v>
      </c>
      <c r="O226" s="110">
        <v>6120</v>
      </c>
      <c r="P226" s="111">
        <v>76816.2</v>
      </c>
      <c r="Q226" s="109">
        <v>0.45292995642701522</v>
      </c>
      <c r="R226" s="112">
        <v>27.175797385620914</v>
      </c>
    </row>
    <row r="227" spans="2:18" hidden="1" x14ac:dyDescent="0.25">
      <c r="B227" s="103">
        <v>226</v>
      </c>
      <c r="C227" s="104" t="s">
        <v>282</v>
      </c>
      <c r="D227" s="121" t="s">
        <v>309</v>
      </c>
      <c r="E227" s="137">
        <v>5000000</v>
      </c>
      <c r="F227" s="137">
        <v>250000</v>
      </c>
      <c r="G227" s="137">
        <v>50</v>
      </c>
      <c r="H227" s="138">
        <v>0.7</v>
      </c>
      <c r="I227" s="137">
        <v>100000</v>
      </c>
      <c r="J227" s="137">
        <v>25</v>
      </c>
      <c r="K227" s="139">
        <v>0.85</v>
      </c>
      <c r="L227" s="137">
        <v>10</v>
      </c>
      <c r="M227" s="109">
        <v>800000</v>
      </c>
      <c r="N227" s="109">
        <v>670833</v>
      </c>
      <c r="O227" s="110">
        <v>6120</v>
      </c>
      <c r="P227" s="111">
        <v>1920405</v>
      </c>
      <c r="Q227" s="125">
        <v>9.235397603485838</v>
      </c>
      <c r="R227" s="112">
        <v>554.12385620915029</v>
      </c>
    </row>
    <row r="228" spans="2:18" hidden="1" x14ac:dyDescent="0.25">
      <c r="B228" s="103">
        <v>227</v>
      </c>
      <c r="C228" s="104" t="s">
        <v>282</v>
      </c>
      <c r="D228" s="105" t="s">
        <v>310</v>
      </c>
      <c r="E228" s="137">
        <v>800000</v>
      </c>
      <c r="F228" s="137">
        <v>40000</v>
      </c>
      <c r="G228" s="137">
        <v>20</v>
      </c>
      <c r="H228" s="138">
        <v>0.4</v>
      </c>
      <c r="I228" s="137">
        <v>16000</v>
      </c>
      <c r="J228" s="137">
        <v>25</v>
      </c>
      <c r="K228" s="139">
        <v>0.85</v>
      </c>
      <c r="L228" s="137">
        <v>10</v>
      </c>
      <c r="M228" s="109">
        <v>128000</v>
      </c>
      <c r="N228" s="109">
        <v>135333</v>
      </c>
      <c r="O228" s="110">
        <v>6120</v>
      </c>
      <c r="P228" s="111">
        <v>421464</v>
      </c>
      <c r="Q228" s="109">
        <v>1.864915577342048</v>
      </c>
      <c r="R228" s="112">
        <v>111.89493464052288</v>
      </c>
    </row>
    <row r="229" spans="2:18" hidden="1" x14ac:dyDescent="0.25">
      <c r="B229" s="103">
        <v>228</v>
      </c>
      <c r="C229" s="104" t="s">
        <v>257</v>
      </c>
      <c r="D229" s="105" t="s">
        <v>311</v>
      </c>
      <c r="E229" s="137">
        <v>1000000</v>
      </c>
      <c r="F229" s="137">
        <v>40000</v>
      </c>
      <c r="G229" s="137">
        <v>1</v>
      </c>
      <c r="H229" s="138">
        <v>0.7</v>
      </c>
      <c r="I229" s="137">
        <v>20000</v>
      </c>
      <c r="J229" s="137">
        <v>10</v>
      </c>
      <c r="K229" s="139">
        <v>0.85</v>
      </c>
      <c r="L229" s="137">
        <v>10</v>
      </c>
      <c r="M229" s="109">
        <v>160000</v>
      </c>
      <c r="N229" s="109">
        <v>115333.2</v>
      </c>
      <c r="O229" s="110">
        <v>6120</v>
      </c>
      <c r="P229" s="111">
        <v>84308.1</v>
      </c>
      <c r="Q229" s="109">
        <v>0.97941530501089313</v>
      </c>
      <c r="R229" s="112">
        <v>58.764918300653591</v>
      </c>
    </row>
    <row r="230" spans="2:18" hidden="1" x14ac:dyDescent="0.25">
      <c r="B230" s="103">
        <v>229</v>
      </c>
      <c r="C230" s="104" t="s">
        <v>282</v>
      </c>
      <c r="D230" s="105" t="s">
        <v>312</v>
      </c>
      <c r="E230" s="137">
        <v>800000</v>
      </c>
      <c r="F230" s="137">
        <v>40000</v>
      </c>
      <c r="G230" s="137">
        <v>10</v>
      </c>
      <c r="H230" s="138">
        <v>0.7</v>
      </c>
      <c r="I230" s="137">
        <v>16000</v>
      </c>
      <c r="J230" s="137">
        <v>25</v>
      </c>
      <c r="K230" s="139">
        <v>0.85</v>
      </c>
      <c r="L230" s="137">
        <v>10</v>
      </c>
      <c r="M230" s="109">
        <v>128000</v>
      </c>
      <c r="N230" s="109">
        <v>135333</v>
      </c>
      <c r="O230" s="110">
        <v>6120</v>
      </c>
      <c r="P230" s="111">
        <v>373881</v>
      </c>
      <c r="Q230" s="109">
        <v>1.7353322440087144</v>
      </c>
      <c r="R230" s="112">
        <v>104.11993464052287</v>
      </c>
    </row>
    <row r="231" spans="2:18" hidden="1" x14ac:dyDescent="0.25">
      <c r="B231" s="103">
        <v>230</v>
      </c>
      <c r="C231" s="104" t="s">
        <v>282</v>
      </c>
      <c r="D231" s="157" t="s">
        <v>313</v>
      </c>
      <c r="E231" s="137">
        <v>5000000</v>
      </c>
      <c r="F231" s="137">
        <v>100000</v>
      </c>
      <c r="G231" s="137">
        <v>25</v>
      </c>
      <c r="H231" s="138">
        <v>0.7</v>
      </c>
      <c r="I231" s="137">
        <v>80000</v>
      </c>
      <c r="J231" s="137">
        <v>10</v>
      </c>
      <c r="K231" s="139">
        <v>0.85</v>
      </c>
      <c r="L231" s="137">
        <v>10</v>
      </c>
      <c r="M231" s="109">
        <v>800000</v>
      </c>
      <c r="N231" s="109">
        <v>268333.2</v>
      </c>
      <c r="O231" s="110">
        <v>6120</v>
      </c>
      <c r="P231" s="111">
        <v>1036702.5</v>
      </c>
      <c r="Q231" s="109">
        <v>5.7326680283224407</v>
      </c>
      <c r="R231" s="112">
        <v>343.96008169934646</v>
      </c>
    </row>
    <row r="232" spans="2:18" hidden="1" x14ac:dyDescent="0.25">
      <c r="B232" s="103">
        <v>231</v>
      </c>
      <c r="C232" s="104" t="s">
        <v>282</v>
      </c>
      <c r="D232" s="105" t="s">
        <v>314</v>
      </c>
      <c r="E232" s="137">
        <v>15600000</v>
      </c>
      <c r="F232" s="137">
        <v>780000</v>
      </c>
      <c r="G232" s="137">
        <v>15</v>
      </c>
      <c r="H232" s="138">
        <v>0.7</v>
      </c>
      <c r="I232" s="137">
        <v>312000</v>
      </c>
      <c r="J232" s="137">
        <v>25</v>
      </c>
      <c r="K232" s="139">
        <v>0.85</v>
      </c>
      <c r="L232" s="137">
        <v>10</v>
      </c>
      <c r="M232" s="109">
        <v>2496000</v>
      </c>
      <c r="N232" s="109">
        <v>2022333</v>
      </c>
      <c r="O232" s="110">
        <v>6120</v>
      </c>
      <c r="P232" s="111">
        <v>1295221.5</v>
      </c>
      <c r="Q232" s="109">
        <v>15.832120098039216</v>
      </c>
      <c r="R232" s="112">
        <v>949.92720588235295</v>
      </c>
    </row>
    <row r="233" spans="2:18" hidden="1" x14ac:dyDescent="0.25">
      <c r="B233" s="103">
        <v>232</v>
      </c>
      <c r="C233" s="104" t="s">
        <v>282</v>
      </c>
      <c r="D233" s="149" t="s">
        <v>315</v>
      </c>
      <c r="E233" s="137">
        <v>6000000</v>
      </c>
      <c r="F233" s="137">
        <v>300000</v>
      </c>
      <c r="G233" s="137">
        <v>10</v>
      </c>
      <c r="H233" s="138">
        <v>0.7</v>
      </c>
      <c r="I233" s="137">
        <v>120000</v>
      </c>
      <c r="J233" s="137">
        <v>10</v>
      </c>
      <c r="K233" s="139">
        <v>0.85</v>
      </c>
      <c r="L233" s="137">
        <v>10</v>
      </c>
      <c r="M233" s="109">
        <v>960000</v>
      </c>
      <c r="N233" s="109">
        <v>778333.2</v>
      </c>
      <c r="O233" s="110">
        <v>6120</v>
      </c>
      <c r="P233" s="111">
        <v>639081</v>
      </c>
      <c r="Q233" s="109">
        <v>6.4744395424836609</v>
      </c>
      <c r="R233" s="112">
        <v>388.46637254901964</v>
      </c>
    </row>
    <row r="234" spans="2:18" hidden="1" x14ac:dyDescent="0.25">
      <c r="B234" s="103">
        <v>233</v>
      </c>
      <c r="C234" s="104" t="s">
        <v>282</v>
      </c>
      <c r="D234" s="105" t="s">
        <v>316</v>
      </c>
      <c r="E234" s="122">
        <v>6000000</v>
      </c>
      <c r="F234" s="122">
        <v>300000</v>
      </c>
      <c r="G234" s="122">
        <v>10</v>
      </c>
      <c r="H234" s="123">
        <v>0.7</v>
      </c>
      <c r="I234" s="122">
        <v>120000</v>
      </c>
      <c r="J234" s="122">
        <v>8</v>
      </c>
      <c r="K234" s="124">
        <v>0.85</v>
      </c>
      <c r="L234" s="122">
        <v>10</v>
      </c>
      <c r="M234" s="109">
        <v>960000</v>
      </c>
      <c r="N234" s="109">
        <v>775666.56</v>
      </c>
      <c r="O234" s="110">
        <v>6120</v>
      </c>
      <c r="P234" s="111">
        <v>639081</v>
      </c>
      <c r="Q234" s="109">
        <v>6.4671774509803921</v>
      </c>
      <c r="R234" s="112">
        <v>388.03064705882355</v>
      </c>
    </row>
    <row r="235" spans="2:18" hidden="1" x14ac:dyDescent="0.25">
      <c r="B235" s="103">
        <v>234</v>
      </c>
      <c r="C235" s="104" t="s">
        <v>282</v>
      </c>
      <c r="D235" s="105" t="s">
        <v>317</v>
      </c>
      <c r="E235" s="137">
        <v>10000</v>
      </c>
      <c r="F235" s="137">
        <v>500</v>
      </c>
      <c r="G235" s="137">
        <v>50</v>
      </c>
      <c r="H235" s="138">
        <v>0.7</v>
      </c>
      <c r="I235" s="137">
        <v>200</v>
      </c>
      <c r="J235" s="137">
        <v>25</v>
      </c>
      <c r="K235" s="139">
        <v>0.85</v>
      </c>
      <c r="L235" s="137">
        <v>10</v>
      </c>
      <c r="M235" s="109">
        <v>1600</v>
      </c>
      <c r="N235" s="109">
        <v>34608</v>
      </c>
      <c r="O235" s="110">
        <v>6120</v>
      </c>
      <c r="P235" s="111">
        <v>1665915</v>
      </c>
      <c r="Q235" s="109">
        <v>4.6354112200435731</v>
      </c>
      <c r="R235" s="112">
        <v>278.12467320261436</v>
      </c>
    </row>
    <row r="236" spans="2:18" hidden="1" x14ac:dyDescent="0.25">
      <c r="B236" s="103">
        <v>235</v>
      </c>
      <c r="C236" s="104" t="s">
        <v>282</v>
      </c>
      <c r="D236" s="105" t="s">
        <v>318</v>
      </c>
      <c r="E236" s="137">
        <v>100000</v>
      </c>
      <c r="F236" s="137">
        <v>5000</v>
      </c>
      <c r="G236" s="137">
        <v>25</v>
      </c>
      <c r="H236" s="138">
        <v>0.7</v>
      </c>
      <c r="I236" s="137">
        <v>5000</v>
      </c>
      <c r="J236" s="137">
        <v>10</v>
      </c>
      <c r="K236" s="139">
        <v>0.85</v>
      </c>
      <c r="L236" s="137">
        <v>10</v>
      </c>
      <c r="M236" s="109">
        <v>16000</v>
      </c>
      <c r="N236" s="109">
        <v>26083.200000000001</v>
      </c>
      <c r="O236" s="110">
        <v>6120</v>
      </c>
      <c r="P236" s="111">
        <v>845452.5</v>
      </c>
      <c r="Q236" s="109">
        <v>2.4170362200435727</v>
      </c>
      <c r="R236" s="112">
        <v>145.02217320261437</v>
      </c>
    </row>
    <row r="237" spans="2:18" hidden="1" x14ac:dyDescent="0.25">
      <c r="B237" s="103">
        <v>236</v>
      </c>
      <c r="C237" s="104" t="s">
        <v>282</v>
      </c>
      <c r="D237" s="105" t="s">
        <v>319</v>
      </c>
      <c r="E237" s="137">
        <v>500000</v>
      </c>
      <c r="F237" s="137">
        <v>10000</v>
      </c>
      <c r="G237" s="137">
        <v>11</v>
      </c>
      <c r="H237" s="138">
        <v>0.7</v>
      </c>
      <c r="I237" s="137">
        <v>10000</v>
      </c>
      <c r="J237" s="137">
        <v>3</v>
      </c>
      <c r="K237" s="139">
        <v>0.85</v>
      </c>
      <c r="L237" s="137">
        <v>10</v>
      </c>
      <c r="M237" s="109">
        <v>80000</v>
      </c>
      <c r="N237" s="109">
        <v>29499.96</v>
      </c>
      <c r="O237" s="110">
        <v>6120</v>
      </c>
      <c r="P237" s="111">
        <v>391889.1</v>
      </c>
      <c r="Q237" s="109">
        <v>1.3654386165577344</v>
      </c>
      <c r="R237" s="112">
        <v>81.926316993464056</v>
      </c>
    </row>
    <row r="238" spans="2:18" hidden="1" x14ac:dyDescent="0.25">
      <c r="B238" s="103">
        <v>237</v>
      </c>
      <c r="C238" s="104" t="s">
        <v>282</v>
      </c>
      <c r="D238" s="105" t="s">
        <v>320</v>
      </c>
      <c r="E238" s="137">
        <v>1600000</v>
      </c>
      <c r="F238" s="137">
        <v>80000</v>
      </c>
      <c r="G238" s="137">
        <v>7.5</v>
      </c>
      <c r="H238" s="138">
        <v>0.7</v>
      </c>
      <c r="I238" s="137">
        <v>32000</v>
      </c>
      <c r="J238" s="137">
        <v>24</v>
      </c>
      <c r="K238" s="139">
        <v>0.85</v>
      </c>
      <c r="L238" s="137">
        <v>10</v>
      </c>
      <c r="M238" s="109">
        <v>256000</v>
      </c>
      <c r="N238" s="109">
        <v>235999.68</v>
      </c>
      <c r="O238" s="110">
        <v>6120</v>
      </c>
      <c r="P238" s="111">
        <v>331410.74999999994</v>
      </c>
      <c r="Q238" s="109">
        <v>2.2424031318082789</v>
      </c>
      <c r="R238" s="112">
        <v>134.54418790849672</v>
      </c>
    </row>
    <row r="239" spans="2:18" hidden="1" x14ac:dyDescent="0.25">
      <c r="B239" s="103">
        <v>238</v>
      </c>
      <c r="C239" s="104" t="s">
        <v>282</v>
      </c>
      <c r="D239" s="121" t="s">
        <v>321</v>
      </c>
      <c r="E239" s="137">
        <v>1600000</v>
      </c>
      <c r="F239" s="137">
        <v>32000</v>
      </c>
      <c r="G239" s="137">
        <v>7.5</v>
      </c>
      <c r="H239" s="138">
        <v>0.7</v>
      </c>
      <c r="I239" s="137">
        <v>32000</v>
      </c>
      <c r="J239" s="137">
        <v>24</v>
      </c>
      <c r="K239" s="139">
        <v>0.85</v>
      </c>
      <c r="L239" s="137">
        <v>10</v>
      </c>
      <c r="M239" s="109">
        <v>256000</v>
      </c>
      <c r="N239" s="109">
        <v>113599.67999999999</v>
      </c>
      <c r="O239" s="110">
        <v>6120</v>
      </c>
      <c r="P239" s="111">
        <v>331410.74999999994</v>
      </c>
      <c r="Q239" s="125">
        <v>1.9090697984749454</v>
      </c>
      <c r="R239" s="112">
        <v>114.54418790849672</v>
      </c>
    </row>
    <row r="240" spans="2:18" hidden="1" x14ac:dyDescent="0.25">
      <c r="B240" s="103">
        <v>239</v>
      </c>
      <c r="C240" s="104" t="s">
        <v>282</v>
      </c>
      <c r="D240" s="105" t="s">
        <v>322</v>
      </c>
      <c r="E240" s="137">
        <v>1500000</v>
      </c>
      <c r="F240" s="137">
        <v>75000</v>
      </c>
      <c r="G240" s="137">
        <v>15</v>
      </c>
      <c r="H240" s="138">
        <v>0.7</v>
      </c>
      <c r="I240" s="137">
        <v>90000</v>
      </c>
      <c r="J240" s="137">
        <v>8</v>
      </c>
      <c r="K240" s="139">
        <v>0.85</v>
      </c>
      <c r="L240" s="137">
        <v>10</v>
      </c>
      <c r="M240" s="109">
        <v>240000</v>
      </c>
      <c r="N240" s="109">
        <v>201916.56</v>
      </c>
      <c r="O240" s="110">
        <v>6120</v>
      </c>
      <c r="P240" s="111">
        <v>729121.49999999988</v>
      </c>
      <c r="Q240" s="109">
        <v>3.1891014705882346</v>
      </c>
      <c r="R240" s="112">
        <v>191.34608823529408</v>
      </c>
    </row>
    <row r="241" spans="2:18" hidden="1" x14ac:dyDescent="0.25">
      <c r="B241" s="103">
        <v>240</v>
      </c>
      <c r="C241" s="104" t="s">
        <v>323</v>
      </c>
      <c r="D241" s="105" t="s">
        <v>324</v>
      </c>
      <c r="E241" s="158">
        <v>1000000</v>
      </c>
      <c r="F241" s="158">
        <v>40000</v>
      </c>
      <c r="G241" s="158">
        <v>1</v>
      </c>
      <c r="H241" s="159">
        <v>0.7</v>
      </c>
      <c r="I241" s="158">
        <v>20000</v>
      </c>
      <c r="J241" s="158">
        <v>5</v>
      </c>
      <c r="K241" s="160">
        <v>0.85</v>
      </c>
      <c r="L241" s="158">
        <v>10</v>
      </c>
      <c r="M241" s="109">
        <v>160000</v>
      </c>
      <c r="N241" s="109">
        <v>108666.6</v>
      </c>
      <c r="O241" s="110">
        <v>6120</v>
      </c>
      <c r="P241" s="111">
        <v>84308.1</v>
      </c>
      <c r="Q241" s="109">
        <v>0.96126007625272325</v>
      </c>
      <c r="R241" s="112">
        <v>57.675604575163398</v>
      </c>
    </row>
    <row r="242" spans="2:18" hidden="1" x14ac:dyDescent="0.25">
      <c r="B242" s="103">
        <v>241</v>
      </c>
      <c r="C242" s="104" t="s">
        <v>323</v>
      </c>
      <c r="D242" s="105" t="s">
        <v>325</v>
      </c>
      <c r="E242" s="158">
        <v>1000000</v>
      </c>
      <c r="F242" s="158">
        <v>81000</v>
      </c>
      <c r="G242" s="158">
        <v>10</v>
      </c>
      <c r="H242" s="159">
        <v>0.7</v>
      </c>
      <c r="I242" s="158">
        <v>4050</v>
      </c>
      <c r="J242" s="158">
        <v>20</v>
      </c>
      <c r="K242" s="160">
        <v>0.85</v>
      </c>
      <c r="L242" s="158">
        <v>10</v>
      </c>
      <c r="M242" s="109">
        <v>160000</v>
      </c>
      <c r="N242" s="109">
        <v>233216.4</v>
      </c>
      <c r="O242" s="110">
        <v>6120</v>
      </c>
      <c r="P242" s="111">
        <v>343408.5</v>
      </c>
      <c r="Q242" s="109">
        <v>2.0060590958605666</v>
      </c>
      <c r="R242" s="112">
        <v>120.36354575163399</v>
      </c>
    </row>
    <row r="243" spans="2:18" hidden="1" x14ac:dyDescent="0.25">
      <c r="B243" s="103">
        <v>242</v>
      </c>
      <c r="C243" s="104" t="s">
        <v>323</v>
      </c>
      <c r="D243" s="105" t="s">
        <v>323</v>
      </c>
      <c r="E243" s="158">
        <v>10000000</v>
      </c>
      <c r="F243" s="158">
        <v>800000</v>
      </c>
      <c r="G243" s="158">
        <v>10</v>
      </c>
      <c r="H243" s="159">
        <v>0.7</v>
      </c>
      <c r="I243" s="158">
        <v>400000</v>
      </c>
      <c r="J243" s="158">
        <v>5</v>
      </c>
      <c r="K243" s="160">
        <v>0.85</v>
      </c>
      <c r="L243" s="158">
        <v>10</v>
      </c>
      <c r="M243" s="109">
        <v>1600000</v>
      </c>
      <c r="N243" s="109">
        <v>2046666.6</v>
      </c>
      <c r="O243" s="110">
        <v>6120</v>
      </c>
      <c r="P243" s="111">
        <v>1353081</v>
      </c>
      <c r="Q243" s="109">
        <v>13.61587037037037</v>
      </c>
      <c r="R243" s="112">
        <v>816.95222222222219</v>
      </c>
    </row>
    <row r="244" spans="2:18" hidden="1" x14ac:dyDescent="0.25">
      <c r="B244" s="103">
        <v>243</v>
      </c>
      <c r="C244" s="104" t="s">
        <v>323</v>
      </c>
      <c r="D244" s="105" t="s">
        <v>326</v>
      </c>
      <c r="E244" s="116">
        <v>200000</v>
      </c>
      <c r="F244" s="116">
        <v>10000</v>
      </c>
      <c r="G244" s="116">
        <v>1</v>
      </c>
      <c r="H244" s="117">
        <v>0.7</v>
      </c>
      <c r="I244" s="116">
        <v>10000</v>
      </c>
      <c r="J244" s="116">
        <v>10</v>
      </c>
      <c r="K244" s="118">
        <v>0.85</v>
      </c>
      <c r="L244" s="116">
        <v>10</v>
      </c>
      <c r="M244" s="109">
        <v>32000</v>
      </c>
      <c r="N244" s="109">
        <v>38833.199999999997</v>
      </c>
      <c r="O244" s="110">
        <v>6120</v>
      </c>
      <c r="P244" s="111">
        <v>58808.1</v>
      </c>
      <c r="Q244" s="109">
        <v>0.35305364923747273</v>
      </c>
      <c r="R244" s="112">
        <v>21.183218954248364</v>
      </c>
    </row>
    <row r="245" spans="2:18" hidden="1" x14ac:dyDescent="0.25">
      <c r="B245" s="103">
        <v>244</v>
      </c>
      <c r="C245" s="104" t="s">
        <v>323</v>
      </c>
      <c r="D245" s="105" t="s">
        <v>327</v>
      </c>
      <c r="E245" s="116">
        <v>500000</v>
      </c>
      <c r="F245" s="116">
        <v>25000</v>
      </c>
      <c r="G245" s="116">
        <v>1</v>
      </c>
      <c r="H245" s="117">
        <v>0.7</v>
      </c>
      <c r="I245" s="116">
        <v>25000</v>
      </c>
      <c r="J245" s="116">
        <v>10</v>
      </c>
      <c r="K245" s="118">
        <v>0.85</v>
      </c>
      <c r="L245" s="116">
        <v>10</v>
      </c>
      <c r="M245" s="109">
        <v>80000</v>
      </c>
      <c r="N245" s="109">
        <v>77083.199999999997</v>
      </c>
      <c r="O245" s="110">
        <v>6120</v>
      </c>
      <c r="P245" s="111">
        <v>97058.1</v>
      </c>
      <c r="Q245" s="109">
        <v>0.69210593681917199</v>
      </c>
      <c r="R245" s="112">
        <v>41.526356209150322</v>
      </c>
    </row>
    <row r="246" spans="2:18" hidden="1" x14ac:dyDescent="0.25">
      <c r="B246" s="103">
        <v>245</v>
      </c>
      <c r="C246" s="104" t="s">
        <v>323</v>
      </c>
      <c r="D246" s="121" t="s">
        <v>328</v>
      </c>
      <c r="E246" s="116">
        <v>1000000</v>
      </c>
      <c r="F246" s="116">
        <v>10000</v>
      </c>
      <c r="G246" s="116">
        <v>1</v>
      </c>
      <c r="H246" s="117"/>
      <c r="I246" s="116">
        <v>10000</v>
      </c>
      <c r="J246" s="116">
        <v>2</v>
      </c>
      <c r="K246" s="118">
        <v>0.85</v>
      </c>
      <c r="L246" s="116">
        <v>10</v>
      </c>
      <c r="M246" s="109">
        <v>160000</v>
      </c>
      <c r="N246" s="109">
        <v>28166.639999999999</v>
      </c>
      <c r="O246" s="110">
        <v>6120</v>
      </c>
      <c r="P246" s="111">
        <v>25500</v>
      </c>
      <c r="Q246" s="109">
        <v>0.58188082788671025</v>
      </c>
      <c r="R246" s="112">
        <v>34.912849673202615</v>
      </c>
    </row>
    <row r="247" spans="2:18" hidden="1" x14ac:dyDescent="0.25">
      <c r="B247" s="103">
        <v>246</v>
      </c>
      <c r="C247" s="104" t="s">
        <v>323</v>
      </c>
      <c r="D247" s="105" t="s">
        <v>329</v>
      </c>
      <c r="E247" s="158"/>
      <c r="F247" s="158"/>
      <c r="G247" s="158"/>
      <c r="H247" s="159"/>
      <c r="I247" s="158"/>
      <c r="J247" s="158"/>
      <c r="K247" s="160">
        <v>0.85</v>
      </c>
      <c r="L247" s="158">
        <v>10</v>
      </c>
      <c r="M247" s="109">
        <v>0</v>
      </c>
      <c r="N247" s="109">
        <v>0</v>
      </c>
      <c r="O247" s="110">
        <v>6120</v>
      </c>
      <c r="P247" s="111">
        <v>0</v>
      </c>
      <c r="Q247" s="109">
        <v>0.95</v>
      </c>
      <c r="R247" s="112">
        <v>57</v>
      </c>
    </row>
    <row r="248" spans="2:18" hidden="1" x14ac:dyDescent="0.25">
      <c r="B248" s="103">
        <v>247</v>
      </c>
      <c r="C248" s="104" t="s">
        <v>330</v>
      </c>
      <c r="D248" s="105" t="s">
        <v>331</v>
      </c>
      <c r="E248" s="161">
        <v>531771</v>
      </c>
      <c r="F248" s="161">
        <v>24195.5805</v>
      </c>
      <c r="G248" s="161">
        <v>10.5</v>
      </c>
      <c r="H248" s="162">
        <v>0.7</v>
      </c>
      <c r="I248" s="161">
        <v>106354.20000000001</v>
      </c>
      <c r="J248" s="161">
        <v>4</v>
      </c>
      <c r="K248" s="163">
        <v>0.85</v>
      </c>
      <c r="L248" s="161">
        <v>10</v>
      </c>
      <c r="M248" s="109">
        <v>85083.36</v>
      </c>
      <c r="N248" s="109">
        <v>67032.010275000008</v>
      </c>
      <c r="O248" s="110">
        <v>6120</v>
      </c>
      <c r="P248" s="111">
        <v>620938.26</v>
      </c>
      <c r="Q248" s="109">
        <v>2.1052658776552287</v>
      </c>
      <c r="R248" s="112">
        <v>126.31595265931372</v>
      </c>
    </row>
    <row r="249" spans="2:18" hidden="1" x14ac:dyDescent="0.25">
      <c r="B249" s="103">
        <v>248</v>
      </c>
      <c r="C249" s="104" t="s">
        <v>330</v>
      </c>
      <c r="D249" s="105" t="s">
        <v>332</v>
      </c>
      <c r="E249" s="161">
        <v>650000</v>
      </c>
      <c r="F249" s="161">
        <v>32500</v>
      </c>
      <c r="G249" s="161">
        <v>10.5</v>
      </c>
      <c r="H249" s="162">
        <v>0.7</v>
      </c>
      <c r="I249" s="161">
        <v>32500</v>
      </c>
      <c r="J249" s="161">
        <v>10</v>
      </c>
      <c r="K249" s="163">
        <v>0.85</v>
      </c>
      <c r="L249" s="161">
        <v>10</v>
      </c>
      <c r="M249" s="109">
        <v>104000</v>
      </c>
      <c r="N249" s="109">
        <v>96208.2</v>
      </c>
      <c r="O249" s="110">
        <v>6120</v>
      </c>
      <c r="P249" s="111">
        <v>432610.05</v>
      </c>
      <c r="Q249" s="109">
        <v>1.7233612472766884</v>
      </c>
      <c r="R249" s="112">
        <v>103.4016748366013</v>
      </c>
    </row>
    <row r="250" spans="2:18" hidden="1" x14ac:dyDescent="0.25">
      <c r="B250" s="103">
        <v>249</v>
      </c>
      <c r="C250" s="104" t="s">
        <v>330</v>
      </c>
      <c r="D250" s="105" t="s">
        <v>333</v>
      </c>
      <c r="E250" s="161">
        <v>1200000</v>
      </c>
      <c r="F250" s="161">
        <v>60000</v>
      </c>
      <c r="G250" s="161">
        <v>10.5</v>
      </c>
      <c r="H250" s="162">
        <v>0.7</v>
      </c>
      <c r="I250" s="161">
        <v>120000</v>
      </c>
      <c r="J250" s="161">
        <v>10</v>
      </c>
      <c r="K250" s="163">
        <v>0.85</v>
      </c>
      <c r="L250" s="161">
        <v>10</v>
      </c>
      <c r="M250" s="109">
        <v>192000</v>
      </c>
      <c r="N250" s="109">
        <v>166333.20000000001</v>
      </c>
      <c r="O250" s="110">
        <v>6120</v>
      </c>
      <c r="P250" s="111">
        <v>655735.05000000005</v>
      </c>
      <c r="Q250" s="109">
        <v>2.7616237745098036</v>
      </c>
      <c r="R250" s="112">
        <v>165.69742647058823</v>
      </c>
    </row>
    <row r="251" spans="2:18" hidden="1" x14ac:dyDescent="0.25">
      <c r="B251" s="103">
        <v>250</v>
      </c>
      <c r="C251" s="104" t="s">
        <v>330</v>
      </c>
      <c r="D251" s="105" t="s">
        <v>334</v>
      </c>
      <c r="E251" s="161">
        <v>3280000</v>
      </c>
      <c r="F251" s="161">
        <v>25000</v>
      </c>
      <c r="G251" s="161">
        <v>25</v>
      </c>
      <c r="H251" s="162">
        <v>0.7</v>
      </c>
      <c r="I251" s="161">
        <v>44000</v>
      </c>
      <c r="J251" s="161">
        <v>25</v>
      </c>
      <c r="K251" s="163">
        <v>0.85</v>
      </c>
      <c r="L251" s="161">
        <v>10</v>
      </c>
      <c r="M251" s="109">
        <v>524800</v>
      </c>
      <c r="N251" s="109">
        <v>97083</v>
      </c>
      <c r="O251" s="110">
        <v>6120</v>
      </c>
      <c r="P251" s="111">
        <v>944902.5</v>
      </c>
      <c r="Q251" s="109">
        <v>4.2668450435729852</v>
      </c>
      <c r="R251" s="112">
        <v>256.01070261437911</v>
      </c>
    </row>
    <row r="252" spans="2:18" hidden="1" x14ac:dyDescent="0.25">
      <c r="B252" s="103">
        <v>251</v>
      </c>
      <c r="C252" s="104" t="s">
        <v>330</v>
      </c>
      <c r="D252" s="105" t="s">
        <v>335</v>
      </c>
      <c r="E252" s="161">
        <v>2154421</v>
      </c>
      <c r="F252" s="161">
        <v>107721.05</v>
      </c>
      <c r="G252" s="161">
        <v>2</v>
      </c>
      <c r="H252" s="162"/>
      <c r="I252" s="161">
        <v>43088.42</v>
      </c>
      <c r="J252" s="161">
        <v>4</v>
      </c>
      <c r="K252" s="163">
        <v>0.85</v>
      </c>
      <c r="L252" s="161">
        <v>10</v>
      </c>
      <c r="M252" s="109">
        <v>344707.36</v>
      </c>
      <c r="N252" s="109">
        <v>280021.95750000002</v>
      </c>
      <c r="O252" s="110">
        <v>6120</v>
      </c>
      <c r="P252" s="111">
        <v>109875.47099999999</v>
      </c>
      <c r="Q252" s="109">
        <v>2.0005577028867103</v>
      </c>
      <c r="R252" s="112">
        <v>120.03346217320262</v>
      </c>
    </row>
    <row r="253" spans="2:18" hidden="1" x14ac:dyDescent="0.25">
      <c r="B253" s="103">
        <v>252</v>
      </c>
      <c r="C253" s="104" t="s">
        <v>330</v>
      </c>
      <c r="D253" s="105" t="s">
        <v>336</v>
      </c>
      <c r="E253" s="161">
        <v>531771</v>
      </c>
      <c r="F253" s="161">
        <v>24195.5805</v>
      </c>
      <c r="G253" s="161">
        <v>10.5</v>
      </c>
      <c r="H253" s="162">
        <v>0.7</v>
      </c>
      <c r="I253" s="161">
        <v>106354.20000000001</v>
      </c>
      <c r="J253" s="161">
        <v>10</v>
      </c>
      <c r="K253" s="163">
        <v>0.85</v>
      </c>
      <c r="L253" s="161">
        <v>10</v>
      </c>
      <c r="M253" s="109">
        <v>85083.36</v>
      </c>
      <c r="N253" s="109">
        <v>75031.930275000006</v>
      </c>
      <c r="O253" s="110">
        <v>6120</v>
      </c>
      <c r="P253" s="111">
        <v>620938.26</v>
      </c>
      <c r="Q253" s="109">
        <v>2.127052152165033</v>
      </c>
      <c r="R253" s="112">
        <v>127.62312912990198</v>
      </c>
    </row>
    <row r="254" spans="2:18" hidden="1" x14ac:dyDescent="0.25">
      <c r="B254" s="103">
        <v>253</v>
      </c>
      <c r="C254" s="104" t="s">
        <v>330</v>
      </c>
      <c r="D254" s="105" t="s">
        <v>337</v>
      </c>
      <c r="E254" s="161">
        <v>2000000</v>
      </c>
      <c r="F254" s="161">
        <v>160000</v>
      </c>
      <c r="G254" s="161">
        <v>15</v>
      </c>
      <c r="H254" s="162">
        <v>0.7</v>
      </c>
      <c r="I254" s="161">
        <v>80000</v>
      </c>
      <c r="J254" s="161">
        <v>5</v>
      </c>
      <c r="K254" s="163">
        <v>0.85</v>
      </c>
      <c r="L254" s="161">
        <v>10</v>
      </c>
      <c r="M254" s="109">
        <v>320000</v>
      </c>
      <c r="N254" s="109">
        <v>414666.6</v>
      </c>
      <c r="O254" s="110">
        <v>6120</v>
      </c>
      <c r="P254" s="111">
        <v>703621.49999999988</v>
      </c>
      <c r="Q254" s="109">
        <v>3.9169065904139431</v>
      </c>
      <c r="R254" s="112">
        <v>235.01439542483658</v>
      </c>
    </row>
    <row r="255" spans="2:18" hidden="1" x14ac:dyDescent="0.25">
      <c r="B255" s="103">
        <v>254</v>
      </c>
      <c r="C255" s="104" t="s">
        <v>330</v>
      </c>
      <c r="D255" s="105" t="s">
        <v>330</v>
      </c>
      <c r="E255" s="161">
        <v>100000</v>
      </c>
      <c r="F255" s="161">
        <v>5000</v>
      </c>
      <c r="G255" s="161">
        <v>25</v>
      </c>
      <c r="H255" s="162">
        <v>0.7</v>
      </c>
      <c r="I255" s="161">
        <v>5000</v>
      </c>
      <c r="J255" s="161">
        <v>10</v>
      </c>
      <c r="K255" s="163">
        <v>0.85</v>
      </c>
      <c r="L255" s="161">
        <v>10</v>
      </c>
      <c r="M255" s="109">
        <v>16000</v>
      </c>
      <c r="N255" s="109">
        <v>26083.200000000001</v>
      </c>
      <c r="O255" s="110">
        <v>6120</v>
      </c>
      <c r="P255" s="111">
        <v>845452.5</v>
      </c>
      <c r="Q255" s="109">
        <v>2.4170362200435727</v>
      </c>
      <c r="R255" s="112">
        <v>145.02217320261437</v>
      </c>
    </row>
    <row r="256" spans="2:18" hidden="1" x14ac:dyDescent="0.25">
      <c r="B256" s="103">
        <v>255</v>
      </c>
      <c r="C256" s="104" t="s">
        <v>330</v>
      </c>
      <c r="D256" s="140" t="s">
        <v>338</v>
      </c>
      <c r="E256" s="161">
        <v>36900000</v>
      </c>
      <c r="F256" s="161">
        <v>1845000</v>
      </c>
      <c r="G256" s="161">
        <v>158.34</v>
      </c>
      <c r="H256" s="162">
        <v>0.7</v>
      </c>
      <c r="I256" s="161">
        <v>738000</v>
      </c>
      <c r="J256" s="161">
        <v>15</v>
      </c>
      <c r="K256" s="163">
        <v>0.85</v>
      </c>
      <c r="L256" s="161">
        <v>10</v>
      </c>
      <c r="M256" s="109">
        <v>5904000</v>
      </c>
      <c r="N256" s="109">
        <v>4724749.8</v>
      </c>
      <c r="O256" s="110">
        <v>6120</v>
      </c>
      <c r="P256" s="111">
        <v>7155904.5539999995</v>
      </c>
      <c r="Q256" s="109">
        <v>48.433154558823524</v>
      </c>
      <c r="R256" s="112">
        <v>2905.9892735294115</v>
      </c>
    </row>
    <row r="257" spans="2:18" hidden="1" x14ac:dyDescent="0.25">
      <c r="B257" s="103">
        <v>256</v>
      </c>
      <c r="C257" s="104" t="s">
        <v>330</v>
      </c>
      <c r="D257" s="105" t="s">
        <v>339</v>
      </c>
      <c r="E257" s="161">
        <v>6560000</v>
      </c>
      <c r="F257" s="161">
        <v>328000</v>
      </c>
      <c r="G257" s="161">
        <v>50</v>
      </c>
      <c r="H257" s="162">
        <v>1</v>
      </c>
      <c r="I257" s="161">
        <v>131200</v>
      </c>
      <c r="J257" s="161">
        <v>30</v>
      </c>
      <c r="K257" s="163">
        <v>0.85</v>
      </c>
      <c r="L257" s="161">
        <v>10</v>
      </c>
      <c r="M257" s="109">
        <v>1049600</v>
      </c>
      <c r="N257" s="109">
        <v>876399.6</v>
      </c>
      <c r="O257" s="110">
        <v>6120</v>
      </c>
      <c r="P257" s="111">
        <v>2713710</v>
      </c>
      <c r="Q257" s="109">
        <v>12.635374727668845</v>
      </c>
      <c r="R257" s="112">
        <v>758.12248366013068</v>
      </c>
    </row>
    <row r="258" spans="2:18" hidden="1" x14ac:dyDescent="0.25">
      <c r="B258" s="103">
        <v>257</v>
      </c>
      <c r="C258" s="104" t="s">
        <v>330</v>
      </c>
      <c r="D258" s="105" t="s">
        <v>340</v>
      </c>
      <c r="E258" s="161">
        <v>6000000</v>
      </c>
      <c r="F258" s="161">
        <v>500000</v>
      </c>
      <c r="G258" s="161">
        <v>200</v>
      </c>
      <c r="H258" s="162">
        <v>0.7</v>
      </c>
      <c r="I258" s="161">
        <v>350000</v>
      </c>
      <c r="J258" s="161">
        <v>15</v>
      </c>
      <c r="K258" s="163">
        <v>0.85</v>
      </c>
      <c r="L258" s="161">
        <v>10</v>
      </c>
      <c r="M258" s="109">
        <v>960000</v>
      </c>
      <c r="N258" s="109">
        <v>1294999.8</v>
      </c>
      <c r="O258" s="110">
        <v>6120</v>
      </c>
      <c r="P258" s="111">
        <v>7554120</v>
      </c>
      <c r="Q258" s="109">
        <v>26.713289215686277</v>
      </c>
      <c r="R258" s="112">
        <v>1602.7973529411765</v>
      </c>
    </row>
    <row r="259" spans="2:18" hidden="1" x14ac:dyDescent="0.25">
      <c r="B259" s="103">
        <v>258</v>
      </c>
      <c r="C259" s="104" t="s">
        <v>330</v>
      </c>
      <c r="D259" s="105" t="s">
        <v>341</v>
      </c>
      <c r="E259" s="161">
        <v>10000000</v>
      </c>
      <c r="F259" s="161">
        <v>500000</v>
      </c>
      <c r="G259" s="161">
        <v>10</v>
      </c>
      <c r="H259" s="162">
        <v>0.7</v>
      </c>
      <c r="I259" s="161">
        <v>70000</v>
      </c>
      <c r="J259" s="161">
        <v>16</v>
      </c>
      <c r="K259" s="163">
        <v>0.85</v>
      </c>
      <c r="L259" s="161">
        <v>10</v>
      </c>
      <c r="M259" s="109">
        <v>1600000</v>
      </c>
      <c r="N259" s="109">
        <v>1296333.1200000001</v>
      </c>
      <c r="O259" s="110">
        <v>6120</v>
      </c>
      <c r="P259" s="111">
        <v>511581</v>
      </c>
      <c r="Q259" s="109">
        <v>9.2808118736383456</v>
      </c>
      <c r="R259" s="112">
        <v>556.84871241830069</v>
      </c>
    </row>
    <row r="260" spans="2:18" hidden="1" x14ac:dyDescent="0.25">
      <c r="B260" s="103">
        <v>259</v>
      </c>
      <c r="C260" s="104" t="s">
        <v>174</v>
      </c>
      <c r="D260" s="121" t="s">
        <v>71</v>
      </c>
      <c r="E260" s="116">
        <v>100000</v>
      </c>
      <c r="F260" s="116">
        <v>22680</v>
      </c>
      <c r="G260" s="116">
        <v>1</v>
      </c>
      <c r="H260" s="117">
        <v>0.7</v>
      </c>
      <c r="I260" s="116">
        <v>0</v>
      </c>
      <c r="J260" s="116">
        <v>4</v>
      </c>
      <c r="K260" s="118">
        <v>0.85</v>
      </c>
      <c r="L260" s="116">
        <v>10</v>
      </c>
      <c r="M260" s="109">
        <v>16000</v>
      </c>
      <c r="N260" s="109">
        <v>63167.28</v>
      </c>
      <c r="O260" s="110">
        <v>6120</v>
      </c>
      <c r="P260" s="111">
        <v>33308.1</v>
      </c>
      <c r="Q260" s="125">
        <v>0.30630550108932464</v>
      </c>
      <c r="R260" s="112">
        <v>18.378330065359478</v>
      </c>
    </row>
    <row r="261" spans="2:18" hidden="1" x14ac:dyDescent="0.25">
      <c r="B261" s="103">
        <v>260</v>
      </c>
      <c r="C261" s="104" t="s">
        <v>174</v>
      </c>
      <c r="D261" s="105" t="s">
        <v>342</v>
      </c>
      <c r="E261" s="116">
        <v>150000</v>
      </c>
      <c r="F261" s="116">
        <v>7500</v>
      </c>
      <c r="G261" s="116">
        <v>10</v>
      </c>
      <c r="H261" s="117">
        <v>0.7</v>
      </c>
      <c r="I261" s="116">
        <v>3000</v>
      </c>
      <c r="J261" s="116">
        <v>10</v>
      </c>
      <c r="K261" s="118">
        <v>0.85</v>
      </c>
      <c r="L261" s="116">
        <v>10</v>
      </c>
      <c r="M261" s="109">
        <v>24000</v>
      </c>
      <c r="N261" s="109">
        <v>32458.2</v>
      </c>
      <c r="O261" s="110">
        <v>6120</v>
      </c>
      <c r="P261" s="111">
        <v>340731</v>
      </c>
      <c r="Q261" s="109">
        <v>1.081669934640523</v>
      </c>
      <c r="R261" s="112">
        <v>64.900196078431378</v>
      </c>
    </row>
    <row r="262" spans="2:18" hidden="1" x14ac:dyDescent="0.25">
      <c r="B262" s="103">
        <v>261</v>
      </c>
      <c r="C262" s="104" t="s">
        <v>174</v>
      </c>
      <c r="D262" s="149" t="s">
        <v>343</v>
      </c>
      <c r="E262" s="116">
        <v>1300000</v>
      </c>
      <c r="F262" s="116">
        <v>65000</v>
      </c>
      <c r="G262" s="116">
        <v>4</v>
      </c>
      <c r="H262" s="117">
        <v>0.7</v>
      </c>
      <c r="I262" s="116">
        <v>26000</v>
      </c>
      <c r="J262" s="116">
        <v>30.6</v>
      </c>
      <c r="K262" s="118">
        <v>0.85</v>
      </c>
      <c r="L262" s="116">
        <v>10</v>
      </c>
      <c r="M262" s="109">
        <v>208000</v>
      </c>
      <c r="N262" s="109">
        <v>206549.592</v>
      </c>
      <c r="O262" s="110">
        <v>6120</v>
      </c>
      <c r="P262" s="111">
        <v>199532.4</v>
      </c>
      <c r="Q262" s="109">
        <v>1.672336579520697</v>
      </c>
      <c r="R262" s="112">
        <v>100.34019477124183</v>
      </c>
    </row>
    <row r="263" spans="2:18" hidden="1" x14ac:dyDescent="0.25">
      <c r="B263" s="103">
        <v>262</v>
      </c>
      <c r="C263" s="104" t="s">
        <v>174</v>
      </c>
      <c r="D263" s="149" t="s">
        <v>344</v>
      </c>
      <c r="E263" s="116">
        <v>845000</v>
      </c>
      <c r="F263" s="116">
        <v>42250</v>
      </c>
      <c r="G263" s="116">
        <v>4</v>
      </c>
      <c r="H263" s="117">
        <v>0.7</v>
      </c>
      <c r="I263" s="116">
        <v>16900</v>
      </c>
      <c r="J263" s="116">
        <v>24.48</v>
      </c>
      <c r="K263" s="118">
        <v>0.85</v>
      </c>
      <c r="L263" s="116">
        <v>10</v>
      </c>
      <c r="M263" s="109">
        <v>135200</v>
      </c>
      <c r="N263" s="109">
        <v>140377.17360000001</v>
      </c>
      <c r="O263" s="110">
        <v>6120</v>
      </c>
      <c r="P263" s="111">
        <v>176327.4</v>
      </c>
      <c r="Q263" s="109">
        <v>1.2306769433551199</v>
      </c>
      <c r="R263" s="112">
        <v>73.84061660130719</v>
      </c>
    </row>
    <row r="264" spans="2:18" hidden="1" x14ac:dyDescent="0.25">
      <c r="B264" s="103">
        <v>263</v>
      </c>
      <c r="C264" s="104" t="s">
        <v>174</v>
      </c>
      <c r="D264" s="149" t="s">
        <v>345</v>
      </c>
      <c r="E264" s="116">
        <v>390000</v>
      </c>
      <c r="F264" s="116">
        <v>19500</v>
      </c>
      <c r="G264" s="116">
        <v>2</v>
      </c>
      <c r="H264" s="117">
        <v>0.7</v>
      </c>
      <c r="I264" s="116">
        <v>7800</v>
      </c>
      <c r="J264" s="116">
        <v>20</v>
      </c>
      <c r="K264" s="118">
        <v>0.85</v>
      </c>
      <c r="L264" s="116">
        <v>10</v>
      </c>
      <c r="M264" s="109">
        <v>62400</v>
      </c>
      <c r="N264" s="109">
        <v>76391.399999999994</v>
      </c>
      <c r="O264" s="110">
        <v>6120</v>
      </c>
      <c r="P264" s="111">
        <v>86506.2</v>
      </c>
      <c r="Q264" s="109">
        <v>0.61355555555555552</v>
      </c>
      <c r="R264" s="112">
        <v>36.813333333333333</v>
      </c>
    </row>
    <row r="265" spans="2:18" hidden="1" x14ac:dyDescent="0.25">
      <c r="B265" s="103">
        <v>264</v>
      </c>
      <c r="C265" s="104" t="s">
        <v>174</v>
      </c>
      <c r="D265" s="149" t="s">
        <v>346</v>
      </c>
      <c r="E265" s="116">
        <v>975000</v>
      </c>
      <c r="F265" s="116">
        <v>48750</v>
      </c>
      <c r="G265" s="116">
        <v>2</v>
      </c>
      <c r="H265" s="117">
        <v>0.7</v>
      </c>
      <c r="I265" s="116">
        <v>19500</v>
      </c>
      <c r="J265" s="116">
        <v>10</v>
      </c>
      <c r="K265" s="118">
        <v>0.85</v>
      </c>
      <c r="L265" s="116">
        <v>10</v>
      </c>
      <c r="M265" s="109">
        <v>156000</v>
      </c>
      <c r="N265" s="109">
        <v>137645.70000000001</v>
      </c>
      <c r="O265" s="110">
        <v>6120</v>
      </c>
      <c r="P265" s="111">
        <v>116341.2</v>
      </c>
      <c r="Q265" s="109">
        <v>1.1165220588235296</v>
      </c>
      <c r="R265" s="112">
        <v>66.991323529411773</v>
      </c>
    </row>
    <row r="266" spans="2:18" hidden="1" x14ac:dyDescent="0.25">
      <c r="B266" s="103">
        <v>265</v>
      </c>
      <c r="C266" s="104" t="s">
        <v>174</v>
      </c>
      <c r="D266" s="164" t="s">
        <v>347</v>
      </c>
      <c r="E266" s="116">
        <v>1500000</v>
      </c>
      <c r="F266" s="116">
        <v>75000</v>
      </c>
      <c r="G266" s="116">
        <v>24</v>
      </c>
      <c r="H266" s="117">
        <v>0.7</v>
      </c>
      <c r="I266" s="116">
        <v>30000</v>
      </c>
      <c r="J266" s="116">
        <v>20</v>
      </c>
      <c r="K266" s="118">
        <v>0.85</v>
      </c>
      <c r="L266" s="116">
        <v>10</v>
      </c>
      <c r="M266" s="109">
        <v>240000</v>
      </c>
      <c r="N266" s="109">
        <v>217916.4</v>
      </c>
      <c r="O266" s="110">
        <v>6120</v>
      </c>
      <c r="P266" s="111">
        <v>875894.39999999991</v>
      </c>
      <c r="Q266" s="109">
        <v>3.6323823529411761</v>
      </c>
      <c r="R266" s="112">
        <v>217.94294117647055</v>
      </c>
    </row>
    <row r="267" spans="2:18" hidden="1" x14ac:dyDescent="0.25">
      <c r="B267" s="103">
        <v>266</v>
      </c>
      <c r="C267" s="104" t="s">
        <v>174</v>
      </c>
      <c r="D267" s="149" t="s">
        <v>348</v>
      </c>
      <c r="E267" s="116">
        <v>300000</v>
      </c>
      <c r="F267" s="116">
        <v>15000</v>
      </c>
      <c r="G267" s="116">
        <v>2</v>
      </c>
      <c r="H267" s="117">
        <v>0.7</v>
      </c>
      <c r="I267" s="116">
        <v>6000</v>
      </c>
      <c r="J267" s="116">
        <v>24</v>
      </c>
      <c r="K267" s="118">
        <v>0.85</v>
      </c>
      <c r="L267" s="116">
        <v>10</v>
      </c>
      <c r="M267" s="109">
        <v>48000</v>
      </c>
      <c r="N267" s="109">
        <v>70249.679999999993</v>
      </c>
      <c r="O267" s="110">
        <v>6120</v>
      </c>
      <c r="P267" s="111">
        <v>81916.2</v>
      </c>
      <c r="Q267" s="109">
        <v>0.5451140522875817</v>
      </c>
      <c r="R267" s="112">
        <v>32.7068431372549</v>
      </c>
    </row>
    <row r="268" spans="2:18" hidden="1" x14ac:dyDescent="0.25">
      <c r="B268" s="103">
        <v>267</v>
      </c>
      <c r="C268" s="104" t="s">
        <v>174</v>
      </c>
      <c r="D268" s="164" t="s">
        <v>349</v>
      </c>
      <c r="E268" s="116">
        <v>1000000</v>
      </c>
      <c r="F268" s="116">
        <v>50000</v>
      </c>
      <c r="G268" s="116">
        <v>10</v>
      </c>
      <c r="H268" s="117">
        <v>0.7</v>
      </c>
      <c r="I268" s="116">
        <v>20000</v>
      </c>
      <c r="J268" s="116">
        <v>24</v>
      </c>
      <c r="K268" s="118">
        <v>0.85</v>
      </c>
      <c r="L268" s="116">
        <v>10</v>
      </c>
      <c r="M268" s="109">
        <v>160000</v>
      </c>
      <c r="N268" s="109">
        <v>159499.68</v>
      </c>
      <c r="O268" s="110">
        <v>6120</v>
      </c>
      <c r="P268" s="111">
        <v>384081</v>
      </c>
      <c r="Q268" s="109">
        <v>1.9160693899782133</v>
      </c>
      <c r="R268" s="112">
        <v>114.9641633986928</v>
      </c>
    </row>
    <row r="269" spans="2:18" hidden="1" x14ac:dyDescent="0.25">
      <c r="B269" s="103">
        <v>268</v>
      </c>
      <c r="C269" s="104" t="s">
        <v>174</v>
      </c>
      <c r="D269" s="105" t="s">
        <v>350</v>
      </c>
      <c r="E269" s="116">
        <v>5000000</v>
      </c>
      <c r="F269" s="116">
        <v>250000</v>
      </c>
      <c r="G269" s="116">
        <v>30</v>
      </c>
      <c r="H269" s="117">
        <v>0.7</v>
      </c>
      <c r="I269" s="116">
        <v>100000</v>
      </c>
      <c r="J269" s="116">
        <v>25</v>
      </c>
      <c r="K269" s="118">
        <v>0.85</v>
      </c>
      <c r="L269" s="116">
        <v>10</v>
      </c>
      <c r="M269" s="109">
        <v>800000</v>
      </c>
      <c r="N269" s="109">
        <v>670833</v>
      </c>
      <c r="O269" s="110">
        <v>6120</v>
      </c>
      <c r="P269" s="111">
        <v>1254242.9999999998</v>
      </c>
      <c r="Q269" s="109">
        <v>7.421230936819172</v>
      </c>
      <c r="R269" s="112">
        <v>445.27385620915032</v>
      </c>
    </row>
    <row r="270" spans="2:18" hidden="1" x14ac:dyDescent="0.25">
      <c r="B270" s="103">
        <v>269</v>
      </c>
      <c r="C270" s="104" t="s">
        <v>174</v>
      </c>
      <c r="D270" s="105" t="s">
        <v>351</v>
      </c>
      <c r="E270" s="116">
        <v>2000000</v>
      </c>
      <c r="F270" s="116">
        <v>100000</v>
      </c>
      <c r="G270" s="116">
        <v>20</v>
      </c>
      <c r="H270" s="117">
        <v>0.7</v>
      </c>
      <c r="I270" s="116">
        <v>40000</v>
      </c>
      <c r="J270" s="116">
        <v>25</v>
      </c>
      <c r="K270" s="118">
        <v>0.85</v>
      </c>
      <c r="L270" s="116">
        <v>10</v>
      </c>
      <c r="M270" s="109">
        <v>320000</v>
      </c>
      <c r="N270" s="109">
        <v>288333</v>
      </c>
      <c r="O270" s="110">
        <v>6120</v>
      </c>
      <c r="P270" s="111">
        <v>768162</v>
      </c>
      <c r="Q270" s="109">
        <v>3.7486247276688456</v>
      </c>
      <c r="R270" s="112">
        <v>224.91748366013073</v>
      </c>
    </row>
    <row r="271" spans="2:18" hidden="1" x14ac:dyDescent="0.25">
      <c r="B271" s="103">
        <v>270</v>
      </c>
      <c r="C271" s="104" t="s">
        <v>174</v>
      </c>
      <c r="D271" s="105" t="s">
        <v>352</v>
      </c>
      <c r="E271" s="116">
        <v>800000</v>
      </c>
      <c r="F271" s="116">
        <v>40000</v>
      </c>
      <c r="G271" s="116">
        <v>20</v>
      </c>
      <c r="H271" s="117">
        <v>0.4</v>
      </c>
      <c r="I271" s="116">
        <v>16000</v>
      </c>
      <c r="J271" s="116">
        <v>25</v>
      </c>
      <c r="K271" s="118">
        <v>0.85</v>
      </c>
      <c r="L271" s="116">
        <v>10</v>
      </c>
      <c r="M271" s="109">
        <v>128000</v>
      </c>
      <c r="N271" s="109">
        <v>135333</v>
      </c>
      <c r="O271" s="110">
        <v>6120</v>
      </c>
      <c r="P271" s="111">
        <v>421464</v>
      </c>
      <c r="Q271" s="109">
        <v>1.864915577342048</v>
      </c>
      <c r="R271" s="112">
        <v>111.89493464052288</v>
      </c>
    </row>
    <row r="272" spans="2:18" hidden="1" x14ac:dyDescent="0.25">
      <c r="B272" s="103">
        <v>271</v>
      </c>
      <c r="C272" s="104" t="s">
        <v>174</v>
      </c>
      <c r="D272" s="105" t="s">
        <v>353</v>
      </c>
      <c r="E272" s="116">
        <v>800000</v>
      </c>
      <c r="F272" s="116">
        <v>40000</v>
      </c>
      <c r="G272" s="116">
        <v>20</v>
      </c>
      <c r="H272" s="117">
        <v>0.4</v>
      </c>
      <c r="I272" s="116">
        <v>16000</v>
      </c>
      <c r="J272" s="116">
        <v>25</v>
      </c>
      <c r="K272" s="118">
        <v>0.85</v>
      </c>
      <c r="L272" s="116">
        <v>10</v>
      </c>
      <c r="M272" s="109">
        <v>128000</v>
      </c>
      <c r="N272" s="109">
        <v>135333</v>
      </c>
      <c r="O272" s="110">
        <v>6120</v>
      </c>
      <c r="P272" s="111">
        <v>421464</v>
      </c>
      <c r="Q272" s="109">
        <v>1.864915577342048</v>
      </c>
      <c r="R272" s="112">
        <v>111.89493464052288</v>
      </c>
    </row>
    <row r="273" spans="2:18" hidden="1" x14ac:dyDescent="0.25">
      <c r="B273" s="103">
        <v>272</v>
      </c>
      <c r="C273" s="104" t="s">
        <v>174</v>
      </c>
      <c r="D273" s="105" t="s">
        <v>354</v>
      </c>
      <c r="E273" s="116">
        <v>20000</v>
      </c>
      <c r="F273" s="116">
        <v>0</v>
      </c>
      <c r="G273" s="116">
        <v>0.4</v>
      </c>
      <c r="H273" s="117"/>
      <c r="I273" s="116">
        <v>0</v>
      </c>
      <c r="J273" s="116">
        <v>0</v>
      </c>
      <c r="K273" s="118">
        <v>0.85</v>
      </c>
      <c r="L273" s="116">
        <v>10</v>
      </c>
      <c r="M273" s="109">
        <v>3200</v>
      </c>
      <c r="N273" s="109">
        <v>0</v>
      </c>
      <c r="O273" s="110">
        <v>6120</v>
      </c>
      <c r="P273" s="111">
        <v>0</v>
      </c>
      <c r="Q273" s="109"/>
      <c r="R273" s="112">
        <v>0</v>
      </c>
    </row>
    <row r="274" spans="2:18" hidden="1" x14ac:dyDescent="0.25">
      <c r="B274" s="103">
        <v>273</v>
      </c>
      <c r="C274" s="104" t="s">
        <v>174</v>
      </c>
      <c r="D274" s="105" t="s">
        <v>355</v>
      </c>
      <c r="E274" s="116">
        <v>12000</v>
      </c>
      <c r="F274" s="116"/>
      <c r="G274" s="116"/>
      <c r="H274" s="117"/>
      <c r="I274" s="116"/>
      <c r="J274" s="116"/>
      <c r="K274" s="118">
        <v>0.85</v>
      </c>
      <c r="L274" s="116">
        <v>10</v>
      </c>
      <c r="M274" s="109">
        <v>1920</v>
      </c>
      <c r="N274" s="109">
        <v>0</v>
      </c>
      <c r="O274" s="110">
        <v>6120</v>
      </c>
      <c r="P274" s="111">
        <v>0</v>
      </c>
      <c r="Q274" s="109"/>
      <c r="R274" s="112">
        <v>0</v>
      </c>
    </row>
    <row r="275" spans="2:18" hidden="1" x14ac:dyDescent="0.25">
      <c r="B275" s="103">
        <v>274</v>
      </c>
      <c r="C275" s="104" t="s">
        <v>174</v>
      </c>
      <c r="D275" s="105" t="s">
        <v>356</v>
      </c>
      <c r="E275" s="116">
        <v>49200</v>
      </c>
      <c r="F275" s="116">
        <v>2460</v>
      </c>
      <c r="G275" s="116">
        <v>1</v>
      </c>
      <c r="H275" s="117"/>
      <c r="I275" s="116">
        <v>9840</v>
      </c>
      <c r="J275" s="116">
        <v>0.5</v>
      </c>
      <c r="K275" s="118">
        <v>0.85</v>
      </c>
      <c r="L275" s="116">
        <v>10</v>
      </c>
      <c r="M275" s="109">
        <v>7872</v>
      </c>
      <c r="N275" s="109">
        <v>6939.66</v>
      </c>
      <c r="O275" s="110">
        <v>6120</v>
      </c>
      <c r="P275" s="111">
        <v>25092</v>
      </c>
      <c r="Q275" s="109">
        <v>0.10867009803921569</v>
      </c>
      <c r="R275" s="112">
        <v>6.5202058823529416</v>
      </c>
    </row>
    <row r="276" spans="2:18" hidden="1" x14ac:dyDescent="0.25">
      <c r="B276" s="103">
        <v>275</v>
      </c>
      <c r="C276" s="104" t="s">
        <v>174</v>
      </c>
      <c r="D276" s="105" t="s">
        <v>357</v>
      </c>
      <c r="E276" s="116"/>
      <c r="F276" s="116"/>
      <c r="G276" s="116"/>
      <c r="H276" s="117"/>
      <c r="I276" s="116"/>
      <c r="J276" s="116"/>
      <c r="K276" s="118">
        <v>0.85</v>
      </c>
      <c r="L276" s="116">
        <v>10</v>
      </c>
      <c r="M276" s="109">
        <v>0</v>
      </c>
      <c r="N276" s="109">
        <v>0</v>
      </c>
      <c r="O276" s="110">
        <v>6120</v>
      </c>
      <c r="P276" s="111">
        <v>0</v>
      </c>
      <c r="Q276" s="109"/>
      <c r="R276" s="112"/>
    </row>
    <row r="277" spans="2:18" hidden="1" x14ac:dyDescent="0.25">
      <c r="B277" s="103">
        <v>276</v>
      </c>
      <c r="C277" s="104" t="s">
        <v>174</v>
      </c>
      <c r="D277" s="105" t="s">
        <v>358</v>
      </c>
      <c r="E277" s="116">
        <v>1520000000</v>
      </c>
      <c r="F277" s="116">
        <v>480000000</v>
      </c>
      <c r="G277" s="116">
        <v>4</v>
      </c>
      <c r="H277" s="117"/>
      <c r="I277" s="116">
        <v>120000000</v>
      </c>
      <c r="J277" s="116">
        <v>40</v>
      </c>
      <c r="K277" s="118">
        <v>0.85</v>
      </c>
      <c r="L277" s="116">
        <v>10</v>
      </c>
      <c r="M277" s="109">
        <v>243200000</v>
      </c>
      <c r="N277" s="109">
        <v>1224053332.8</v>
      </c>
      <c r="O277" s="110">
        <v>6120</v>
      </c>
      <c r="P277" s="111">
        <v>306000000</v>
      </c>
      <c r="Q277" s="109">
        <v>4829.1212766884537</v>
      </c>
      <c r="R277" s="112">
        <v>289747.27660130721</v>
      </c>
    </row>
    <row r="278" spans="2:18" hidden="1" x14ac:dyDescent="0.25">
      <c r="B278" s="103">
        <v>277</v>
      </c>
      <c r="C278" s="104" t="s">
        <v>174</v>
      </c>
      <c r="D278" s="105" t="s">
        <v>359</v>
      </c>
      <c r="E278" s="116">
        <v>4800000000</v>
      </c>
      <c r="F278" s="116">
        <v>20000000</v>
      </c>
      <c r="G278" s="116">
        <v>2</v>
      </c>
      <c r="H278" s="117"/>
      <c r="I278" s="116">
        <v>6000000</v>
      </c>
      <c r="J278" s="116">
        <v>10</v>
      </c>
      <c r="K278" s="118">
        <v>0.85</v>
      </c>
      <c r="L278" s="116">
        <v>10</v>
      </c>
      <c r="M278" s="109">
        <v>768000000</v>
      </c>
      <c r="N278" s="109">
        <v>51013333.200000003</v>
      </c>
      <c r="O278" s="110">
        <v>6120</v>
      </c>
      <c r="P278" s="111">
        <v>15300000</v>
      </c>
      <c r="Q278" s="109">
        <v>2272.0951339869284</v>
      </c>
      <c r="R278" s="112">
        <v>136325.70803921571</v>
      </c>
    </row>
    <row r="279" spans="2:18" hidden="1" x14ac:dyDescent="0.25">
      <c r="B279" s="103">
        <v>278</v>
      </c>
      <c r="C279" s="104" t="s">
        <v>174</v>
      </c>
      <c r="D279" s="105" t="s">
        <v>360</v>
      </c>
      <c r="E279" s="116">
        <v>2000000</v>
      </c>
      <c r="F279" s="116">
        <v>40000</v>
      </c>
      <c r="G279" s="116">
        <v>17.849999999999998</v>
      </c>
      <c r="H279" s="117">
        <v>0.7</v>
      </c>
      <c r="I279" s="116">
        <v>20000</v>
      </c>
      <c r="J279" s="116">
        <v>10</v>
      </c>
      <c r="K279" s="118">
        <v>0.85</v>
      </c>
      <c r="L279" s="116">
        <v>10</v>
      </c>
      <c r="M279" s="109">
        <v>320000</v>
      </c>
      <c r="N279" s="109">
        <v>115333.2</v>
      </c>
      <c r="O279" s="110">
        <v>6120</v>
      </c>
      <c r="P279" s="111">
        <v>645549.58499999985</v>
      </c>
      <c r="Q279" s="109">
        <v>2.9435805691721124</v>
      </c>
      <c r="R279" s="112">
        <v>176.61483415032674</v>
      </c>
    </row>
    <row r="280" spans="2:18" hidden="1" x14ac:dyDescent="0.25">
      <c r="B280" s="103">
        <v>279</v>
      </c>
      <c r="C280" s="104" t="s">
        <v>174</v>
      </c>
      <c r="D280" s="105" t="s">
        <v>361</v>
      </c>
      <c r="E280" s="116">
        <v>2500000</v>
      </c>
      <c r="F280" s="116">
        <v>81000</v>
      </c>
      <c r="G280" s="116">
        <v>10</v>
      </c>
      <c r="H280" s="117">
        <v>0.7</v>
      </c>
      <c r="I280" s="116">
        <v>4050</v>
      </c>
      <c r="J280" s="116">
        <v>20</v>
      </c>
      <c r="K280" s="118">
        <v>0.85</v>
      </c>
      <c r="L280" s="116">
        <v>10</v>
      </c>
      <c r="M280" s="109">
        <v>400000</v>
      </c>
      <c r="N280" s="109">
        <v>233216.4</v>
      </c>
      <c r="O280" s="110">
        <v>6120</v>
      </c>
      <c r="P280" s="111">
        <v>343408.5</v>
      </c>
      <c r="Q280" s="109">
        <v>2.6596538671023966</v>
      </c>
      <c r="R280" s="112">
        <v>159.57923202614379</v>
      </c>
    </row>
    <row r="281" spans="2:18" hidden="1" x14ac:dyDescent="0.25">
      <c r="B281" s="103">
        <v>280</v>
      </c>
      <c r="C281" s="104" t="s">
        <v>174</v>
      </c>
      <c r="D281" s="105" t="s">
        <v>362</v>
      </c>
      <c r="E281" s="116">
        <v>80000000</v>
      </c>
      <c r="F281" s="116">
        <v>81000</v>
      </c>
      <c r="G281" s="116">
        <v>40</v>
      </c>
      <c r="H281" s="117">
        <v>0.7</v>
      </c>
      <c r="I281" s="116">
        <v>4050</v>
      </c>
      <c r="J281" s="116">
        <v>100</v>
      </c>
      <c r="K281" s="118">
        <v>0.85</v>
      </c>
      <c r="L281" s="116">
        <v>10</v>
      </c>
      <c r="M281" s="109">
        <v>12800000</v>
      </c>
      <c r="N281" s="109">
        <v>339882</v>
      </c>
      <c r="O281" s="110">
        <v>6120</v>
      </c>
      <c r="P281" s="111">
        <v>1342651.5</v>
      </c>
      <c r="Q281" s="109">
        <v>39.440450708061</v>
      </c>
      <c r="R281" s="112">
        <v>2366.42704248366</v>
      </c>
    </row>
    <row r="282" spans="2:18" hidden="1" x14ac:dyDescent="0.25">
      <c r="B282" s="103">
        <v>281</v>
      </c>
      <c r="C282" s="104" t="s">
        <v>174</v>
      </c>
      <c r="D282" s="105" t="s">
        <v>363</v>
      </c>
      <c r="E282" s="116">
        <v>2000000</v>
      </c>
      <c r="F282" s="116">
        <v>81000</v>
      </c>
      <c r="G282" s="116">
        <v>10</v>
      </c>
      <c r="H282" s="117">
        <v>0.7</v>
      </c>
      <c r="I282" s="116">
        <v>4050</v>
      </c>
      <c r="J282" s="116">
        <v>20</v>
      </c>
      <c r="K282" s="118">
        <v>0.85</v>
      </c>
      <c r="L282" s="116">
        <v>10</v>
      </c>
      <c r="M282" s="109">
        <v>320000</v>
      </c>
      <c r="N282" s="109">
        <v>233216.4</v>
      </c>
      <c r="O282" s="110">
        <v>6120</v>
      </c>
      <c r="P282" s="111">
        <v>343408.5</v>
      </c>
      <c r="Q282" s="109">
        <v>2.4417889433551201</v>
      </c>
      <c r="R282" s="112">
        <v>146.5073366013072</v>
      </c>
    </row>
    <row r="283" spans="2:18" hidden="1" x14ac:dyDescent="0.25">
      <c r="B283" s="103">
        <v>282</v>
      </c>
      <c r="C283" s="104" t="s">
        <v>174</v>
      </c>
      <c r="D283" s="105" t="s">
        <v>364</v>
      </c>
      <c r="E283" s="116">
        <v>2000000</v>
      </c>
      <c r="F283" s="116">
        <v>81000</v>
      </c>
      <c r="G283" s="116">
        <v>10</v>
      </c>
      <c r="H283" s="117">
        <v>0.7</v>
      </c>
      <c r="I283" s="116">
        <v>4050</v>
      </c>
      <c r="J283" s="116">
        <v>4</v>
      </c>
      <c r="K283" s="118">
        <v>0.85</v>
      </c>
      <c r="L283" s="116">
        <v>10</v>
      </c>
      <c r="M283" s="109">
        <v>320000</v>
      </c>
      <c r="N283" s="109">
        <v>211883.28</v>
      </c>
      <c r="O283" s="110">
        <v>6120</v>
      </c>
      <c r="P283" s="111">
        <v>343408.5</v>
      </c>
      <c r="Q283" s="109">
        <v>2.383692211328976</v>
      </c>
      <c r="R283" s="112">
        <v>143.02153267973856</v>
      </c>
    </row>
    <row r="284" spans="2:18" hidden="1" x14ac:dyDescent="0.25">
      <c r="B284" s="103">
        <v>283</v>
      </c>
      <c r="C284" s="104" t="s">
        <v>174</v>
      </c>
      <c r="D284" s="165" t="s">
        <v>365</v>
      </c>
      <c r="E284" s="116">
        <v>40000000</v>
      </c>
      <c r="F284" s="116">
        <v>81000</v>
      </c>
      <c r="G284" s="116">
        <v>10</v>
      </c>
      <c r="H284" s="117">
        <v>0.7</v>
      </c>
      <c r="I284" s="116">
        <v>4050</v>
      </c>
      <c r="J284" s="116">
        <v>20</v>
      </c>
      <c r="K284" s="118">
        <v>0.85</v>
      </c>
      <c r="L284" s="116">
        <v>10</v>
      </c>
      <c r="M284" s="109">
        <v>6400000</v>
      </c>
      <c r="N284" s="109">
        <v>233216.4</v>
      </c>
      <c r="O284" s="110">
        <v>6120</v>
      </c>
      <c r="P284" s="111">
        <v>343408.5</v>
      </c>
      <c r="Q284" s="109">
        <v>18.99952314814815</v>
      </c>
      <c r="R284" s="112">
        <v>1139.9713888888889</v>
      </c>
    </row>
    <row r="285" spans="2:18" hidden="1" x14ac:dyDescent="0.25">
      <c r="B285" s="103">
        <v>284</v>
      </c>
      <c r="C285" s="104" t="s">
        <v>174</v>
      </c>
      <c r="D285" s="105" t="s">
        <v>366</v>
      </c>
      <c r="E285" s="116">
        <v>40000000</v>
      </c>
      <c r="F285" s="116">
        <v>100000</v>
      </c>
      <c r="G285" s="116">
        <v>50</v>
      </c>
      <c r="H285" s="117">
        <v>0.7</v>
      </c>
      <c r="I285" s="116">
        <v>4050</v>
      </c>
      <c r="J285" s="116">
        <v>20</v>
      </c>
      <c r="K285" s="118">
        <v>0.85</v>
      </c>
      <c r="L285" s="116">
        <v>10</v>
      </c>
      <c r="M285" s="109">
        <v>6400000</v>
      </c>
      <c r="N285" s="109">
        <v>281666.40000000002</v>
      </c>
      <c r="O285" s="110">
        <v>6120</v>
      </c>
      <c r="P285" s="111">
        <v>1675732.5</v>
      </c>
      <c r="Q285" s="109">
        <v>22.759800925925926</v>
      </c>
      <c r="R285" s="112">
        <v>1365.5880555555557</v>
      </c>
    </row>
    <row r="286" spans="2:18" hidden="1" x14ac:dyDescent="0.25">
      <c r="B286" s="103">
        <v>285</v>
      </c>
      <c r="C286" s="104" t="s">
        <v>174</v>
      </c>
      <c r="D286" s="105" t="s">
        <v>367</v>
      </c>
      <c r="E286" s="116">
        <v>40000000</v>
      </c>
      <c r="F286" s="116">
        <v>400000</v>
      </c>
      <c r="G286" s="116">
        <v>300</v>
      </c>
      <c r="H286" s="117">
        <v>0.7</v>
      </c>
      <c r="I286" s="116">
        <v>4050</v>
      </c>
      <c r="J286" s="116">
        <v>100</v>
      </c>
      <c r="K286" s="118">
        <v>0.85</v>
      </c>
      <c r="L286" s="116">
        <v>10</v>
      </c>
      <c r="M286" s="109">
        <v>6400000</v>
      </c>
      <c r="N286" s="109">
        <v>1153332</v>
      </c>
      <c r="O286" s="110">
        <v>6120</v>
      </c>
      <c r="P286" s="111">
        <v>10002757.5</v>
      </c>
      <c r="Q286" s="109">
        <v>47.810701252723312</v>
      </c>
      <c r="R286" s="112">
        <v>2868.6420751633987</v>
      </c>
    </row>
    <row r="287" spans="2:18" hidden="1" x14ac:dyDescent="0.25">
      <c r="B287" s="103">
        <v>286</v>
      </c>
      <c r="C287" s="104" t="s">
        <v>174</v>
      </c>
      <c r="D287" s="105" t="s">
        <v>368</v>
      </c>
      <c r="E287" s="116">
        <v>1000000</v>
      </c>
      <c r="F287" s="116">
        <v>81000</v>
      </c>
      <c r="G287" s="116">
        <v>10</v>
      </c>
      <c r="H287" s="117">
        <v>0.7</v>
      </c>
      <c r="I287" s="116">
        <v>4050</v>
      </c>
      <c r="J287" s="116">
        <v>20</v>
      </c>
      <c r="K287" s="118">
        <v>0.85</v>
      </c>
      <c r="L287" s="116">
        <v>10</v>
      </c>
      <c r="M287" s="109">
        <v>160000</v>
      </c>
      <c r="N287" s="109">
        <v>233216.4</v>
      </c>
      <c r="O287" s="110">
        <v>6120</v>
      </c>
      <c r="P287" s="111">
        <v>343408.5</v>
      </c>
      <c r="Q287" s="109">
        <v>2.0060590958605666</v>
      </c>
      <c r="R287" s="112">
        <v>120.36354575163399</v>
      </c>
    </row>
    <row r="288" spans="2:18" hidden="1" x14ac:dyDescent="0.25">
      <c r="B288" s="103">
        <v>287</v>
      </c>
      <c r="C288" s="104" t="s">
        <v>174</v>
      </c>
      <c r="D288" s="105" t="s">
        <v>369</v>
      </c>
      <c r="E288" s="116">
        <v>100000</v>
      </c>
      <c r="F288" s="116">
        <v>2000</v>
      </c>
      <c r="G288" s="116">
        <v>1</v>
      </c>
      <c r="H288" s="117"/>
      <c r="I288" s="116">
        <v>2000</v>
      </c>
      <c r="J288" s="116">
        <v>2</v>
      </c>
      <c r="K288" s="118">
        <v>0.85</v>
      </c>
      <c r="L288" s="116">
        <v>10</v>
      </c>
      <c r="M288" s="109">
        <v>16000</v>
      </c>
      <c r="N288" s="109">
        <v>7766.6399999999994</v>
      </c>
      <c r="O288" s="110">
        <v>6120</v>
      </c>
      <c r="P288" s="111">
        <v>5100</v>
      </c>
      <c r="Q288" s="109">
        <v>7.8612854030501084E-2</v>
      </c>
      <c r="R288" s="112">
        <v>4.7167712418300649</v>
      </c>
    </row>
    <row r="289" spans="2:18" hidden="1" x14ac:dyDescent="0.25">
      <c r="B289" s="103">
        <v>288</v>
      </c>
      <c r="C289" s="104" t="s">
        <v>174</v>
      </c>
      <c r="D289" s="105" t="s">
        <v>370</v>
      </c>
      <c r="E289" s="116">
        <v>100000</v>
      </c>
      <c r="F289" s="116">
        <v>2000</v>
      </c>
      <c r="G289" s="116">
        <v>1</v>
      </c>
      <c r="H289" s="117"/>
      <c r="I289" s="116">
        <v>2000</v>
      </c>
      <c r="J289" s="116">
        <v>2</v>
      </c>
      <c r="K289" s="118">
        <v>0.85</v>
      </c>
      <c r="L289" s="116">
        <v>10</v>
      </c>
      <c r="M289" s="109">
        <v>16000</v>
      </c>
      <c r="N289" s="109">
        <v>7766.6399999999994</v>
      </c>
      <c r="O289" s="110">
        <v>6120</v>
      </c>
      <c r="P289" s="111">
        <v>5100</v>
      </c>
      <c r="Q289" s="109">
        <v>7.8612854030501084E-2</v>
      </c>
      <c r="R289" s="112">
        <v>4.7167712418300649</v>
      </c>
    </row>
    <row r="290" spans="2:18" hidden="1" x14ac:dyDescent="0.25">
      <c r="B290" s="103">
        <v>289</v>
      </c>
      <c r="C290" s="104" t="s">
        <v>174</v>
      </c>
      <c r="D290" s="105" t="s">
        <v>371</v>
      </c>
      <c r="E290" s="116">
        <v>1000000</v>
      </c>
      <c r="F290" s="116">
        <v>20000</v>
      </c>
      <c r="G290" s="116">
        <v>0.7</v>
      </c>
      <c r="H290" s="117"/>
      <c r="I290" s="116">
        <v>20000</v>
      </c>
      <c r="J290" s="116">
        <v>15</v>
      </c>
      <c r="K290" s="118">
        <v>0.85</v>
      </c>
      <c r="L290" s="116">
        <v>10</v>
      </c>
      <c r="M290" s="109">
        <v>160000</v>
      </c>
      <c r="N290" s="109">
        <v>70999.8</v>
      </c>
      <c r="O290" s="110">
        <v>6120</v>
      </c>
      <c r="P290" s="111">
        <v>51000</v>
      </c>
      <c r="Q290" s="109">
        <v>0.7679733115468409</v>
      </c>
      <c r="R290" s="112">
        <v>46.078398692810453</v>
      </c>
    </row>
    <row r="291" spans="2:18" hidden="1" x14ac:dyDescent="0.25">
      <c r="B291" s="103">
        <v>290</v>
      </c>
      <c r="C291" s="104" t="s">
        <v>174</v>
      </c>
      <c r="D291" s="105" t="s">
        <v>372</v>
      </c>
      <c r="E291" s="116">
        <v>2000000</v>
      </c>
      <c r="F291" s="116">
        <v>100000</v>
      </c>
      <c r="G291" s="116">
        <v>25</v>
      </c>
      <c r="H291" s="117"/>
      <c r="I291" s="116">
        <v>5000</v>
      </c>
      <c r="J291" s="116">
        <v>15</v>
      </c>
      <c r="K291" s="118">
        <v>0.85</v>
      </c>
      <c r="L291" s="116">
        <v>10</v>
      </c>
      <c r="M291" s="109">
        <v>320000</v>
      </c>
      <c r="N291" s="109">
        <v>274999.8</v>
      </c>
      <c r="O291" s="110">
        <v>6120</v>
      </c>
      <c r="P291" s="111">
        <v>12750</v>
      </c>
      <c r="Q291" s="109">
        <v>1.6550920479302833</v>
      </c>
      <c r="R291" s="112">
        <v>99.305522875817005</v>
      </c>
    </row>
    <row r="292" spans="2:18" hidden="1" x14ac:dyDescent="0.25">
      <c r="B292" s="103">
        <v>291</v>
      </c>
      <c r="C292" s="104" t="s">
        <v>174</v>
      </c>
      <c r="D292" s="105" t="s">
        <v>373</v>
      </c>
      <c r="E292" s="116">
        <v>1000000</v>
      </c>
      <c r="F292" s="116">
        <v>80000</v>
      </c>
      <c r="G292" s="116">
        <v>10</v>
      </c>
      <c r="H292" s="117">
        <v>0.7</v>
      </c>
      <c r="I292" s="116">
        <v>40000</v>
      </c>
      <c r="J292" s="116">
        <v>5</v>
      </c>
      <c r="K292" s="118">
        <v>0.85</v>
      </c>
      <c r="L292" s="116">
        <v>10</v>
      </c>
      <c r="M292" s="109">
        <v>160000</v>
      </c>
      <c r="N292" s="109">
        <v>210666.6</v>
      </c>
      <c r="O292" s="110">
        <v>6120</v>
      </c>
      <c r="P292" s="111">
        <v>435081</v>
      </c>
      <c r="Q292" s="109">
        <v>2.1943017429193903</v>
      </c>
      <c r="R292" s="112">
        <v>131.65810457516341</v>
      </c>
    </row>
    <row r="293" spans="2:18" hidden="1" x14ac:dyDescent="0.25">
      <c r="B293" s="103">
        <v>292</v>
      </c>
      <c r="C293" s="104" t="s">
        <v>174</v>
      </c>
      <c r="D293" s="105" t="s">
        <v>374</v>
      </c>
      <c r="E293" s="116">
        <v>1000000</v>
      </c>
      <c r="F293" s="116">
        <v>80000</v>
      </c>
      <c r="G293" s="116">
        <v>2</v>
      </c>
      <c r="H293" s="117">
        <v>0.7</v>
      </c>
      <c r="I293" s="116">
        <v>40000</v>
      </c>
      <c r="J293" s="116">
        <v>5</v>
      </c>
      <c r="K293" s="118">
        <v>0.85</v>
      </c>
      <c r="L293" s="116">
        <v>10</v>
      </c>
      <c r="M293" s="109">
        <v>160000</v>
      </c>
      <c r="N293" s="109">
        <v>210666.6</v>
      </c>
      <c r="O293" s="110">
        <v>6120</v>
      </c>
      <c r="P293" s="111">
        <v>168616.2</v>
      </c>
      <c r="Q293" s="109">
        <v>1.4686350762527234</v>
      </c>
      <c r="R293" s="112">
        <v>88.1181045751634</v>
      </c>
    </row>
    <row r="294" spans="2:18" hidden="1" x14ac:dyDescent="0.25">
      <c r="B294" s="103">
        <v>293</v>
      </c>
      <c r="C294" s="104" t="s">
        <v>174</v>
      </c>
      <c r="D294" s="105" t="s">
        <v>375</v>
      </c>
      <c r="E294" s="116">
        <v>2000000</v>
      </c>
      <c r="F294" s="116">
        <v>160000</v>
      </c>
      <c r="G294" s="116">
        <v>2</v>
      </c>
      <c r="H294" s="117">
        <v>0.7</v>
      </c>
      <c r="I294" s="116">
        <v>80000</v>
      </c>
      <c r="J294" s="116">
        <v>5</v>
      </c>
      <c r="K294" s="118">
        <v>0.85</v>
      </c>
      <c r="L294" s="116">
        <v>10</v>
      </c>
      <c r="M294" s="109">
        <v>320000</v>
      </c>
      <c r="N294" s="109">
        <v>414666.6</v>
      </c>
      <c r="O294" s="110">
        <v>6120</v>
      </c>
      <c r="P294" s="111">
        <v>270616.2</v>
      </c>
      <c r="Q294" s="109">
        <v>2.7376982570806101</v>
      </c>
      <c r="R294" s="112">
        <v>164.26189542483661</v>
      </c>
    </row>
    <row r="295" spans="2:18" hidden="1" x14ac:dyDescent="0.25">
      <c r="B295" s="103">
        <v>294</v>
      </c>
      <c r="C295" s="104" t="s">
        <v>174</v>
      </c>
      <c r="D295" s="105" t="s">
        <v>376</v>
      </c>
      <c r="E295" s="116">
        <v>1000000</v>
      </c>
      <c r="F295" s="116">
        <v>80000</v>
      </c>
      <c r="G295" s="116">
        <v>1</v>
      </c>
      <c r="H295" s="117">
        <v>0.7</v>
      </c>
      <c r="I295" s="116">
        <v>40000</v>
      </c>
      <c r="J295" s="116">
        <v>5</v>
      </c>
      <c r="K295" s="118">
        <v>0.85</v>
      </c>
      <c r="L295" s="116">
        <v>10</v>
      </c>
      <c r="M295" s="109">
        <v>160000</v>
      </c>
      <c r="N295" s="109">
        <v>210666.6</v>
      </c>
      <c r="O295" s="110">
        <v>6120</v>
      </c>
      <c r="P295" s="111">
        <v>135308.1</v>
      </c>
      <c r="Q295" s="109">
        <v>1.37792674291939</v>
      </c>
      <c r="R295" s="112">
        <v>82.675604575163405</v>
      </c>
    </row>
    <row r="296" spans="2:18" hidden="1" x14ac:dyDescent="0.25">
      <c r="B296" s="103">
        <v>295</v>
      </c>
      <c r="C296" s="104" t="s">
        <v>174</v>
      </c>
      <c r="D296" s="105" t="s">
        <v>377</v>
      </c>
      <c r="E296" s="116">
        <v>500000</v>
      </c>
      <c r="F296" s="116">
        <v>20000</v>
      </c>
      <c r="G296" s="116">
        <v>1</v>
      </c>
      <c r="H296" s="117">
        <v>0.7</v>
      </c>
      <c r="I296" s="116">
        <v>20000</v>
      </c>
      <c r="J296" s="116">
        <v>0</v>
      </c>
      <c r="K296" s="118">
        <v>0.85</v>
      </c>
      <c r="L296" s="116">
        <v>10</v>
      </c>
      <c r="M296" s="109">
        <v>80000</v>
      </c>
      <c r="N296" s="109">
        <v>51000</v>
      </c>
      <c r="O296" s="110">
        <v>6120</v>
      </c>
      <c r="P296" s="111">
        <v>84308.1</v>
      </c>
      <c r="Q296" s="109">
        <v>0.58635103485838791</v>
      </c>
      <c r="R296" s="112">
        <v>35.181062091503271</v>
      </c>
    </row>
    <row r="297" spans="2:18" hidden="1" x14ac:dyDescent="0.25">
      <c r="B297" s="103">
        <v>296</v>
      </c>
      <c r="C297" s="104" t="s">
        <v>174</v>
      </c>
      <c r="D297" s="166" t="s">
        <v>378</v>
      </c>
      <c r="E297" s="116">
        <v>50000</v>
      </c>
      <c r="F297" s="116">
        <v>500</v>
      </c>
      <c r="G297" s="116">
        <v>1</v>
      </c>
      <c r="H297" s="117"/>
      <c r="I297" s="116">
        <v>500</v>
      </c>
      <c r="J297" s="116">
        <v>2</v>
      </c>
      <c r="K297" s="118">
        <v>0.85</v>
      </c>
      <c r="L297" s="116">
        <v>10</v>
      </c>
      <c r="M297" s="109">
        <v>8000</v>
      </c>
      <c r="N297" s="109">
        <v>3941.64</v>
      </c>
      <c r="O297" s="110">
        <v>6120</v>
      </c>
      <c r="P297" s="111">
        <v>1275</v>
      </c>
      <c r="Q297" s="109">
        <v>3.5993028322440085E-2</v>
      </c>
      <c r="R297" s="112">
        <v>2.159581699346405</v>
      </c>
    </row>
    <row r="298" spans="2:18" hidden="1" x14ac:dyDescent="0.25">
      <c r="B298" s="103">
        <v>297</v>
      </c>
      <c r="C298" s="104" t="s">
        <v>174</v>
      </c>
      <c r="D298" s="166" t="s">
        <v>379</v>
      </c>
      <c r="E298" s="116">
        <v>1000000</v>
      </c>
      <c r="F298" s="116">
        <v>6666.666666666667</v>
      </c>
      <c r="G298" s="116">
        <v>16</v>
      </c>
      <c r="H298" s="117"/>
      <c r="I298" s="116">
        <v>375720</v>
      </c>
      <c r="J298" s="116">
        <v>15</v>
      </c>
      <c r="K298" s="118">
        <v>0.85</v>
      </c>
      <c r="L298" s="116">
        <v>10</v>
      </c>
      <c r="M298" s="109">
        <v>160000</v>
      </c>
      <c r="N298" s="109">
        <v>36999.800000000003</v>
      </c>
      <c r="O298" s="110">
        <v>6120</v>
      </c>
      <c r="P298" s="111">
        <v>958086</v>
      </c>
      <c r="Q298" s="109">
        <v>3.1456584967320262</v>
      </c>
      <c r="R298" s="112">
        <v>188.73950980392158</v>
      </c>
    </row>
    <row r="299" spans="2:18" hidden="1" x14ac:dyDescent="0.25">
      <c r="B299" s="103">
        <v>298</v>
      </c>
      <c r="C299" s="104" t="s">
        <v>174</v>
      </c>
      <c r="D299" s="143" t="s">
        <v>380</v>
      </c>
      <c r="E299" s="116">
        <v>300000</v>
      </c>
      <c r="F299" s="116">
        <v>2000</v>
      </c>
      <c r="G299" s="116">
        <v>2</v>
      </c>
      <c r="H299" s="117"/>
      <c r="I299" s="116">
        <v>375720</v>
      </c>
      <c r="J299" s="116">
        <v>10</v>
      </c>
      <c r="K299" s="118">
        <v>0.85</v>
      </c>
      <c r="L299" s="116">
        <v>10</v>
      </c>
      <c r="M299" s="109">
        <v>48000</v>
      </c>
      <c r="N299" s="109">
        <v>18433.2</v>
      </c>
      <c r="O299" s="110">
        <v>6120</v>
      </c>
      <c r="P299" s="111">
        <v>958086</v>
      </c>
      <c r="Q299" s="109">
        <v>2.7900849673202615</v>
      </c>
      <c r="R299" s="112">
        <v>167.40509803921569</v>
      </c>
    </row>
    <row r="300" spans="2:18" hidden="1" x14ac:dyDescent="0.25">
      <c r="B300" s="103">
        <v>299</v>
      </c>
      <c r="C300" s="104" t="s">
        <v>174</v>
      </c>
      <c r="D300" s="105" t="s">
        <v>381</v>
      </c>
      <c r="E300" s="116">
        <v>5000000</v>
      </c>
      <c r="F300" s="116">
        <v>250000</v>
      </c>
      <c r="G300" s="116">
        <v>100</v>
      </c>
      <c r="H300" s="117">
        <v>1</v>
      </c>
      <c r="I300" s="116">
        <v>5000</v>
      </c>
      <c r="J300" s="116">
        <v>10</v>
      </c>
      <c r="K300" s="118">
        <v>0.85</v>
      </c>
      <c r="L300" s="116">
        <v>10</v>
      </c>
      <c r="M300" s="109">
        <v>800000</v>
      </c>
      <c r="N300" s="109">
        <v>650833.19999999995</v>
      </c>
      <c r="O300" s="110">
        <v>6120</v>
      </c>
      <c r="P300" s="111">
        <v>4771050</v>
      </c>
      <c r="Q300" s="109">
        <v>16.944126361655773</v>
      </c>
      <c r="R300" s="112">
        <v>1016.6475816993463</v>
      </c>
    </row>
    <row r="301" spans="2:18" hidden="1" x14ac:dyDescent="0.25">
      <c r="B301" s="103">
        <v>300</v>
      </c>
      <c r="C301" s="104" t="s">
        <v>174</v>
      </c>
      <c r="D301" s="105" t="s">
        <v>382</v>
      </c>
      <c r="E301" s="116">
        <v>200000</v>
      </c>
      <c r="F301" s="116">
        <v>20000</v>
      </c>
      <c r="G301" s="116">
        <v>1</v>
      </c>
      <c r="H301" s="117">
        <v>0.7</v>
      </c>
      <c r="I301" s="116">
        <v>20000</v>
      </c>
      <c r="J301" s="116">
        <v>2</v>
      </c>
      <c r="K301" s="118">
        <v>0.85</v>
      </c>
      <c r="L301" s="116">
        <v>10</v>
      </c>
      <c r="M301" s="109">
        <v>32000</v>
      </c>
      <c r="N301" s="109">
        <v>53666.64</v>
      </c>
      <c r="O301" s="110">
        <v>6120</v>
      </c>
      <c r="P301" s="111">
        <v>84308.1</v>
      </c>
      <c r="Q301" s="109">
        <v>0.4628941721132897</v>
      </c>
      <c r="R301" s="112">
        <v>27.773650326797384</v>
      </c>
    </row>
    <row r="302" spans="2:18" hidden="1" x14ac:dyDescent="0.25">
      <c r="B302" s="103">
        <v>301</v>
      </c>
      <c r="C302" s="104" t="s">
        <v>174</v>
      </c>
      <c r="D302" s="105" t="s">
        <v>383</v>
      </c>
      <c r="E302" s="116">
        <v>5000</v>
      </c>
      <c r="F302" s="116">
        <v>500</v>
      </c>
      <c r="G302" s="116">
        <v>1</v>
      </c>
      <c r="H302" s="117">
        <v>0.7</v>
      </c>
      <c r="I302" s="116">
        <v>500</v>
      </c>
      <c r="J302" s="116">
        <v>2</v>
      </c>
      <c r="K302" s="118">
        <v>0.85</v>
      </c>
      <c r="L302" s="116">
        <v>10</v>
      </c>
      <c r="M302" s="109">
        <v>800</v>
      </c>
      <c r="N302" s="109">
        <v>3941.64</v>
      </c>
      <c r="O302" s="110">
        <v>6120</v>
      </c>
      <c r="P302" s="111">
        <v>34583.1</v>
      </c>
      <c r="Q302" s="109">
        <v>0.1070935185185185</v>
      </c>
      <c r="R302" s="112">
        <v>6.4256111111111105</v>
      </c>
    </row>
    <row r="303" spans="2:18" hidden="1" x14ac:dyDescent="0.25">
      <c r="B303" s="103">
        <v>302</v>
      </c>
      <c r="C303" s="104" t="s">
        <v>174</v>
      </c>
      <c r="D303" s="105" t="s">
        <v>384</v>
      </c>
      <c r="E303" s="116">
        <v>2000000</v>
      </c>
      <c r="F303" s="116">
        <v>100000</v>
      </c>
      <c r="G303" s="116">
        <v>10</v>
      </c>
      <c r="H303" s="117">
        <v>0.7</v>
      </c>
      <c r="I303" s="116">
        <v>40000</v>
      </c>
      <c r="J303" s="116">
        <v>10</v>
      </c>
      <c r="K303" s="118">
        <v>0.85</v>
      </c>
      <c r="L303" s="116">
        <v>10</v>
      </c>
      <c r="M303" s="109">
        <v>320000</v>
      </c>
      <c r="N303" s="109">
        <v>268333.2</v>
      </c>
      <c r="O303" s="110">
        <v>6120</v>
      </c>
      <c r="P303" s="111">
        <v>435081</v>
      </c>
      <c r="Q303" s="109">
        <v>2.787075708061002</v>
      </c>
      <c r="R303" s="112">
        <v>167.22454248366012</v>
      </c>
    </row>
    <row r="304" spans="2:18" hidden="1" x14ac:dyDescent="0.25">
      <c r="B304" s="103">
        <v>303</v>
      </c>
      <c r="C304" s="104" t="s">
        <v>174</v>
      </c>
      <c r="D304" s="157" t="s">
        <v>385</v>
      </c>
      <c r="E304" s="116">
        <v>5000000</v>
      </c>
      <c r="F304" s="116">
        <v>100000</v>
      </c>
      <c r="G304" s="116">
        <v>25</v>
      </c>
      <c r="H304" s="117">
        <v>0.7</v>
      </c>
      <c r="I304" s="116">
        <v>80000</v>
      </c>
      <c r="J304" s="116">
        <v>10</v>
      </c>
      <c r="K304" s="118">
        <v>0.85</v>
      </c>
      <c r="L304" s="116">
        <v>10</v>
      </c>
      <c r="M304" s="109">
        <v>800000</v>
      </c>
      <c r="N304" s="109">
        <v>268333.2</v>
      </c>
      <c r="O304" s="110">
        <v>6120</v>
      </c>
      <c r="P304" s="111">
        <v>1036702.5</v>
      </c>
      <c r="Q304" s="109">
        <v>5.7326680283224407</v>
      </c>
      <c r="R304" s="112">
        <v>343.96008169934646</v>
      </c>
    </row>
    <row r="305" spans="2:18" hidden="1" x14ac:dyDescent="0.25">
      <c r="B305" s="103">
        <v>304</v>
      </c>
      <c r="C305" s="104" t="s">
        <v>174</v>
      </c>
      <c r="D305" s="157" t="s">
        <v>386</v>
      </c>
      <c r="E305" s="116">
        <v>4000000</v>
      </c>
      <c r="F305" s="116">
        <v>100000</v>
      </c>
      <c r="G305" s="116">
        <v>25</v>
      </c>
      <c r="H305" s="117">
        <v>0.7</v>
      </c>
      <c r="I305" s="116">
        <v>80000</v>
      </c>
      <c r="J305" s="116">
        <v>10</v>
      </c>
      <c r="K305" s="118">
        <v>0.85</v>
      </c>
      <c r="L305" s="116">
        <v>10</v>
      </c>
      <c r="M305" s="109">
        <v>640000</v>
      </c>
      <c r="N305" s="109">
        <v>268333.2</v>
      </c>
      <c r="O305" s="110">
        <v>6120</v>
      </c>
      <c r="P305" s="111">
        <v>1036702.5</v>
      </c>
      <c r="Q305" s="109">
        <v>5.2969381808278859</v>
      </c>
      <c r="R305" s="112">
        <v>317.81629084967318</v>
      </c>
    </row>
    <row r="306" spans="2:18" hidden="1" x14ac:dyDescent="0.25">
      <c r="B306" s="103">
        <v>305</v>
      </c>
      <c r="C306" s="104" t="s">
        <v>174</v>
      </c>
      <c r="D306" s="157" t="s">
        <v>387</v>
      </c>
      <c r="E306" s="116">
        <v>1000000</v>
      </c>
      <c r="F306" s="116">
        <v>50000</v>
      </c>
      <c r="G306" s="116">
        <v>10</v>
      </c>
      <c r="H306" s="117">
        <v>0.7</v>
      </c>
      <c r="I306" s="116">
        <v>70000</v>
      </c>
      <c r="J306" s="116">
        <v>16</v>
      </c>
      <c r="K306" s="118">
        <v>0.85</v>
      </c>
      <c r="L306" s="116">
        <v>10</v>
      </c>
      <c r="M306" s="109">
        <v>160000</v>
      </c>
      <c r="N306" s="109">
        <v>148833.12</v>
      </c>
      <c r="O306" s="110">
        <v>6120</v>
      </c>
      <c r="P306" s="111">
        <v>511581</v>
      </c>
      <c r="Q306" s="109">
        <v>2.2342432461873636</v>
      </c>
      <c r="R306" s="112">
        <v>134.05459477124182</v>
      </c>
    </row>
    <row r="307" spans="2:18" hidden="1" x14ac:dyDescent="0.25">
      <c r="B307" s="103">
        <v>306</v>
      </c>
      <c r="C307" s="104" t="s">
        <v>174</v>
      </c>
      <c r="D307" s="157" t="s">
        <v>388</v>
      </c>
      <c r="E307" s="116">
        <v>10000000</v>
      </c>
      <c r="F307" s="116">
        <v>100000</v>
      </c>
      <c r="G307" s="116">
        <v>25</v>
      </c>
      <c r="H307" s="117">
        <v>0.7</v>
      </c>
      <c r="I307" s="116">
        <v>80000</v>
      </c>
      <c r="J307" s="116">
        <v>10</v>
      </c>
      <c r="K307" s="118">
        <v>0.85</v>
      </c>
      <c r="L307" s="116">
        <v>10</v>
      </c>
      <c r="M307" s="109">
        <v>1600000</v>
      </c>
      <c r="N307" s="109">
        <v>268333.2</v>
      </c>
      <c r="O307" s="110">
        <v>6120</v>
      </c>
      <c r="P307" s="111">
        <v>1036702.5</v>
      </c>
      <c r="Q307" s="109">
        <v>7.9113172657952076</v>
      </c>
      <c r="R307" s="112">
        <v>474.67903594771246</v>
      </c>
    </row>
    <row r="308" spans="2:18" hidden="1" x14ac:dyDescent="0.25">
      <c r="B308" s="103">
        <v>307</v>
      </c>
      <c r="C308" s="104" t="s">
        <v>174</v>
      </c>
      <c r="D308" s="126" t="s">
        <v>389</v>
      </c>
      <c r="E308" s="116">
        <v>77418680.219999999</v>
      </c>
      <c r="F308" s="116">
        <v>1548373.6044000001</v>
      </c>
      <c r="G308" s="116">
        <v>11.25</v>
      </c>
      <c r="H308" s="117">
        <v>0.7</v>
      </c>
      <c r="I308" s="116">
        <v>774186.80220000003</v>
      </c>
      <c r="J308" s="116">
        <v>10</v>
      </c>
      <c r="K308" s="118">
        <v>0.85</v>
      </c>
      <c r="L308" s="116">
        <v>10</v>
      </c>
      <c r="M308" s="109">
        <v>12386988.835200001</v>
      </c>
      <c r="N308" s="109">
        <v>3961685.8912200006</v>
      </c>
      <c r="O308" s="110">
        <v>6120</v>
      </c>
      <c r="P308" s="111">
        <v>2348892.4706100002</v>
      </c>
      <c r="Q308" s="109">
        <v>50.919300645506532</v>
      </c>
      <c r="R308" s="112">
        <v>3055.158038730392</v>
      </c>
    </row>
    <row r="309" spans="2:18" hidden="1" x14ac:dyDescent="0.25">
      <c r="B309" s="103">
        <v>308</v>
      </c>
      <c r="C309" s="104" t="s">
        <v>174</v>
      </c>
      <c r="D309" s="126" t="s">
        <v>390</v>
      </c>
      <c r="E309" s="116">
        <v>7862432</v>
      </c>
      <c r="F309" s="116">
        <v>314497.28000000003</v>
      </c>
      <c r="G309" s="116">
        <v>8</v>
      </c>
      <c r="H309" s="117">
        <v>0.7</v>
      </c>
      <c r="I309" s="116">
        <v>314497.28000000003</v>
      </c>
      <c r="J309" s="116">
        <v>10</v>
      </c>
      <c r="K309" s="118">
        <v>0.85</v>
      </c>
      <c r="L309" s="116">
        <v>10</v>
      </c>
      <c r="M309" s="109">
        <v>1257989.1199999999</v>
      </c>
      <c r="N309" s="109">
        <v>815301.26399999997</v>
      </c>
      <c r="O309" s="110">
        <v>6120</v>
      </c>
      <c r="P309" s="111">
        <v>1068432.8640000001</v>
      </c>
      <c r="Q309" s="109">
        <v>8.5558911982570809</v>
      </c>
      <c r="R309" s="112">
        <v>513.35347189542483</v>
      </c>
    </row>
    <row r="310" spans="2:18" hidden="1" x14ac:dyDescent="0.25">
      <c r="B310" s="103">
        <v>309</v>
      </c>
      <c r="C310" s="104" t="s">
        <v>174</v>
      </c>
      <c r="D310" s="126" t="s">
        <v>391</v>
      </c>
      <c r="E310" s="116">
        <v>1980000</v>
      </c>
      <c r="F310" s="116">
        <v>79200</v>
      </c>
      <c r="G310" s="116">
        <v>11.25</v>
      </c>
      <c r="H310" s="117">
        <v>0.7</v>
      </c>
      <c r="I310" s="116">
        <v>39600</v>
      </c>
      <c r="J310" s="116">
        <v>10</v>
      </c>
      <c r="K310" s="118">
        <v>0.85</v>
      </c>
      <c r="L310" s="116">
        <v>10</v>
      </c>
      <c r="M310" s="109">
        <v>316800</v>
      </c>
      <c r="N310" s="109">
        <v>215293.2</v>
      </c>
      <c r="O310" s="110">
        <v>6120</v>
      </c>
      <c r="P310" s="111">
        <v>475696.125</v>
      </c>
      <c r="Q310" s="109">
        <v>2.7445243055555557</v>
      </c>
      <c r="R310" s="112">
        <v>164.67145833333333</v>
      </c>
    </row>
    <row r="311" spans="2:18" hidden="1" x14ac:dyDescent="0.25">
      <c r="B311" s="103">
        <v>310</v>
      </c>
      <c r="C311" s="104" t="s">
        <v>174</v>
      </c>
      <c r="D311" s="126" t="s">
        <v>392</v>
      </c>
      <c r="E311" s="116">
        <v>1432000</v>
      </c>
      <c r="F311" s="116">
        <v>57280</v>
      </c>
      <c r="G311" s="116">
        <v>11.25</v>
      </c>
      <c r="H311" s="117">
        <v>0.7</v>
      </c>
      <c r="I311" s="116">
        <v>28640</v>
      </c>
      <c r="J311" s="116">
        <v>10</v>
      </c>
      <c r="K311" s="118">
        <v>0.85</v>
      </c>
      <c r="L311" s="116">
        <v>10</v>
      </c>
      <c r="M311" s="109">
        <v>229120</v>
      </c>
      <c r="N311" s="109">
        <v>159397.20000000001</v>
      </c>
      <c r="O311" s="110">
        <v>6120</v>
      </c>
      <c r="P311" s="111">
        <v>447748.125</v>
      </c>
      <c r="Q311" s="109">
        <v>2.2774110157952072</v>
      </c>
      <c r="R311" s="112">
        <v>136.64466094771242</v>
      </c>
    </row>
    <row r="312" spans="2:18" hidden="1" x14ac:dyDescent="0.25">
      <c r="B312" s="103">
        <v>311</v>
      </c>
      <c r="C312" s="104" t="s">
        <v>174</v>
      </c>
      <c r="D312" s="105" t="s">
        <v>393</v>
      </c>
      <c r="E312" s="116">
        <v>500000</v>
      </c>
      <c r="F312" s="116">
        <v>25000</v>
      </c>
      <c r="G312" s="116">
        <v>1</v>
      </c>
      <c r="H312" s="117">
        <v>0.7</v>
      </c>
      <c r="I312" s="116">
        <v>5000</v>
      </c>
      <c r="J312" s="116">
        <v>5</v>
      </c>
      <c r="K312" s="118">
        <v>0.85</v>
      </c>
      <c r="L312" s="116">
        <v>10</v>
      </c>
      <c r="M312" s="109">
        <v>80000</v>
      </c>
      <c r="N312" s="109">
        <v>70416.600000000006</v>
      </c>
      <c r="O312" s="110">
        <v>6120</v>
      </c>
      <c r="P312" s="111">
        <v>46058.1</v>
      </c>
      <c r="Q312" s="109">
        <v>0.53506181917211337</v>
      </c>
      <c r="R312" s="112">
        <v>32.1037091503268</v>
      </c>
    </row>
    <row r="313" spans="2:18" hidden="1" x14ac:dyDescent="0.25">
      <c r="B313" s="103">
        <v>312</v>
      </c>
      <c r="C313" s="104" t="s">
        <v>174</v>
      </c>
      <c r="D313" s="105" t="s">
        <v>394</v>
      </c>
      <c r="E313" s="116">
        <v>2000000</v>
      </c>
      <c r="F313" s="116">
        <v>100000</v>
      </c>
      <c r="G313" s="116">
        <v>1</v>
      </c>
      <c r="H313" s="117">
        <v>0.7</v>
      </c>
      <c r="I313" s="116">
        <v>20000</v>
      </c>
      <c r="J313" s="116">
        <v>5</v>
      </c>
      <c r="K313" s="118">
        <v>0.85</v>
      </c>
      <c r="L313" s="116">
        <v>10</v>
      </c>
      <c r="M313" s="109">
        <v>320000</v>
      </c>
      <c r="N313" s="109">
        <v>261666.6</v>
      </c>
      <c r="O313" s="110">
        <v>6120</v>
      </c>
      <c r="P313" s="111">
        <v>84308.1</v>
      </c>
      <c r="Q313" s="109">
        <v>1.8136565904139432</v>
      </c>
      <c r="R313" s="112">
        <v>108.8193954248366</v>
      </c>
    </row>
    <row r="314" spans="2:18" hidden="1" x14ac:dyDescent="0.25">
      <c r="B314" s="103">
        <v>313</v>
      </c>
      <c r="C314" s="104" t="s">
        <v>174</v>
      </c>
      <c r="D314" s="105" t="s">
        <v>395</v>
      </c>
      <c r="E314" s="116">
        <v>480000</v>
      </c>
      <c r="F314" s="116">
        <v>16000</v>
      </c>
      <c r="G314" s="116">
        <v>0</v>
      </c>
      <c r="H314" s="117"/>
      <c r="I314" s="116">
        <v>30000000</v>
      </c>
      <c r="J314" s="116">
        <v>2</v>
      </c>
      <c r="K314" s="118">
        <v>0.85</v>
      </c>
      <c r="L314" s="116">
        <v>10</v>
      </c>
      <c r="M314" s="109">
        <v>76800</v>
      </c>
      <c r="N314" s="109">
        <v>43466.64</v>
      </c>
      <c r="O314" s="110">
        <v>6120</v>
      </c>
      <c r="P314" s="111">
        <v>76500000</v>
      </c>
      <c r="Q314" s="109">
        <v>208.66085686274511</v>
      </c>
      <c r="R314" s="112">
        <v>12519.651411764706</v>
      </c>
    </row>
    <row r="315" spans="2:18" hidden="1" x14ac:dyDescent="0.25">
      <c r="B315" s="103">
        <v>314</v>
      </c>
      <c r="C315" s="104" t="s">
        <v>174</v>
      </c>
      <c r="D315" s="105" t="s">
        <v>396</v>
      </c>
      <c r="E315" s="116">
        <v>28000000</v>
      </c>
      <c r="F315" s="116">
        <v>200000</v>
      </c>
      <c r="G315" s="116">
        <v>15</v>
      </c>
      <c r="H315" s="117"/>
      <c r="I315" s="116">
        <v>1500000000</v>
      </c>
      <c r="J315" s="116">
        <v>25</v>
      </c>
      <c r="K315" s="118">
        <v>0.85</v>
      </c>
      <c r="L315" s="116">
        <v>10</v>
      </c>
      <c r="M315" s="109">
        <v>4480000</v>
      </c>
      <c r="N315" s="109">
        <v>543333</v>
      </c>
      <c r="O315" s="110">
        <v>6120</v>
      </c>
      <c r="P315" s="111">
        <v>3825000000</v>
      </c>
      <c r="Q315" s="109">
        <v>10430.346767429195</v>
      </c>
      <c r="R315" s="112">
        <v>625820.80604575167</v>
      </c>
    </row>
    <row r="316" spans="2:18" hidden="1" x14ac:dyDescent="0.25">
      <c r="B316" s="103">
        <v>315</v>
      </c>
      <c r="C316" s="104" t="s">
        <v>174</v>
      </c>
      <c r="D316" s="105" t="s">
        <v>397</v>
      </c>
      <c r="E316" s="116">
        <v>44000000</v>
      </c>
      <c r="F316" s="116">
        <v>120000</v>
      </c>
      <c r="G316" s="116">
        <v>200</v>
      </c>
      <c r="H316" s="117"/>
      <c r="I316" s="116">
        <v>100000000</v>
      </c>
      <c r="J316" s="116">
        <v>20</v>
      </c>
      <c r="K316" s="118">
        <v>0.85</v>
      </c>
      <c r="L316" s="116">
        <v>10</v>
      </c>
      <c r="M316" s="109">
        <v>7040000</v>
      </c>
      <c r="N316" s="109">
        <v>332666.40000000002</v>
      </c>
      <c r="O316" s="110">
        <v>6120</v>
      </c>
      <c r="P316" s="111">
        <v>255000000</v>
      </c>
      <c r="Q316" s="109">
        <v>714.52251198257079</v>
      </c>
      <c r="R316" s="112">
        <v>42871.350718954251</v>
      </c>
    </row>
    <row r="317" spans="2:18" hidden="1" x14ac:dyDescent="0.25">
      <c r="B317" s="103">
        <v>316</v>
      </c>
      <c r="C317" s="104" t="s">
        <v>174</v>
      </c>
      <c r="D317" s="119" t="s">
        <v>398</v>
      </c>
      <c r="E317" s="116">
        <v>1500000</v>
      </c>
      <c r="F317" s="116">
        <v>120000</v>
      </c>
      <c r="G317" s="116">
        <v>5</v>
      </c>
      <c r="H317" s="117">
        <v>0.7</v>
      </c>
      <c r="I317" s="116">
        <v>350000</v>
      </c>
      <c r="J317" s="116">
        <v>10</v>
      </c>
      <c r="K317" s="118">
        <v>0.85</v>
      </c>
      <c r="L317" s="116">
        <v>10</v>
      </c>
      <c r="M317" s="109">
        <v>240000</v>
      </c>
      <c r="N317" s="109">
        <v>319333.2</v>
      </c>
      <c r="O317" s="110">
        <v>6120</v>
      </c>
      <c r="P317" s="111">
        <v>1059040.5</v>
      </c>
      <c r="Q317" s="109">
        <v>4.4073357843137257</v>
      </c>
      <c r="R317" s="112">
        <v>264.44014705882353</v>
      </c>
    </row>
    <row r="318" spans="2:18" ht="16.5" hidden="1" thickBot="1" x14ac:dyDescent="0.3">
      <c r="B318" s="167">
        <v>317</v>
      </c>
      <c r="C318" s="168" t="s">
        <v>174</v>
      </c>
      <c r="D318" s="169" t="s">
        <v>399</v>
      </c>
      <c r="E318" s="170">
        <v>30000000</v>
      </c>
      <c r="F318" s="170">
        <v>300000</v>
      </c>
      <c r="G318" s="170">
        <v>60</v>
      </c>
      <c r="H318" s="171">
        <v>0.7</v>
      </c>
      <c r="I318" s="170">
        <v>350000</v>
      </c>
      <c r="J318" s="170">
        <v>15</v>
      </c>
      <c r="K318" s="172">
        <v>0.85</v>
      </c>
      <c r="L318" s="170">
        <v>10</v>
      </c>
      <c r="M318" s="173">
        <v>4800000</v>
      </c>
      <c r="N318" s="173">
        <v>784999.8</v>
      </c>
      <c r="O318" s="174">
        <v>6120</v>
      </c>
      <c r="P318" s="175">
        <v>2890985.9999999995</v>
      </c>
      <c r="Q318" s="173">
        <v>23.082750000000001</v>
      </c>
      <c r="R318" s="176">
        <v>1384.9650000000001</v>
      </c>
    </row>
  </sheetData>
  <autoFilter ref="B1:R318">
    <filterColumn colId="1">
      <filters>
        <filter val="Machining"/>
      </filters>
    </filterColumn>
    <filterColumn colId="2">
      <filters>
        <filter val="VMC"/>
        <filter val="VMC Machine - V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Views>
    <sheetView workbookViewId="0">
      <selection activeCell="B7" sqref="B7"/>
    </sheetView>
  </sheetViews>
  <sheetFormatPr defaultRowHeight="15" x14ac:dyDescent="0.25"/>
  <sheetData>
    <row r="2" spans="2:2" x14ac:dyDescent="0.25">
      <c r="B2" t="s">
        <v>85</v>
      </c>
    </row>
    <row r="3" spans="2:2" x14ac:dyDescent="0.25">
      <c r="B3" t="s">
        <v>84</v>
      </c>
    </row>
    <row r="5" spans="2:2" x14ac:dyDescent="0.25">
      <c r="B5" t="s">
        <v>95</v>
      </c>
    </row>
    <row r="7" spans="2:2" x14ac:dyDescent="0.25">
      <c r="B7">
        <f>1*173*173/60</f>
        <v>498.81666666666666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workbookViewId="0">
      <selection activeCell="E8" sqref="E8"/>
    </sheetView>
  </sheetViews>
  <sheetFormatPr defaultColWidth="9.140625" defaultRowHeight="12" x14ac:dyDescent="0.2"/>
  <cols>
    <col min="1" max="1" width="29.28515625" style="56" bestFit="1" customWidth="1"/>
    <col min="2" max="3" width="9.140625" style="57"/>
    <col min="4" max="4" width="9.140625" style="58"/>
    <col min="5" max="5" width="25.5703125" style="56" bestFit="1" customWidth="1"/>
    <col min="6" max="16384" width="9.140625" style="56"/>
  </cols>
  <sheetData>
    <row r="1" spans="1:8" x14ac:dyDescent="0.2">
      <c r="A1" s="59" t="s">
        <v>1</v>
      </c>
      <c r="B1" s="60" t="s">
        <v>90</v>
      </c>
      <c r="C1" s="62" t="s">
        <v>91</v>
      </c>
      <c r="D1" s="61" t="s">
        <v>92</v>
      </c>
      <c r="F1" s="60" t="s">
        <v>90</v>
      </c>
      <c r="G1" s="62" t="s">
        <v>91</v>
      </c>
      <c r="H1" s="61" t="s">
        <v>92</v>
      </c>
    </row>
    <row r="2" spans="1:8" x14ac:dyDescent="0.2">
      <c r="A2" s="59" t="s">
        <v>87</v>
      </c>
      <c r="B2" s="60">
        <v>250</v>
      </c>
      <c r="C2" s="62">
        <v>664560</v>
      </c>
      <c r="D2" s="61">
        <f t="shared" ref="D2:D33" si="0">C2/B2</f>
        <v>2658.24</v>
      </c>
      <c r="E2" s="59" t="s">
        <v>87</v>
      </c>
      <c r="F2" s="60">
        <v>150</v>
      </c>
      <c r="G2" s="62">
        <v>398736</v>
      </c>
      <c r="H2" s="61">
        <f t="shared" ref="H2:H33" si="1">G2/F2</f>
        <v>2658.24</v>
      </c>
    </row>
    <row r="3" spans="1:8" x14ac:dyDescent="0.2">
      <c r="A3" s="59" t="s">
        <v>87</v>
      </c>
      <c r="B3" s="60">
        <v>300</v>
      </c>
      <c r="C3" s="62">
        <v>797472</v>
      </c>
      <c r="D3" s="61">
        <f t="shared" si="0"/>
        <v>2658.24</v>
      </c>
      <c r="E3" s="59" t="s">
        <v>87</v>
      </c>
      <c r="F3" s="60">
        <v>150</v>
      </c>
      <c r="G3" s="62">
        <v>5700</v>
      </c>
      <c r="H3" s="61">
        <f t="shared" si="1"/>
        <v>38</v>
      </c>
    </row>
    <row r="4" spans="1:8" x14ac:dyDescent="0.2">
      <c r="A4" s="59" t="s">
        <v>87</v>
      </c>
      <c r="B4" s="60">
        <v>200</v>
      </c>
      <c r="C4" s="62">
        <v>531648</v>
      </c>
      <c r="D4" s="61">
        <f t="shared" si="0"/>
        <v>2658.24</v>
      </c>
      <c r="E4" s="59" t="s">
        <v>87</v>
      </c>
      <c r="F4" s="60">
        <v>100</v>
      </c>
      <c r="G4" s="62">
        <v>265824</v>
      </c>
      <c r="H4" s="61">
        <f t="shared" si="1"/>
        <v>2658.24</v>
      </c>
    </row>
    <row r="5" spans="1:8" x14ac:dyDescent="0.2">
      <c r="A5" s="59" t="s">
        <v>87</v>
      </c>
      <c r="B5" s="60">
        <v>50</v>
      </c>
      <c r="C5" s="62">
        <v>132912</v>
      </c>
      <c r="D5" s="61">
        <f t="shared" si="0"/>
        <v>2658.24</v>
      </c>
      <c r="E5" s="59" t="s">
        <v>87</v>
      </c>
      <c r="F5" s="60">
        <v>100</v>
      </c>
      <c r="G5" s="62">
        <v>3800</v>
      </c>
      <c r="H5" s="61">
        <f t="shared" si="1"/>
        <v>38</v>
      </c>
    </row>
    <row r="6" spans="1:8" x14ac:dyDescent="0.2">
      <c r="A6" s="59" t="s">
        <v>87</v>
      </c>
      <c r="B6" s="60">
        <v>250</v>
      </c>
      <c r="C6" s="62">
        <v>664560</v>
      </c>
      <c r="D6" s="61">
        <f t="shared" si="0"/>
        <v>2658.24</v>
      </c>
      <c r="E6" s="59" t="s">
        <v>87</v>
      </c>
      <c r="F6" s="60">
        <v>100</v>
      </c>
      <c r="G6" s="62">
        <v>265824</v>
      </c>
      <c r="H6" s="61">
        <f t="shared" si="1"/>
        <v>2658.24</v>
      </c>
    </row>
    <row r="7" spans="1:8" x14ac:dyDescent="0.2">
      <c r="A7" s="59" t="s">
        <v>87</v>
      </c>
      <c r="B7" s="60">
        <v>200</v>
      </c>
      <c r="C7" s="62">
        <v>531648</v>
      </c>
      <c r="D7" s="61">
        <f t="shared" si="0"/>
        <v>2658.24</v>
      </c>
      <c r="E7" s="59" t="s">
        <v>87</v>
      </c>
      <c r="F7" s="60">
        <v>100</v>
      </c>
      <c r="G7" s="62">
        <v>3800</v>
      </c>
      <c r="H7" s="61">
        <f t="shared" si="1"/>
        <v>38</v>
      </c>
    </row>
    <row r="8" spans="1:8" x14ac:dyDescent="0.2">
      <c r="A8" s="59" t="s">
        <v>87</v>
      </c>
      <c r="B8" s="60">
        <v>100</v>
      </c>
      <c r="C8" s="62">
        <v>265824</v>
      </c>
      <c r="D8" s="61">
        <f t="shared" si="0"/>
        <v>2658.24</v>
      </c>
      <c r="E8" s="59" t="s">
        <v>87</v>
      </c>
      <c r="F8" s="60">
        <v>100</v>
      </c>
      <c r="G8" s="62">
        <v>265824</v>
      </c>
      <c r="H8" s="61">
        <f t="shared" si="1"/>
        <v>2658.24</v>
      </c>
    </row>
    <row r="9" spans="1:8" x14ac:dyDescent="0.2">
      <c r="A9" s="59" t="s">
        <v>87</v>
      </c>
      <c r="B9" s="60">
        <v>100</v>
      </c>
      <c r="C9" s="62">
        <v>265824</v>
      </c>
      <c r="D9" s="61">
        <f t="shared" si="0"/>
        <v>2658.24</v>
      </c>
      <c r="E9" s="59" t="s">
        <v>87</v>
      </c>
      <c r="F9" s="60">
        <v>100</v>
      </c>
      <c r="G9" s="62">
        <v>3800</v>
      </c>
      <c r="H9" s="61">
        <f t="shared" si="1"/>
        <v>38</v>
      </c>
    </row>
    <row r="10" spans="1:8" x14ac:dyDescent="0.2">
      <c r="A10" s="59" t="s">
        <v>87</v>
      </c>
      <c r="B10" s="60">
        <v>100</v>
      </c>
      <c r="C10" s="62">
        <v>265824</v>
      </c>
      <c r="D10" s="61">
        <f t="shared" si="0"/>
        <v>2658.24</v>
      </c>
      <c r="E10" s="59" t="s">
        <v>87</v>
      </c>
      <c r="F10" s="60">
        <v>150</v>
      </c>
      <c r="G10" s="62">
        <v>398736</v>
      </c>
      <c r="H10" s="61">
        <f t="shared" si="1"/>
        <v>2658.24</v>
      </c>
    </row>
    <row r="11" spans="1:8" x14ac:dyDescent="0.2">
      <c r="A11" s="59" t="s">
        <v>87</v>
      </c>
      <c r="B11" s="60">
        <v>300</v>
      </c>
      <c r="C11" s="62">
        <v>797472</v>
      </c>
      <c r="D11" s="61">
        <f t="shared" si="0"/>
        <v>2658.24</v>
      </c>
      <c r="E11" s="59" t="s">
        <v>87</v>
      </c>
      <c r="F11" s="60">
        <v>150</v>
      </c>
      <c r="G11" s="62">
        <v>5700</v>
      </c>
      <c r="H11" s="61">
        <f t="shared" si="1"/>
        <v>38</v>
      </c>
    </row>
    <row r="12" spans="1:8" x14ac:dyDescent="0.2">
      <c r="A12" s="59" t="s">
        <v>87</v>
      </c>
      <c r="B12" s="60">
        <v>250</v>
      </c>
      <c r="C12" s="62">
        <v>664560</v>
      </c>
      <c r="D12" s="61">
        <f t="shared" si="0"/>
        <v>2658.24</v>
      </c>
      <c r="E12" s="59" t="s">
        <v>87</v>
      </c>
      <c r="F12" s="60">
        <v>100</v>
      </c>
      <c r="G12" s="62">
        <v>265824</v>
      </c>
      <c r="H12" s="61">
        <f t="shared" si="1"/>
        <v>2658.24</v>
      </c>
    </row>
    <row r="13" spans="1:8" x14ac:dyDescent="0.2">
      <c r="A13" s="59" t="s">
        <v>87</v>
      </c>
      <c r="B13" s="60">
        <v>300</v>
      </c>
      <c r="C13" s="62">
        <v>797472</v>
      </c>
      <c r="D13" s="61">
        <f t="shared" si="0"/>
        <v>2658.24</v>
      </c>
      <c r="E13" s="59" t="s">
        <v>87</v>
      </c>
      <c r="F13" s="60">
        <v>100</v>
      </c>
      <c r="G13" s="62">
        <v>3800</v>
      </c>
      <c r="H13" s="61">
        <f t="shared" si="1"/>
        <v>38</v>
      </c>
    </row>
    <row r="14" spans="1:8" x14ac:dyDescent="0.2">
      <c r="A14" s="59" t="s">
        <v>87</v>
      </c>
      <c r="B14" s="60">
        <v>250</v>
      </c>
      <c r="C14" s="62">
        <v>664560</v>
      </c>
      <c r="D14" s="61">
        <f t="shared" si="0"/>
        <v>2658.24</v>
      </c>
      <c r="E14" s="59" t="s">
        <v>87</v>
      </c>
      <c r="F14" s="60">
        <v>100</v>
      </c>
      <c r="G14" s="62">
        <v>265824</v>
      </c>
      <c r="H14" s="61">
        <f t="shared" si="1"/>
        <v>2658.24</v>
      </c>
    </row>
    <row r="15" spans="1:8" x14ac:dyDescent="0.2">
      <c r="A15" s="59" t="s">
        <v>87</v>
      </c>
      <c r="B15" s="60">
        <v>3</v>
      </c>
      <c r="C15" s="62">
        <v>7924.5</v>
      </c>
      <c r="D15" s="61">
        <f t="shared" si="0"/>
        <v>2641.5</v>
      </c>
      <c r="E15" s="59" t="s">
        <v>87</v>
      </c>
      <c r="F15" s="60">
        <v>100</v>
      </c>
      <c r="G15" s="62">
        <v>3800</v>
      </c>
      <c r="H15" s="61">
        <f t="shared" si="1"/>
        <v>38</v>
      </c>
    </row>
    <row r="16" spans="1:8" x14ac:dyDescent="0.2">
      <c r="A16" s="59" t="s">
        <v>87</v>
      </c>
      <c r="B16" s="60">
        <v>150</v>
      </c>
      <c r="C16" s="62">
        <v>398736</v>
      </c>
      <c r="D16" s="61">
        <f t="shared" si="0"/>
        <v>2658.24</v>
      </c>
      <c r="E16" s="59" t="s">
        <v>87</v>
      </c>
      <c r="F16" s="60">
        <v>100</v>
      </c>
      <c r="G16" s="62">
        <v>265824</v>
      </c>
      <c r="H16" s="61">
        <f t="shared" si="1"/>
        <v>2658.24</v>
      </c>
    </row>
    <row r="17" spans="1:8" x14ac:dyDescent="0.2">
      <c r="A17" s="59" t="s">
        <v>87</v>
      </c>
      <c r="B17" s="60">
        <v>100</v>
      </c>
      <c r="C17" s="62">
        <v>265824</v>
      </c>
      <c r="D17" s="61">
        <f t="shared" si="0"/>
        <v>2658.24</v>
      </c>
      <c r="E17" s="59" t="s">
        <v>87</v>
      </c>
      <c r="F17" s="60">
        <v>100</v>
      </c>
      <c r="G17" s="62">
        <v>3800</v>
      </c>
      <c r="H17" s="61">
        <f t="shared" si="1"/>
        <v>38</v>
      </c>
    </row>
    <row r="18" spans="1:8" x14ac:dyDescent="0.2">
      <c r="A18" s="59" t="s">
        <v>87</v>
      </c>
      <c r="B18" s="60">
        <v>100</v>
      </c>
      <c r="C18" s="62">
        <v>265824</v>
      </c>
      <c r="D18" s="61">
        <f t="shared" si="0"/>
        <v>2658.24</v>
      </c>
      <c r="E18" s="59" t="s">
        <v>87</v>
      </c>
      <c r="F18" s="60">
        <v>100</v>
      </c>
      <c r="G18" s="62">
        <v>265824</v>
      </c>
      <c r="H18" s="61">
        <f t="shared" si="1"/>
        <v>2658.24</v>
      </c>
    </row>
    <row r="19" spans="1:8" x14ac:dyDescent="0.2">
      <c r="A19" s="59" t="s">
        <v>87</v>
      </c>
      <c r="B19" s="60">
        <v>100</v>
      </c>
      <c r="C19" s="62">
        <v>265824</v>
      </c>
      <c r="D19" s="61">
        <f t="shared" si="0"/>
        <v>2658.24</v>
      </c>
      <c r="E19" s="59" t="s">
        <v>87</v>
      </c>
      <c r="F19" s="60">
        <v>100</v>
      </c>
      <c r="G19" s="62">
        <v>3800</v>
      </c>
      <c r="H19" s="61">
        <f t="shared" si="1"/>
        <v>38</v>
      </c>
    </row>
    <row r="20" spans="1:8" x14ac:dyDescent="0.2">
      <c r="A20" s="59" t="s">
        <v>87</v>
      </c>
      <c r="B20" s="60">
        <v>300</v>
      </c>
      <c r="C20" s="62">
        <v>797472</v>
      </c>
      <c r="D20" s="61">
        <f t="shared" si="0"/>
        <v>2658.24</v>
      </c>
      <c r="E20" s="59" t="s">
        <v>87</v>
      </c>
      <c r="F20" s="60">
        <v>50</v>
      </c>
      <c r="G20" s="62">
        <v>132912</v>
      </c>
      <c r="H20" s="61">
        <f t="shared" si="1"/>
        <v>2658.24</v>
      </c>
    </row>
    <row r="21" spans="1:8" x14ac:dyDescent="0.2">
      <c r="A21" s="59" t="s">
        <v>87</v>
      </c>
      <c r="B21" s="60">
        <v>200</v>
      </c>
      <c r="C21" s="62">
        <v>531648</v>
      </c>
      <c r="D21" s="61">
        <f t="shared" si="0"/>
        <v>2658.24</v>
      </c>
      <c r="E21" s="59" t="s">
        <v>87</v>
      </c>
      <c r="F21" s="60">
        <v>50</v>
      </c>
      <c r="G21" s="62">
        <v>1900</v>
      </c>
      <c r="H21" s="61">
        <f t="shared" si="1"/>
        <v>38</v>
      </c>
    </row>
    <row r="22" spans="1:8" x14ac:dyDescent="0.2">
      <c r="A22" s="59" t="s">
        <v>87</v>
      </c>
      <c r="B22" s="60">
        <v>100</v>
      </c>
      <c r="C22" s="62">
        <v>265824</v>
      </c>
      <c r="D22" s="61">
        <f t="shared" si="0"/>
        <v>2658.24</v>
      </c>
      <c r="E22" s="59" t="s">
        <v>87</v>
      </c>
      <c r="F22" s="60">
        <v>100</v>
      </c>
      <c r="G22" s="62">
        <v>265824</v>
      </c>
      <c r="H22" s="61">
        <f t="shared" si="1"/>
        <v>2658.24</v>
      </c>
    </row>
    <row r="23" spans="1:8" x14ac:dyDescent="0.2">
      <c r="A23" s="59" t="s">
        <v>87</v>
      </c>
      <c r="B23" s="60">
        <v>100</v>
      </c>
      <c r="C23" s="62">
        <v>265824</v>
      </c>
      <c r="D23" s="61">
        <f t="shared" si="0"/>
        <v>2658.24</v>
      </c>
      <c r="E23" s="59" t="s">
        <v>87</v>
      </c>
      <c r="F23" s="60">
        <v>100</v>
      </c>
      <c r="G23" s="62">
        <v>3800</v>
      </c>
      <c r="H23" s="61">
        <f t="shared" si="1"/>
        <v>38</v>
      </c>
    </row>
    <row r="24" spans="1:8" x14ac:dyDescent="0.2">
      <c r="A24" s="59" t="s">
        <v>87</v>
      </c>
      <c r="B24" s="60">
        <v>100</v>
      </c>
      <c r="C24" s="62">
        <v>265824</v>
      </c>
      <c r="D24" s="61">
        <f t="shared" si="0"/>
        <v>2658.24</v>
      </c>
      <c r="E24" s="59" t="s">
        <v>87</v>
      </c>
      <c r="F24" s="60">
        <v>130</v>
      </c>
      <c r="G24" s="62">
        <v>345571.2</v>
      </c>
      <c r="H24" s="61">
        <f t="shared" si="1"/>
        <v>2658.2400000000002</v>
      </c>
    </row>
    <row r="25" spans="1:8" x14ac:dyDescent="0.2">
      <c r="A25" s="59" t="s">
        <v>87</v>
      </c>
      <c r="B25" s="60">
        <v>100</v>
      </c>
      <c r="C25" s="62">
        <v>265824</v>
      </c>
      <c r="D25" s="61">
        <f t="shared" si="0"/>
        <v>2658.24</v>
      </c>
      <c r="E25" s="59" t="s">
        <v>87</v>
      </c>
      <c r="F25" s="60">
        <v>130</v>
      </c>
      <c r="G25" s="62">
        <v>4940</v>
      </c>
      <c r="H25" s="61">
        <f t="shared" si="1"/>
        <v>38</v>
      </c>
    </row>
    <row r="26" spans="1:8" x14ac:dyDescent="0.2">
      <c r="A26" s="59" t="s">
        <v>87</v>
      </c>
      <c r="B26" s="60">
        <v>1</v>
      </c>
      <c r="C26" s="62">
        <v>2603.0700000000002</v>
      </c>
      <c r="D26" s="61">
        <f t="shared" si="0"/>
        <v>2603.0700000000002</v>
      </c>
      <c r="E26" s="59" t="s">
        <v>87</v>
      </c>
      <c r="F26" s="60">
        <v>100</v>
      </c>
      <c r="G26" s="62">
        <v>265824</v>
      </c>
      <c r="H26" s="61">
        <f t="shared" si="1"/>
        <v>2658.24</v>
      </c>
    </row>
    <row r="27" spans="1:8" x14ac:dyDescent="0.2">
      <c r="A27" s="59" t="s">
        <v>87</v>
      </c>
      <c r="B27" s="60">
        <v>100</v>
      </c>
      <c r="C27" s="62">
        <v>265824</v>
      </c>
      <c r="D27" s="61">
        <f t="shared" si="0"/>
        <v>2658.24</v>
      </c>
      <c r="E27" s="59" t="s">
        <v>87</v>
      </c>
      <c r="F27" s="60">
        <v>100</v>
      </c>
      <c r="G27" s="62">
        <v>3800</v>
      </c>
      <c r="H27" s="61">
        <f t="shared" si="1"/>
        <v>38</v>
      </c>
    </row>
    <row r="28" spans="1:8" x14ac:dyDescent="0.2">
      <c r="A28" s="59" t="s">
        <v>87</v>
      </c>
      <c r="B28" s="60">
        <v>100</v>
      </c>
      <c r="C28" s="62">
        <v>265824</v>
      </c>
      <c r="D28" s="61">
        <f t="shared" si="0"/>
        <v>2658.24</v>
      </c>
      <c r="E28" s="59" t="s">
        <v>87</v>
      </c>
      <c r="F28" s="60">
        <v>100</v>
      </c>
      <c r="G28" s="62">
        <v>265824</v>
      </c>
      <c r="H28" s="61">
        <f t="shared" si="1"/>
        <v>2658.24</v>
      </c>
    </row>
    <row r="29" spans="1:8" x14ac:dyDescent="0.2">
      <c r="A29" s="59" t="s">
        <v>87</v>
      </c>
      <c r="B29" s="60">
        <v>50</v>
      </c>
      <c r="C29" s="62">
        <v>132912</v>
      </c>
      <c r="D29" s="61">
        <f t="shared" si="0"/>
        <v>2658.24</v>
      </c>
      <c r="E29" s="59" t="s">
        <v>87</v>
      </c>
      <c r="F29" s="60">
        <v>100</v>
      </c>
      <c r="G29" s="62">
        <v>3800</v>
      </c>
      <c r="H29" s="61">
        <f t="shared" si="1"/>
        <v>38</v>
      </c>
    </row>
    <row r="30" spans="1:8" x14ac:dyDescent="0.2">
      <c r="A30" s="59" t="s">
        <v>87</v>
      </c>
      <c r="B30" s="60">
        <v>200</v>
      </c>
      <c r="C30" s="62">
        <v>531648</v>
      </c>
      <c r="D30" s="61">
        <f t="shared" si="0"/>
        <v>2658.24</v>
      </c>
      <c r="E30" s="59" t="s">
        <v>87</v>
      </c>
      <c r="F30" s="60">
        <v>100</v>
      </c>
      <c r="G30" s="62">
        <v>265824</v>
      </c>
      <c r="H30" s="61">
        <f t="shared" si="1"/>
        <v>2658.24</v>
      </c>
    </row>
    <row r="31" spans="1:8" x14ac:dyDescent="0.2">
      <c r="A31" s="59" t="s">
        <v>87</v>
      </c>
      <c r="B31" s="60">
        <v>100</v>
      </c>
      <c r="C31" s="62">
        <v>265824</v>
      </c>
      <c r="D31" s="61">
        <f t="shared" si="0"/>
        <v>2658.24</v>
      </c>
      <c r="E31" s="59" t="s">
        <v>87</v>
      </c>
      <c r="F31" s="60">
        <v>100</v>
      </c>
      <c r="G31" s="62">
        <v>3800</v>
      </c>
      <c r="H31" s="61">
        <f t="shared" si="1"/>
        <v>38</v>
      </c>
    </row>
    <row r="32" spans="1:8" x14ac:dyDescent="0.2">
      <c r="A32" s="59" t="s">
        <v>87</v>
      </c>
      <c r="B32" s="60">
        <v>150</v>
      </c>
      <c r="C32" s="62">
        <v>398736</v>
      </c>
      <c r="D32" s="61">
        <f t="shared" si="0"/>
        <v>2658.24</v>
      </c>
      <c r="E32" s="59" t="s">
        <v>87</v>
      </c>
      <c r="F32" s="60">
        <v>100</v>
      </c>
      <c r="G32" s="62">
        <v>265824</v>
      </c>
      <c r="H32" s="61">
        <f t="shared" si="1"/>
        <v>2658.24</v>
      </c>
    </row>
    <row r="33" spans="1:8" x14ac:dyDescent="0.2">
      <c r="A33" s="59" t="s">
        <v>87</v>
      </c>
      <c r="B33" s="60">
        <v>100</v>
      </c>
      <c r="C33" s="62">
        <v>265824</v>
      </c>
      <c r="D33" s="61">
        <f t="shared" si="0"/>
        <v>2658.24</v>
      </c>
      <c r="E33" s="59" t="s">
        <v>87</v>
      </c>
      <c r="F33" s="60">
        <v>100</v>
      </c>
      <c r="G33" s="62">
        <v>3800</v>
      </c>
      <c r="H33" s="61">
        <f t="shared" si="1"/>
        <v>38</v>
      </c>
    </row>
    <row r="34" spans="1:8" x14ac:dyDescent="0.2">
      <c r="A34" s="59" t="s">
        <v>87</v>
      </c>
      <c r="B34" s="60">
        <v>50</v>
      </c>
      <c r="C34" s="62">
        <v>132912</v>
      </c>
      <c r="D34" s="61">
        <f t="shared" ref="D34:D65" si="2">C34/B34</f>
        <v>2658.24</v>
      </c>
      <c r="E34" s="59" t="s">
        <v>87</v>
      </c>
      <c r="F34" s="60">
        <v>100</v>
      </c>
      <c r="G34" s="62">
        <v>265824</v>
      </c>
      <c r="H34" s="61">
        <f t="shared" ref="H34:H65" si="3">G34/F34</f>
        <v>2658.24</v>
      </c>
    </row>
    <row r="35" spans="1:8" x14ac:dyDescent="0.2">
      <c r="A35" s="59" t="s">
        <v>87</v>
      </c>
      <c r="B35" s="60">
        <v>350</v>
      </c>
      <c r="C35" s="62">
        <v>930384</v>
      </c>
      <c r="D35" s="61">
        <f t="shared" si="2"/>
        <v>2658.24</v>
      </c>
      <c r="E35" s="59" t="s">
        <v>87</v>
      </c>
      <c r="F35" s="60">
        <v>100</v>
      </c>
      <c r="G35" s="62">
        <v>3800</v>
      </c>
      <c r="H35" s="61">
        <f t="shared" si="3"/>
        <v>38</v>
      </c>
    </row>
    <row r="36" spans="1:8" x14ac:dyDescent="0.2">
      <c r="A36" s="59" t="s">
        <v>87</v>
      </c>
      <c r="B36" s="60">
        <v>75</v>
      </c>
      <c r="C36" s="62">
        <v>199368</v>
      </c>
      <c r="D36" s="61">
        <f t="shared" si="2"/>
        <v>2658.24</v>
      </c>
      <c r="E36" s="59" t="s">
        <v>87</v>
      </c>
      <c r="F36" s="60">
        <v>50</v>
      </c>
      <c r="G36" s="62">
        <v>132912</v>
      </c>
      <c r="H36" s="61">
        <f t="shared" si="3"/>
        <v>2658.24</v>
      </c>
    </row>
    <row r="37" spans="1:8" x14ac:dyDescent="0.2">
      <c r="A37" s="59" t="s">
        <v>87</v>
      </c>
      <c r="B37" s="60">
        <v>100</v>
      </c>
      <c r="C37" s="62">
        <v>265824</v>
      </c>
      <c r="D37" s="61">
        <f t="shared" si="2"/>
        <v>2658.24</v>
      </c>
      <c r="E37" s="59" t="s">
        <v>87</v>
      </c>
      <c r="F37" s="60">
        <v>50</v>
      </c>
      <c r="G37" s="62">
        <v>1900</v>
      </c>
      <c r="H37" s="61">
        <f t="shared" si="3"/>
        <v>38</v>
      </c>
    </row>
    <row r="38" spans="1:8" x14ac:dyDescent="0.2">
      <c r="A38" s="59" t="s">
        <v>87</v>
      </c>
      <c r="B38" s="60">
        <v>100</v>
      </c>
      <c r="C38" s="62">
        <v>265824</v>
      </c>
      <c r="D38" s="61">
        <f t="shared" si="2"/>
        <v>2658.24</v>
      </c>
      <c r="E38" s="59" t="s">
        <v>87</v>
      </c>
      <c r="F38" s="60">
        <v>200</v>
      </c>
      <c r="G38" s="62">
        <v>531648</v>
      </c>
      <c r="H38" s="61">
        <f t="shared" si="3"/>
        <v>2658.24</v>
      </c>
    </row>
    <row r="39" spans="1:8" x14ac:dyDescent="0.2">
      <c r="A39" s="59" t="s">
        <v>87</v>
      </c>
      <c r="B39" s="60">
        <v>100</v>
      </c>
      <c r="C39" s="62">
        <v>265824</v>
      </c>
      <c r="D39" s="61">
        <f t="shared" si="2"/>
        <v>2658.24</v>
      </c>
      <c r="E39" s="59" t="s">
        <v>87</v>
      </c>
      <c r="F39" s="60">
        <v>200</v>
      </c>
      <c r="G39" s="62">
        <v>7600</v>
      </c>
      <c r="H39" s="61">
        <f t="shared" si="3"/>
        <v>38</v>
      </c>
    </row>
    <row r="40" spans="1:8" x14ac:dyDescent="0.2">
      <c r="A40" s="59" t="s">
        <v>87</v>
      </c>
      <c r="B40" s="60">
        <v>100</v>
      </c>
      <c r="C40" s="62">
        <v>265824</v>
      </c>
      <c r="D40" s="61">
        <f t="shared" si="2"/>
        <v>2658.24</v>
      </c>
      <c r="E40" s="59" t="s">
        <v>87</v>
      </c>
      <c r="F40" s="60">
        <v>200</v>
      </c>
      <c r="G40" s="62">
        <v>531648</v>
      </c>
      <c r="H40" s="61">
        <f t="shared" si="3"/>
        <v>2658.24</v>
      </c>
    </row>
    <row r="41" spans="1:8" x14ac:dyDescent="0.2">
      <c r="A41" s="59" t="s">
        <v>87</v>
      </c>
      <c r="B41" s="60">
        <v>1</v>
      </c>
      <c r="C41" s="62">
        <v>2603.0700000000002</v>
      </c>
      <c r="D41" s="61">
        <f t="shared" si="2"/>
        <v>2603.0700000000002</v>
      </c>
      <c r="E41" s="59" t="s">
        <v>87</v>
      </c>
      <c r="F41" s="60">
        <v>200</v>
      </c>
      <c r="G41" s="62">
        <v>7600</v>
      </c>
      <c r="H41" s="61">
        <f t="shared" si="3"/>
        <v>38</v>
      </c>
    </row>
    <row r="42" spans="1:8" x14ac:dyDescent="0.2">
      <c r="A42" s="59" t="s">
        <v>87</v>
      </c>
      <c r="B42" s="60">
        <v>12</v>
      </c>
      <c r="C42" s="62">
        <v>31898.880000000001</v>
      </c>
      <c r="D42" s="61">
        <f t="shared" si="2"/>
        <v>2658.2400000000002</v>
      </c>
      <c r="E42" s="59" t="s">
        <v>87</v>
      </c>
      <c r="F42" s="60">
        <v>100</v>
      </c>
      <c r="G42" s="62">
        <v>265824</v>
      </c>
      <c r="H42" s="61">
        <f t="shared" si="3"/>
        <v>2658.24</v>
      </c>
    </row>
    <row r="43" spans="1:8" x14ac:dyDescent="0.2">
      <c r="A43" s="59" t="s">
        <v>87</v>
      </c>
      <c r="B43" s="60">
        <v>8</v>
      </c>
      <c r="C43" s="62">
        <v>21265.919999999998</v>
      </c>
      <c r="D43" s="61">
        <f t="shared" si="2"/>
        <v>2658.24</v>
      </c>
      <c r="E43" s="59" t="s">
        <v>87</v>
      </c>
      <c r="F43" s="60">
        <v>100</v>
      </c>
      <c r="G43" s="62">
        <v>3800</v>
      </c>
      <c r="H43" s="61">
        <f t="shared" si="3"/>
        <v>38</v>
      </c>
    </row>
    <row r="44" spans="1:8" x14ac:dyDescent="0.2">
      <c r="A44" s="59" t="s">
        <v>87</v>
      </c>
      <c r="B44" s="60">
        <v>2</v>
      </c>
      <c r="C44" s="62">
        <v>5206.1400000000003</v>
      </c>
      <c r="D44" s="61">
        <f t="shared" si="2"/>
        <v>2603.0700000000002</v>
      </c>
      <c r="E44" s="59" t="s">
        <v>87</v>
      </c>
      <c r="F44" s="60">
        <v>100</v>
      </c>
      <c r="G44" s="62">
        <v>265824</v>
      </c>
      <c r="H44" s="61">
        <f t="shared" si="3"/>
        <v>2658.24</v>
      </c>
    </row>
    <row r="45" spans="1:8" x14ac:dyDescent="0.2">
      <c r="A45" s="59" t="s">
        <v>87</v>
      </c>
      <c r="B45" s="60">
        <v>100</v>
      </c>
      <c r="C45" s="62">
        <v>265824</v>
      </c>
      <c r="D45" s="61">
        <f t="shared" si="2"/>
        <v>2658.24</v>
      </c>
      <c r="E45" s="59" t="s">
        <v>87</v>
      </c>
      <c r="F45" s="60">
        <v>100</v>
      </c>
      <c r="G45" s="62">
        <v>3800</v>
      </c>
      <c r="H45" s="61">
        <f t="shared" si="3"/>
        <v>38</v>
      </c>
    </row>
    <row r="46" spans="1:8" x14ac:dyDescent="0.2">
      <c r="A46" s="59" t="s">
        <v>87</v>
      </c>
      <c r="B46" s="60">
        <v>100</v>
      </c>
      <c r="C46" s="62">
        <v>265824</v>
      </c>
      <c r="D46" s="61">
        <f t="shared" si="2"/>
        <v>2658.24</v>
      </c>
      <c r="E46" s="59" t="s">
        <v>87</v>
      </c>
      <c r="F46" s="60">
        <v>50</v>
      </c>
      <c r="G46" s="62">
        <v>132912</v>
      </c>
      <c r="H46" s="61">
        <f t="shared" si="3"/>
        <v>2658.24</v>
      </c>
    </row>
    <row r="47" spans="1:8" x14ac:dyDescent="0.2">
      <c r="A47" s="59" t="s">
        <v>87</v>
      </c>
      <c r="B47" s="60">
        <v>1</v>
      </c>
      <c r="C47" s="62">
        <v>2603.0700000000002</v>
      </c>
      <c r="D47" s="61">
        <f t="shared" si="2"/>
        <v>2603.0700000000002</v>
      </c>
      <c r="E47" s="59" t="s">
        <v>87</v>
      </c>
      <c r="F47" s="60">
        <v>50</v>
      </c>
      <c r="G47" s="62">
        <v>1900</v>
      </c>
      <c r="H47" s="61">
        <f t="shared" si="3"/>
        <v>38</v>
      </c>
    </row>
    <row r="48" spans="1:8" x14ac:dyDescent="0.2">
      <c r="A48" s="59" t="s">
        <v>89</v>
      </c>
      <c r="B48" s="60">
        <v>200</v>
      </c>
      <c r="C48" s="62">
        <v>529020</v>
      </c>
      <c r="D48" s="61">
        <f t="shared" si="2"/>
        <v>2645.1</v>
      </c>
      <c r="E48" s="59" t="s">
        <v>87</v>
      </c>
      <c r="F48" s="60">
        <v>100</v>
      </c>
      <c r="G48" s="62">
        <v>265824</v>
      </c>
      <c r="H48" s="61">
        <f t="shared" si="3"/>
        <v>2658.24</v>
      </c>
    </row>
    <row r="49" spans="1:8" x14ac:dyDescent="0.2">
      <c r="A49" s="59" t="s">
        <v>89</v>
      </c>
      <c r="B49" s="60">
        <v>200</v>
      </c>
      <c r="C49" s="62">
        <v>529020</v>
      </c>
      <c r="D49" s="61">
        <f t="shared" si="2"/>
        <v>2645.1</v>
      </c>
      <c r="E49" s="59" t="s">
        <v>87</v>
      </c>
      <c r="F49" s="60">
        <v>100</v>
      </c>
      <c r="G49" s="62">
        <v>3800</v>
      </c>
      <c r="H49" s="61">
        <f t="shared" si="3"/>
        <v>38</v>
      </c>
    </row>
    <row r="50" spans="1:8" x14ac:dyDescent="0.2">
      <c r="A50" s="59" t="s">
        <v>89</v>
      </c>
      <c r="B50" s="60">
        <v>100</v>
      </c>
      <c r="C50" s="62">
        <v>264510</v>
      </c>
      <c r="D50" s="61">
        <f t="shared" si="2"/>
        <v>2645.1</v>
      </c>
      <c r="E50" s="59" t="s">
        <v>87</v>
      </c>
      <c r="F50" s="60">
        <v>100</v>
      </c>
      <c r="G50" s="62">
        <v>265824</v>
      </c>
      <c r="H50" s="61">
        <f t="shared" si="3"/>
        <v>2658.24</v>
      </c>
    </row>
    <row r="51" spans="1:8" x14ac:dyDescent="0.2">
      <c r="A51" s="59" t="s">
        <v>89</v>
      </c>
      <c r="B51" s="60">
        <v>100</v>
      </c>
      <c r="C51" s="62">
        <v>264510</v>
      </c>
      <c r="D51" s="61">
        <f t="shared" si="2"/>
        <v>2645.1</v>
      </c>
      <c r="E51" s="59" t="s">
        <v>87</v>
      </c>
      <c r="F51" s="60">
        <v>100</v>
      </c>
      <c r="G51" s="62">
        <v>3800</v>
      </c>
      <c r="H51" s="61">
        <f t="shared" si="3"/>
        <v>38</v>
      </c>
    </row>
    <row r="52" spans="1:8" x14ac:dyDescent="0.2">
      <c r="A52" s="59" t="s">
        <v>89</v>
      </c>
      <c r="B52" s="60">
        <v>100</v>
      </c>
      <c r="C52" s="62">
        <v>264510</v>
      </c>
      <c r="D52" s="61">
        <f t="shared" si="2"/>
        <v>2645.1</v>
      </c>
      <c r="E52" s="59" t="s">
        <v>87</v>
      </c>
      <c r="F52" s="60">
        <v>100</v>
      </c>
      <c r="G52" s="62">
        <v>265824</v>
      </c>
      <c r="H52" s="61">
        <f t="shared" si="3"/>
        <v>2658.24</v>
      </c>
    </row>
    <row r="53" spans="1:8" x14ac:dyDescent="0.2">
      <c r="A53" s="59" t="s">
        <v>89</v>
      </c>
      <c r="B53" s="60">
        <v>100</v>
      </c>
      <c r="C53" s="62">
        <v>264510</v>
      </c>
      <c r="D53" s="61">
        <f t="shared" si="2"/>
        <v>2645.1</v>
      </c>
      <c r="E53" s="59" t="s">
        <v>87</v>
      </c>
      <c r="F53" s="60">
        <v>100</v>
      </c>
      <c r="G53" s="62">
        <v>3800</v>
      </c>
      <c r="H53" s="61">
        <f t="shared" si="3"/>
        <v>38</v>
      </c>
    </row>
    <row r="54" spans="1:8" x14ac:dyDescent="0.2">
      <c r="A54" s="59" t="s">
        <v>89</v>
      </c>
      <c r="B54" s="60">
        <v>1</v>
      </c>
      <c r="C54" s="62">
        <v>2645.1</v>
      </c>
      <c r="D54" s="61">
        <f t="shared" si="2"/>
        <v>2645.1</v>
      </c>
      <c r="E54" s="59" t="s">
        <v>87</v>
      </c>
      <c r="F54" s="60">
        <v>100</v>
      </c>
      <c r="G54" s="62">
        <v>265824</v>
      </c>
      <c r="H54" s="61">
        <f t="shared" si="3"/>
        <v>2658.24</v>
      </c>
    </row>
    <row r="55" spans="1:8" x14ac:dyDescent="0.2">
      <c r="A55" s="59" t="s">
        <v>89</v>
      </c>
      <c r="B55" s="60">
        <v>100</v>
      </c>
      <c r="C55" s="62">
        <v>264510</v>
      </c>
      <c r="D55" s="61">
        <f t="shared" si="2"/>
        <v>2645.1</v>
      </c>
      <c r="E55" s="59" t="s">
        <v>87</v>
      </c>
      <c r="F55" s="60">
        <v>100</v>
      </c>
      <c r="G55" s="62">
        <v>3800</v>
      </c>
      <c r="H55" s="61">
        <f t="shared" si="3"/>
        <v>38</v>
      </c>
    </row>
    <row r="56" spans="1:8" x14ac:dyDescent="0.2">
      <c r="A56" s="59" t="s">
        <v>89</v>
      </c>
      <c r="B56" s="60">
        <v>1</v>
      </c>
      <c r="C56" s="62">
        <v>2645.1</v>
      </c>
      <c r="D56" s="61">
        <f t="shared" si="2"/>
        <v>2645.1</v>
      </c>
      <c r="E56" s="59" t="s">
        <v>87</v>
      </c>
      <c r="F56" s="60">
        <v>50</v>
      </c>
      <c r="G56" s="62">
        <v>132912</v>
      </c>
      <c r="H56" s="61">
        <f t="shared" si="3"/>
        <v>2658.24</v>
      </c>
    </row>
    <row r="57" spans="1:8" x14ac:dyDescent="0.2">
      <c r="A57" s="59" t="s">
        <v>89</v>
      </c>
      <c r="B57" s="60">
        <v>3</v>
      </c>
      <c r="C57" s="62">
        <v>7935.3</v>
      </c>
      <c r="D57" s="61">
        <f t="shared" si="2"/>
        <v>2645.1</v>
      </c>
      <c r="E57" s="59" t="s">
        <v>87</v>
      </c>
      <c r="F57" s="60">
        <v>50</v>
      </c>
      <c r="G57" s="62">
        <v>1900</v>
      </c>
      <c r="H57" s="61">
        <f t="shared" si="3"/>
        <v>38</v>
      </c>
    </row>
    <row r="58" spans="1:8" x14ac:dyDescent="0.2">
      <c r="A58" s="59" t="s">
        <v>89</v>
      </c>
      <c r="B58" s="60">
        <v>9</v>
      </c>
      <c r="C58" s="62">
        <v>23805.9</v>
      </c>
      <c r="D58" s="61">
        <f t="shared" si="2"/>
        <v>2645.1000000000004</v>
      </c>
      <c r="E58" s="59" t="s">
        <v>87</v>
      </c>
      <c r="F58" s="60">
        <v>100</v>
      </c>
      <c r="G58" s="62">
        <v>265824</v>
      </c>
      <c r="H58" s="61">
        <f t="shared" si="3"/>
        <v>2658.24</v>
      </c>
    </row>
    <row r="59" spans="1:8" x14ac:dyDescent="0.2">
      <c r="A59" s="59" t="s">
        <v>89</v>
      </c>
      <c r="B59" s="60">
        <v>1</v>
      </c>
      <c r="C59" s="62">
        <v>2645.1</v>
      </c>
      <c r="D59" s="61">
        <f t="shared" si="2"/>
        <v>2645.1</v>
      </c>
      <c r="E59" s="59" t="s">
        <v>87</v>
      </c>
      <c r="F59" s="60">
        <v>100</v>
      </c>
      <c r="G59" s="62">
        <v>3800</v>
      </c>
      <c r="H59" s="61">
        <f t="shared" si="3"/>
        <v>38</v>
      </c>
    </row>
    <row r="60" spans="1:8" x14ac:dyDescent="0.2">
      <c r="A60" s="59" t="s">
        <v>89</v>
      </c>
      <c r="B60" s="60">
        <v>110</v>
      </c>
      <c r="C60" s="62">
        <v>290961</v>
      </c>
      <c r="D60" s="61">
        <f t="shared" si="2"/>
        <v>2645.1</v>
      </c>
      <c r="E60" s="59" t="s">
        <v>87</v>
      </c>
      <c r="F60" s="60">
        <v>100</v>
      </c>
      <c r="G60" s="62">
        <v>265824</v>
      </c>
      <c r="H60" s="61">
        <f t="shared" si="3"/>
        <v>2658.24</v>
      </c>
    </row>
    <row r="61" spans="1:8" x14ac:dyDescent="0.2">
      <c r="A61" s="59" t="s">
        <v>89</v>
      </c>
      <c r="B61" s="60">
        <v>15</v>
      </c>
      <c r="C61" s="62">
        <v>39676.5</v>
      </c>
      <c r="D61" s="61">
        <f t="shared" si="2"/>
        <v>2645.1</v>
      </c>
      <c r="E61" s="59" t="s">
        <v>87</v>
      </c>
      <c r="F61" s="60">
        <v>100</v>
      </c>
      <c r="G61" s="62">
        <v>3800</v>
      </c>
      <c r="H61" s="61">
        <f t="shared" si="3"/>
        <v>38</v>
      </c>
    </row>
    <row r="62" spans="1:8" x14ac:dyDescent="0.2">
      <c r="A62" s="59" t="s">
        <v>89</v>
      </c>
      <c r="B62" s="60">
        <v>5</v>
      </c>
      <c r="C62" s="62">
        <v>13225.5</v>
      </c>
      <c r="D62" s="61">
        <f t="shared" si="2"/>
        <v>2645.1</v>
      </c>
      <c r="E62" s="59" t="s">
        <v>87</v>
      </c>
      <c r="F62" s="60">
        <v>100</v>
      </c>
      <c r="G62" s="62">
        <v>265824</v>
      </c>
      <c r="H62" s="61">
        <f t="shared" si="3"/>
        <v>2658.24</v>
      </c>
    </row>
    <row r="63" spans="1:8" x14ac:dyDescent="0.2">
      <c r="A63" s="59" t="s">
        <v>89</v>
      </c>
      <c r="B63" s="60">
        <v>200</v>
      </c>
      <c r="C63" s="62">
        <v>529020</v>
      </c>
      <c r="D63" s="61">
        <f t="shared" si="2"/>
        <v>2645.1</v>
      </c>
      <c r="E63" s="59" t="s">
        <v>87</v>
      </c>
      <c r="F63" s="60">
        <v>100</v>
      </c>
      <c r="G63" s="62">
        <v>3800</v>
      </c>
      <c r="H63" s="61">
        <f t="shared" si="3"/>
        <v>38</v>
      </c>
    </row>
    <row r="64" spans="1:8" x14ac:dyDescent="0.2">
      <c r="A64" s="59" t="s">
        <v>89</v>
      </c>
      <c r="B64" s="60">
        <v>180</v>
      </c>
      <c r="C64" s="62">
        <v>476118</v>
      </c>
      <c r="D64" s="61">
        <f t="shared" si="2"/>
        <v>2645.1</v>
      </c>
      <c r="E64" s="59" t="s">
        <v>87</v>
      </c>
      <c r="F64" s="60">
        <v>100</v>
      </c>
      <c r="G64" s="62">
        <v>265824</v>
      </c>
      <c r="H64" s="61">
        <f t="shared" si="3"/>
        <v>2658.24</v>
      </c>
    </row>
    <row r="65" spans="1:8" x14ac:dyDescent="0.2">
      <c r="A65" s="59" t="s">
        <v>89</v>
      </c>
      <c r="B65" s="60">
        <v>70</v>
      </c>
      <c r="C65" s="62">
        <v>185157</v>
      </c>
      <c r="D65" s="61">
        <f t="shared" si="2"/>
        <v>2645.1</v>
      </c>
      <c r="E65" s="59" t="s">
        <v>87</v>
      </c>
      <c r="F65" s="60">
        <v>100</v>
      </c>
      <c r="G65" s="62">
        <v>3800</v>
      </c>
      <c r="H65" s="61">
        <f t="shared" si="3"/>
        <v>38</v>
      </c>
    </row>
    <row r="66" spans="1:8" x14ac:dyDescent="0.2">
      <c r="A66" s="59" t="s">
        <v>89</v>
      </c>
      <c r="B66" s="60">
        <v>23</v>
      </c>
      <c r="C66" s="62">
        <v>60837.3</v>
      </c>
      <c r="D66" s="61">
        <f t="shared" ref="D66:D97" si="4">C66/B66</f>
        <v>2645.1</v>
      </c>
      <c r="E66" s="59" t="s">
        <v>87</v>
      </c>
      <c r="F66" s="60">
        <v>100</v>
      </c>
      <c r="G66" s="62">
        <v>265824</v>
      </c>
      <c r="H66" s="61">
        <f t="shared" ref="H66:H97" si="5">G66/F66</f>
        <v>2658.24</v>
      </c>
    </row>
    <row r="67" spans="1:8" x14ac:dyDescent="0.2">
      <c r="A67" s="59" t="s">
        <v>89</v>
      </c>
      <c r="B67" s="60">
        <v>60</v>
      </c>
      <c r="C67" s="62">
        <v>158706</v>
      </c>
      <c r="D67" s="61">
        <f t="shared" si="4"/>
        <v>2645.1</v>
      </c>
      <c r="E67" s="59" t="s">
        <v>87</v>
      </c>
      <c r="F67" s="60">
        <v>100</v>
      </c>
      <c r="G67" s="62">
        <v>3800</v>
      </c>
      <c r="H67" s="61">
        <f t="shared" si="5"/>
        <v>38</v>
      </c>
    </row>
    <row r="68" spans="1:8" x14ac:dyDescent="0.2">
      <c r="A68" s="59" t="s">
        <v>89</v>
      </c>
      <c r="B68" s="60">
        <v>45</v>
      </c>
      <c r="C68" s="62">
        <v>119029.5</v>
      </c>
      <c r="D68" s="61">
        <f t="shared" si="4"/>
        <v>2645.1</v>
      </c>
      <c r="E68" s="59" t="s">
        <v>87</v>
      </c>
      <c r="F68" s="60">
        <v>100</v>
      </c>
      <c r="G68" s="62">
        <v>265824</v>
      </c>
      <c r="H68" s="61">
        <f t="shared" si="5"/>
        <v>2658.24</v>
      </c>
    </row>
    <row r="69" spans="1:8" x14ac:dyDescent="0.2">
      <c r="A69" s="59" t="s">
        <v>89</v>
      </c>
      <c r="B69" s="60">
        <v>45</v>
      </c>
      <c r="C69" s="62">
        <v>119029.5</v>
      </c>
      <c r="D69" s="61">
        <f t="shared" si="4"/>
        <v>2645.1</v>
      </c>
      <c r="E69" s="59" t="s">
        <v>87</v>
      </c>
      <c r="F69" s="60">
        <v>100</v>
      </c>
      <c r="G69" s="62">
        <v>3800</v>
      </c>
      <c r="H69" s="61">
        <f t="shared" si="5"/>
        <v>38</v>
      </c>
    </row>
    <row r="70" spans="1:8" x14ac:dyDescent="0.2">
      <c r="A70" s="59" t="s">
        <v>89</v>
      </c>
      <c r="B70" s="60">
        <v>1</v>
      </c>
      <c r="C70" s="62">
        <v>2645.1</v>
      </c>
      <c r="D70" s="61">
        <f t="shared" si="4"/>
        <v>2645.1</v>
      </c>
      <c r="E70" s="59" t="s">
        <v>87</v>
      </c>
      <c r="F70" s="60">
        <v>100</v>
      </c>
      <c r="G70" s="62">
        <v>265824</v>
      </c>
      <c r="H70" s="61">
        <f t="shared" si="5"/>
        <v>2658.24</v>
      </c>
    </row>
    <row r="71" spans="1:8" x14ac:dyDescent="0.2">
      <c r="A71" s="59" t="s">
        <v>89</v>
      </c>
      <c r="B71" s="60">
        <v>160</v>
      </c>
      <c r="C71" s="62">
        <v>423216</v>
      </c>
      <c r="D71" s="61">
        <f t="shared" si="4"/>
        <v>2645.1</v>
      </c>
      <c r="E71" s="59" t="s">
        <v>87</v>
      </c>
      <c r="F71" s="60">
        <v>100</v>
      </c>
      <c r="G71" s="62">
        <v>3800</v>
      </c>
      <c r="H71" s="61">
        <f t="shared" si="5"/>
        <v>38</v>
      </c>
    </row>
    <row r="72" spans="1:8" x14ac:dyDescent="0.2">
      <c r="A72" s="59" t="s">
        <v>89</v>
      </c>
      <c r="B72" s="60">
        <v>140</v>
      </c>
      <c r="C72" s="62">
        <v>370314</v>
      </c>
      <c r="D72" s="61">
        <f t="shared" si="4"/>
        <v>2645.1</v>
      </c>
      <c r="E72" s="59" t="s">
        <v>87</v>
      </c>
      <c r="F72" s="60">
        <v>100</v>
      </c>
      <c r="G72" s="62">
        <v>265824</v>
      </c>
      <c r="H72" s="61">
        <f t="shared" si="5"/>
        <v>2658.24</v>
      </c>
    </row>
    <row r="73" spans="1:8" x14ac:dyDescent="0.2">
      <c r="A73" s="59" t="s">
        <v>89</v>
      </c>
      <c r="B73" s="60">
        <v>150</v>
      </c>
      <c r="C73" s="62">
        <v>396765</v>
      </c>
      <c r="D73" s="61">
        <f t="shared" si="4"/>
        <v>2645.1</v>
      </c>
      <c r="E73" s="59" t="s">
        <v>87</v>
      </c>
      <c r="F73" s="60">
        <v>100</v>
      </c>
      <c r="G73" s="62">
        <v>3800</v>
      </c>
      <c r="H73" s="61">
        <f t="shared" si="5"/>
        <v>38</v>
      </c>
    </row>
    <row r="74" spans="1:8" x14ac:dyDescent="0.2">
      <c r="A74" s="59" t="s">
        <v>89</v>
      </c>
      <c r="B74" s="60">
        <v>50</v>
      </c>
      <c r="C74" s="62">
        <v>132255</v>
      </c>
      <c r="D74" s="61">
        <f t="shared" si="4"/>
        <v>2645.1</v>
      </c>
      <c r="E74" s="59" t="s">
        <v>87</v>
      </c>
      <c r="F74" s="60">
        <v>94</v>
      </c>
      <c r="G74" s="62">
        <v>249874.56</v>
      </c>
      <c r="H74" s="61">
        <f t="shared" si="5"/>
        <v>2658.24</v>
      </c>
    </row>
    <row r="75" spans="1:8" x14ac:dyDescent="0.2">
      <c r="A75" s="59" t="s">
        <v>89</v>
      </c>
      <c r="B75" s="60">
        <v>12</v>
      </c>
      <c r="C75" s="62">
        <v>31741.200000000001</v>
      </c>
      <c r="D75" s="61">
        <f t="shared" si="4"/>
        <v>2645.1</v>
      </c>
      <c r="E75" s="59" t="s">
        <v>87</v>
      </c>
      <c r="F75" s="60">
        <v>94</v>
      </c>
      <c r="G75" s="62">
        <v>3572</v>
      </c>
      <c r="H75" s="61">
        <f t="shared" si="5"/>
        <v>38</v>
      </c>
    </row>
    <row r="76" spans="1:8" x14ac:dyDescent="0.2">
      <c r="A76" s="59" t="s">
        <v>89</v>
      </c>
      <c r="B76" s="60">
        <v>106</v>
      </c>
      <c r="C76" s="62">
        <v>280380.59999999998</v>
      </c>
      <c r="D76" s="61">
        <f t="shared" si="4"/>
        <v>2645.1</v>
      </c>
      <c r="E76" s="59" t="s">
        <v>87</v>
      </c>
      <c r="F76" s="60">
        <v>100</v>
      </c>
      <c r="G76" s="62">
        <v>265824</v>
      </c>
      <c r="H76" s="61">
        <f t="shared" si="5"/>
        <v>2658.24</v>
      </c>
    </row>
    <row r="77" spans="1:8" x14ac:dyDescent="0.2">
      <c r="A77" s="59" t="s">
        <v>89</v>
      </c>
      <c r="B77" s="60">
        <v>12</v>
      </c>
      <c r="C77" s="62">
        <v>33771.96</v>
      </c>
      <c r="D77" s="61">
        <f t="shared" si="4"/>
        <v>2814.33</v>
      </c>
      <c r="E77" s="59" t="s">
        <v>87</v>
      </c>
      <c r="F77" s="60">
        <v>100</v>
      </c>
      <c r="G77" s="62">
        <v>3800</v>
      </c>
      <c r="H77" s="61">
        <f t="shared" si="5"/>
        <v>38</v>
      </c>
    </row>
    <row r="78" spans="1:8" x14ac:dyDescent="0.2">
      <c r="A78" s="59" t="s">
        <v>89</v>
      </c>
      <c r="B78" s="60">
        <v>150</v>
      </c>
      <c r="C78" s="62">
        <v>396765</v>
      </c>
      <c r="D78" s="61">
        <f t="shared" si="4"/>
        <v>2645.1</v>
      </c>
      <c r="E78" s="59" t="s">
        <v>87</v>
      </c>
      <c r="F78" s="60">
        <v>100</v>
      </c>
      <c r="G78" s="62">
        <v>265824</v>
      </c>
      <c r="H78" s="61">
        <f t="shared" si="5"/>
        <v>2658.24</v>
      </c>
    </row>
    <row r="79" spans="1:8" x14ac:dyDescent="0.2">
      <c r="A79" s="59" t="s">
        <v>89</v>
      </c>
      <c r="B79" s="60">
        <v>164</v>
      </c>
      <c r="C79" s="62">
        <v>433796.4</v>
      </c>
      <c r="D79" s="61">
        <f t="shared" si="4"/>
        <v>2645.1000000000004</v>
      </c>
      <c r="E79" s="59" t="s">
        <v>87</v>
      </c>
      <c r="F79" s="60">
        <v>100</v>
      </c>
      <c r="G79" s="62">
        <v>3800</v>
      </c>
      <c r="H79" s="61">
        <f t="shared" si="5"/>
        <v>38</v>
      </c>
    </row>
    <row r="80" spans="1:8" x14ac:dyDescent="0.2">
      <c r="A80" s="59" t="s">
        <v>89</v>
      </c>
      <c r="B80" s="60">
        <v>76</v>
      </c>
      <c r="C80" s="62">
        <v>201027.6</v>
      </c>
      <c r="D80" s="61">
        <f t="shared" si="4"/>
        <v>2645.1</v>
      </c>
      <c r="E80" s="59" t="s">
        <v>87</v>
      </c>
      <c r="F80" s="60">
        <v>200</v>
      </c>
      <c r="G80" s="62">
        <v>531648</v>
      </c>
      <c r="H80" s="61">
        <f t="shared" si="5"/>
        <v>2658.24</v>
      </c>
    </row>
    <row r="81" spans="1:8" x14ac:dyDescent="0.2">
      <c r="A81" s="59" t="s">
        <v>89</v>
      </c>
      <c r="B81" s="60">
        <v>4</v>
      </c>
      <c r="C81" s="62">
        <v>11257.32</v>
      </c>
      <c r="D81" s="61">
        <f t="shared" si="4"/>
        <v>2814.33</v>
      </c>
      <c r="E81" s="59" t="s">
        <v>87</v>
      </c>
      <c r="F81" s="60">
        <v>200</v>
      </c>
      <c r="G81" s="62">
        <v>7600</v>
      </c>
      <c r="H81" s="61">
        <f t="shared" si="5"/>
        <v>38</v>
      </c>
    </row>
    <row r="82" spans="1:8" x14ac:dyDescent="0.2">
      <c r="A82" s="59" t="s">
        <v>89</v>
      </c>
      <c r="B82" s="60">
        <v>100</v>
      </c>
      <c r="C82" s="62">
        <v>281433</v>
      </c>
      <c r="D82" s="61">
        <f t="shared" si="4"/>
        <v>2814.33</v>
      </c>
      <c r="E82" s="59" t="s">
        <v>87</v>
      </c>
      <c r="F82" s="60">
        <v>200</v>
      </c>
      <c r="G82" s="62">
        <v>531648</v>
      </c>
      <c r="H82" s="61">
        <f t="shared" si="5"/>
        <v>2658.24</v>
      </c>
    </row>
    <row r="83" spans="1:8" x14ac:dyDescent="0.2">
      <c r="A83" s="59" t="s">
        <v>89</v>
      </c>
      <c r="B83" s="60">
        <v>74</v>
      </c>
      <c r="C83" s="62">
        <v>208260.42</v>
      </c>
      <c r="D83" s="61">
        <f t="shared" si="4"/>
        <v>2814.3300000000004</v>
      </c>
      <c r="E83" s="59" t="s">
        <v>87</v>
      </c>
      <c r="F83" s="60">
        <v>200</v>
      </c>
      <c r="G83" s="62">
        <v>7600</v>
      </c>
      <c r="H83" s="61">
        <f t="shared" si="5"/>
        <v>38</v>
      </c>
    </row>
    <row r="84" spans="1:8" x14ac:dyDescent="0.2">
      <c r="A84" s="59" t="s">
        <v>89</v>
      </c>
      <c r="B84" s="60">
        <v>113</v>
      </c>
      <c r="C84" s="62">
        <v>318019.28999999998</v>
      </c>
      <c r="D84" s="61">
        <f t="shared" si="4"/>
        <v>2814.33</v>
      </c>
      <c r="E84" s="59" t="s">
        <v>87</v>
      </c>
      <c r="F84" s="60">
        <v>50</v>
      </c>
      <c r="G84" s="62">
        <v>132912</v>
      </c>
      <c r="H84" s="61">
        <f t="shared" si="5"/>
        <v>2658.24</v>
      </c>
    </row>
    <row r="85" spans="1:8" x14ac:dyDescent="0.2">
      <c r="A85" s="59" t="s">
        <v>89</v>
      </c>
      <c r="B85" s="60">
        <v>200</v>
      </c>
      <c r="C85" s="62">
        <v>562866</v>
      </c>
      <c r="D85" s="61">
        <f t="shared" si="4"/>
        <v>2814.33</v>
      </c>
      <c r="E85" s="59" t="s">
        <v>87</v>
      </c>
      <c r="F85" s="60">
        <v>50</v>
      </c>
      <c r="G85" s="62">
        <v>1900</v>
      </c>
      <c r="H85" s="61">
        <f t="shared" si="5"/>
        <v>38</v>
      </c>
    </row>
    <row r="86" spans="1:8" x14ac:dyDescent="0.2">
      <c r="A86" s="59" t="s">
        <v>89</v>
      </c>
      <c r="B86" s="60">
        <v>12</v>
      </c>
      <c r="C86" s="62">
        <v>33771.96</v>
      </c>
      <c r="D86" s="61">
        <f t="shared" si="4"/>
        <v>2814.33</v>
      </c>
      <c r="E86" s="59" t="s">
        <v>87</v>
      </c>
      <c r="F86" s="60">
        <v>200</v>
      </c>
      <c r="G86" s="62">
        <v>531648</v>
      </c>
      <c r="H86" s="61">
        <f t="shared" si="5"/>
        <v>2658.24</v>
      </c>
    </row>
    <row r="87" spans="1:8" x14ac:dyDescent="0.2">
      <c r="A87" s="59" t="s">
        <v>89</v>
      </c>
      <c r="B87" s="60">
        <v>200</v>
      </c>
      <c r="C87" s="62">
        <v>562866</v>
      </c>
      <c r="D87" s="61">
        <f t="shared" si="4"/>
        <v>2814.33</v>
      </c>
      <c r="E87" s="59" t="s">
        <v>87</v>
      </c>
      <c r="F87" s="60">
        <v>200</v>
      </c>
      <c r="G87" s="62">
        <v>7600</v>
      </c>
      <c r="H87" s="61">
        <f t="shared" si="5"/>
        <v>38</v>
      </c>
    </row>
    <row r="88" spans="1:8" x14ac:dyDescent="0.2">
      <c r="A88" s="59" t="s">
        <v>89</v>
      </c>
      <c r="B88" s="60">
        <v>100</v>
      </c>
      <c r="C88" s="62">
        <v>281433</v>
      </c>
      <c r="D88" s="61">
        <f t="shared" si="4"/>
        <v>2814.33</v>
      </c>
      <c r="E88" s="59" t="s">
        <v>87</v>
      </c>
      <c r="F88" s="60">
        <v>150</v>
      </c>
      <c r="G88" s="62">
        <v>398736</v>
      </c>
      <c r="H88" s="61">
        <f t="shared" si="5"/>
        <v>2658.24</v>
      </c>
    </row>
    <row r="89" spans="1:8" x14ac:dyDescent="0.2">
      <c r="A89" s="59" t="s">
        <v>89</v>
      </c>
      <c r="B89" s="60">
        <v>5</v>
      </c>
      <c r="C89" s="62">
        <v>14071.65</v>
      </c>
      <c r="D89" s="61">
        <f t="shared" si="4"/>
        <v>2814.33</v>
      </c>
      <c r="E89" s="59" t="s">
        <v>87</v>
      </c>
      <c r="F89" s="60">
        <v>150</v>
      </c>
      <c r="G89" s="62">
        <v>5700</v>
      </c>
      <c r="H89" s="61">
        <f t="shared" si="5"/>
        <v>38</v>
      </c>
    </row>
    <row r="90" spans="1:8" x14ac:dyDescent="0.2">
      <c r="A90" s="59" t="s">
        <v>89</v>
      </c>
      <c r="B90" s="60">
        <v>1</v>
      </c>
      <c r="C90" s="62">
        <v>2814.33</v>
      </c>
      <c r="D90" s="61">
        <f t="shared" si="4"/>
        <v>2814.33</v>
      </c>
      <c r="E90" s="59" t="s">
        <v>87</v>
      </c>
      <c r="F90" s="60">
        <v>200</v>
      </c>
      <c r="G90" s="62">
        <v>531648</v>
      </c>
      <c r="H90" s="61">
        <f t="shared" si="5"/>
        <v>2658.24</v>
      </c>
    </row>
    <row r="91" spans="1:8" x14ac:dyDescent="0.2">
      <c r="A91" s="59" t="s">
        <v>89</v>
      </c>
      <c r="B91" s="60">
        <v>100</v>
      </c>
      <c r="C91" s="62">
        <v>281433</v>
      </c>
      <c r="D91" s="61">
        <f t="shared" si="4"/>
        <v>2814.33</v>
      </c>
      <c r="E91" s="59" t="s">
        <v>87</v>
      </c>
      <c r="F91" s="60">
        <v>200</v>
      </c>
      <c r="G91" s="62">
        <v>7600</v>
      </c>
      <c r="H91" s="61">
        <f t="shared" si="5"/>
        <v>38</v>
      </c>
    </row>
    <row r="92" spans="1:8" x14ac:dyDescent="0.2">
      <c r="A92" s="59" t="s">
        <v>89</v>
      </c>
      <c r="B92" s="60">
        <v>100</v>
      </c>
      <c r="C92" s="62">
        <v>281433</v>
      </c>
      <c r="D92" s="61">
        <f t="shared" si="4"/>
        <v>2814.33</v>
      </c>
      <c r="E92" s="59" t="s">
        <v>87</v>
      </c>
      <c r="F92" s="60">
        <v>100</v>
      </c>
      <c r="G92" s="62">
        <v>265824</v>
      </c>
      <c r="H92" s="61">
        <f t="shared" si="5"/>
        <v>2658.24</v>
      </c>
    </row>
    <row r="93" spans="1:8" x14ac:dyDescent="0.2">
      <c r="A93" s="59" t="s">
        <v>89</v>
      </c>
      <c r="B93" s="60">
        <v>100</v>
      </c>
      <c r="C93" s="62">
        <v>281433</v>
      </c>
      <c r="D93" s="61">
        <f t="shared" si="4"/>
        <v>2814.33</v>
      </c>
      <c r="E93" s="59" t="s">
        <v>87</v>
      </c>
      <c r="F93" s="60">
        <v>100</v>
      </c>
      <c r="G93" s="62">
        <v>3800</v>
      </c>
      <c r="H93" s="61">
        <f t="shared" si="5"/>
        <v>38</v>
      </c>
    </row>
    <row r="94" spans="1:8" x14ac:dyDescent="0.2">
      <c r="A94" s="59" t="s">
        <v>89</v>
      </c>
      <c r="B94" s="60">
        <v>1</v>
      </c>
      <c r="C94" s="62">
        <v>2814.33</v>
      </c>
      <c r="D94" s="61">
        <f t="shared" si="4"/>
        <v>2814.33</v>
      </c>
      <c r="E94" s="59" t="s">
        <v>87</v>
      </c>
      <c r="F94" s="60">
        <v>100</v>
      </c>
      <c r="G94" s="62">
        <v>265824</v>
      </c>
      <c r="H94" s="61">
        <f t="shared" si="5"/>
        <v>2658.24</v>
      </c>
    </row>
    <row r="95" spans="1:8" x14ac:dyDescent="0.2">
      <c r="A95" s="59" t="s">
        <v>88</v>
      </c>
      <c r="B95" s="60">
        <v>320</v>
      </c>
      <c r="C95" s="62">
        <v>998496</v>
      </c>
      <c r="D95" s="61">
        <f t="shared" si="4"/>
        <v>3120.3</v>
      </c>
      <c r="E95" s="59" t="s">
        <v>87</v>
      </c>
      <c r="F95" s="60">
        <v>100</v>
      </c>
      <c r="G95" s="62">
        <v>3800</v>
      </c>
      <c r="H95" s="61">
        <f t="shared" si="5"/>
        <v>38</v>
      </c>
    </row>
    <row r="96" spans="1:8" x14ac:dyDescent="0.2">
      <c r="A96" s="59" t="s">
        <v>88</v>
      </c>
      <c r="B96" s="60">
        <v>75</v>
      </c>
      <c r="C96" s="62">
        <v>234022.5</v>
      </c>
      <c r="D96" s="61">
        <f t="shared" si="4"/>
        <v>3120.3</v>
      </c>
      <c r="E96" s="59" t="s">
        <v>87</v>
      </c>
      <c r="F96" s="60">
        <v>100</v>
      </c>
      <c r="G96" s="62">
        <v>265824</v>
      </c>
      <c r="H96" s="61">
        <f t="shared" si="5"/>
        <v>2658.24</v>
      </c>
    </row>
    <row r="97" spans="1:8" x14ac:dyDescent="0.2">
      <c r="A97" s="59" t="s">
        <v>88</v>
      </c>
      <c r="B97" s="60">
        <v>1</v>
      </c>
      <c r="C97" s="62">
        <v>3128</v>
      </c>
      <c r="D97" s="61">
        <f t="shared" si="4"/>
        <v>3128</v>
      </c>
      <c r="E97" s="59" t="s">
        <v>87</v>
      </c>
      <c r="F97" s="60">
        <v>100</v>
      </c>
      <c r="G97" s="62">
        <v>3800</v>
      </c>
      <c r="H97" s="61">
        <f t="shared" si="5"/>
        <v>38</v>
      </c>
    </row>
    <row r="98" spans="1:8" x14ac:dyDescent="0.2">
      <c r="E98" s="59" t="s">
        <v>87</v>
      </c>
      <c r="F98" s="60">
        <v>70</v>
      </c>
      <c r="G98" s="62">
        <v>186076.79999999999</v>
      </c>
      <c r="H98" s="61">
        <f t="shared" ref="H98:H129" si="6">G98/F98</f>
        <v>2658.24</v>
      </c>
    </row>
    <row r="99" spans="1:8" x14ac:dyDescent="0.2">
      <c r="E99" s="59" t="s">
        <v>87</v>
      </c>
      <c r="F99" s="60">
        <v>70</v>
      </c>
      <c r="G99" s="62">
        <v>2660</v>
      </c>
      <c r="H99" s="61">
        <f t="shared" si="6"/>
        <v>38</v>
      </c>
    </row>
    <row r="100" spans="1:8" x14ac:dyDescent="0.2">
      <c r="E100" s="59" t="s">
        <v>87</v>
      </c>
      <c r="F100" s="60">
        <v>100</v>
      </c>
      <c r="G100" s="62">
        <v>265824</v>
      </c>
      <c r="H100" s="61">
        <f t="shared" si="6"/>
        <v>2658.24</v>
      </c>
    </row>
    <row r="101" spans="1:8" x14ac:dyDescent="0.2">
      <c r="E101" s="59" t="s">
        <v>87</v>
      </c>
      <c r="F101" s="60">
        <v>100</v>
      </c>
      <c r="G101" s="62">
        <v>3800</v>
      </c>
      <c r="H101" s="61">
        <f t="shared" si="6"/>
        <v>38</v>
      </c>
    </row>
    <row r="102" spans="1:8" x14ac:dyDescent="0.2">
      <c r="E102" s="59" t="s">
        <v>87</v>
      </c>
      <c r="F102" s="60">
        <v>100</v>
      </c>
      <c r="G102" s="62">
        <v>265824</v>
      </c>
      <c r="H102" s="61">
        <f t="shared" si="6"/>
        <v>2658.24</v>
      </c>
    </row>
    <row r="103" spans="1:8" x14ac:dyDescent="0.2">
      <c r="E103" s="59" t="s">
        <v>87</v>
      </c>
      <c r="F103" s="60">
        <v>100</v>
      </c>
      <c r="G103" s="62">
        <v>3800</v>
      </c>
      <c r="H103" s="61">
        <f t="shared" si="6"/>
        <v>38</v>
      </c>
    </row>
    <row r="104" spans="1:8" x14ac:dyDescent="0.2">
      <c r="E104" s="59" t="s">
        <v>87</v>
      </c>
      <c r="F104" s="60">
        <v>100</v>
      </c>
      <c r="G104" s="62">
        <v>265824</v>
      </c>
      <c r="H104" s="61">
        <f t="shared" si="6"/>
        <v>2658.24</v>
      </c>
    </row>
    <row r="105" spans="1:8" x14ac:dyDescent="0.2">
      <c r="E105" s="59" t="s">
        <v>87</v>
      </c>
      <c r="F105" s="60">
        <v>100</v>
      </c>
      <c r="G105" s="62">
        <v>3800</v>
      </c>
      <c r="H105" s="61">
        <f t="shared" si="6"/>
        <v>38</v>
      </c>
    </row>
    <row r="106" spans="1:8" x14ac:dyDescent="0.2">
      <c r="E106" s="59" t="s">
        <v>87</v>
      </c>
      <c r="F106" s="60">
        <v>150</v>
      </c>
      <c r="G106" s="62">
        <v>398736</v>
      </c>
      <c r="H106" s="61">
        <f t="shared" si="6"/>
        <v>2658.24</v>
      </c>
    </row>
    <row r="107" spans="1:8" x14ac:dyDescent="0.2">
      <c r="E107" s="59" t="s">
        <v>87</v>
      </c>
      <c r="F107" s="60">
        <v>150</v>
      </c>
      <c r="G107" s="62">
        <v>5700</v>
      </c>
      <c r="H107" s="61">
        <f t="shared" si="6"/>
        <v>38</v>
      </c>
    </row>
    <row r="108" spans="1:8" x14ac:dyDescent="0.2">
      <c r="E108" s="59" t="s">
        <v>87</v>
      </c>
      <c r="F108" s="60">
        <v>100</v>
      </c>
      <c r="G108" s="62">
        <v>265824</v>
      </c>
      <c r="H108" s="61">
        <f t="shared" si="6"/>
        <v>2658.24</v>
      </c>
    </row>
    <row r="109" spans="1:8" x14ac:dyDescent="0.2">
      <c r="E109" s="59" t="s">
        <v>87</v>
      </c>
      <c r="F109" s="60">
        <v>100</v>
      </c>
      <c r="G109" s="62">
        <v>3800</v>
      </c>
      <c r="H109" s="61">
        <f t="shared" si="6"/>
        <v>38</v>
      </c>
    </row>
    <row r="110" spans="1:8" x14ac:dyDescent="0.2">
      <c r="E110" s="59" t="s">
        <v>87</v>
      </c>
      <c r="F110" s="60">
        <v>100</v>
      </c>
      <c r="G110" s="62">
        <v>265824</v>
      </c>
      <c r="H110" s="61">
        <f t="shared" si="6"/>
        <v>2658.24</v>
      </c>
    </row>
    <row r="111" spans="1:8" x14ac:dyDescent="0.2">
      <c r="E111" s="59" t="s">
        <v>87</v>
      </c>
      <c r="F111" s="60">
        <v>100</v>
      </c>
      <c r="G111" s="62">
        <v>3800</v>
      </c>
      <c r="H111" s="61">
        <f t="shared" si="6"/>
        <v>38</v>
      </c>
    </row>
    <row r="112" spans="1:8" x14ac:dyDescent="0.2">
      <c r="E112" s="59" t="s">
        <v>87</v>
      </c>
      <c r="F112" s="60">
        <v>100</v>
      </c>
      <c r="G112" s="62">
        <v>265824</v>
      </c>
      <c r="H112" s="61">
        <f t="shared" si="6"/>
        <v>2658.24</v>
      </c>
    </row>
    <row r="113" spans="5:8" x14ac:dyDescent="0.2">
      <c r="E113" s="59" t="s">
        <v>87</v>
      </c>
      <c r="F113" s="60">
        <v>100</v>
      </c>
      <c r="G113" s="62">
        <v>3800</v>
      </c>
      <c r="H113" s="61">
        <f t="shared" si="6"/>
        <v>38</v>
      </c>
    </row>
    <row r="114" spans="5:8" x14ac:dyDescent="0.2">
      <c r="E114" s="59" t="s">
        <v>87</v>
      </c>
      <c r="F114" s="60">
        <v>50</v>
      </c>
      <c r="G114" s="62">
        <v>132912</v>
      </c>
      <c r="H114" s="61">
        <f t="shared" si="6"/>
        <v>2658.24</v>
      </c>
    </row>
    <row r="115" spans="5:8" x14ac:dyDescent="0.2">
      <c r="E115" s="59" t="s">
        <v>87</v>
      </c>
      <c r="F115" s="60">
        <v>50</v>
      </c>
      <c r="G115" s="62">
        <v>1900</v>
      </c>
      <c r="H115" s="61">
        <f t="shared" si="6"/>
        <v>38</v>
      </c>
    </row>
    <row r="116" spans="5:8" x14ac:dyDescent="0.2">
      <c r="E116" s="59" t="s">
        <v>87</v>
      </c>
      <c r="F116" s="60">
        <v>100</v>
      </c>
      <c r="G116" s="62">
        <v>265824</v>
      </c>
      <c r="H116" s="61">
        <f t="shared" si="6"/>
        <v>2658.24</v>
      </c>
    </row>
    <row r="117" spans="5:8" x14ac:dyDescent="0.2">
      <c r="E117" s="59" t="s">
        <v>87</v>
      </c>
      <c r="F117" s="60">
        <v>100</v>
      </c>
      <c r="G117" s="62">
        <v>3800</v>
      </c>
      <c r="H117" s="61">
        <f t="shared" si="6"/>
        <v>38</v>
      </c>
    </row>
    <row r="118" spans="5:8" x14ac:dyDescent="0.2">
      <c r="E118" s="59" t="s">
        <v>87</v>
      </c>
      <c r="F118" s="60">
        <v>100</v>
      </c>
      <c r="G118" s="62">
        <v>265824</v>
      </c>
      <c r="H118" s="61">
        <f t="shared" si="6"/>
        <v>2658.24</v>
      </c>
    </row>
    <row r="119" spans="5:8" x14ac:dyDescent="0.2">
      <c r="E119" s="59" t="s">
        <v>87</v>
      </c>
      <c r="F119" s="60">
        <v>100</v>
      </c>
      <c r="G119" s="62">
        <v>3800</v>
      </c>
      <c r="H119" s="61">
        <f t="shared" si="6"/>
        <v>38</v>
      </c>
    </row>
    <row r="120" spans="5:8" x14ac:dyDescent="0.2">
      <c r="E120" s="59" t="s">
        <v>87</v>
      </c>
      <c r="F120" s="60">
        <v>150</v>
      </c>
      <c r="G120" s="62">
        <v>398736</v>
      </c>
      <c r="H120" s="61">
        <f t="shared" si="6"/>
        <v>2658.24</v>
      </c>
    </row>
    <row r="121" spans="5:8" x14ac:dyDescent="0.2">
      <c r="E121" s="59" t="s">
        <v>87</v>
      </c>
      <c r="F121" s="60">
        <v>150</v>
      </c>
      <c r="G121" s="62">
        <v>5700</v>
      </c>
      <c r="H121" s="61">
        <f t="shared" si="6"/>
        <v>38</v>
      </c>
    </row>
    <row r="122" spans="5:8" x14ac:dyDescent="0.2">
      <c r="E122" s="59" t="s">
        <v>87</v>
      </c>
      <c r="F122" s="60">
        <v>2</v>
      </c>
      <c r="G122" s="62">
        <v>5316.48</v>
      </c>
      <c r="H122" s="61">
        <f t="shared" si="6"/>
        <v>2658.24</v>
      </c>
    </row>
    <row r="123" spans="5:8" x14ac:dyDescent="0.2">
      <c r="E123" s="59" t="s">
        <v>87</v>
      </c>
      <c r="F123" s="60">
        <v>100</v>
      </c>
      <c r="G123" s="62">
        <v>265824</v>
      </c>
      <c r="H123" s="61">
        <f t="shared" si="6"/>
        <v>2658.24</v>
      </c>
    </row>
    <row r="124" spans="5:8" x14ac:dyDescent="0.2">
      <c r="E124" s="59" t="s">
        <v>87</v>
      </c>
      <c r="F124" s="60">
        <v>100</v>
      </c>
      <c r="G124" s="62">
        <v>3800</v>
      </c>
      <c r="H124" s="61">
        <f t="shared" si="6"/>
        <v>38</v>
      </c>
    </row>
    <row r="125" spans="5:8" x14ac:dyDescent="0.2">
      <c r="E125" s="59" t="s">
        <v>87</v>
      </c>
      <c r="F125" s="60">
        <v>100</v>
      </c>
      <c r="G125" s="62">
        <v>265824</v>
      </c>
      <c r="H125" s="61">
        <f t="shared" si="6"/>
        <v>2658.24</v>
      </c>
    </row>
    <row r="126" spans="5:8" x14ac:dyDescent="0.2">
      <c r="E126" s="59" t="s">
        <v>87</v>
      </c>
      <c r="F126" s="60">
        <v>100</v>
      </c>
      <c r="G126" s="62">
        <v>3800</v>
      </c>
      <c r="H126" s="61">
        <f t="shared" si="6"/>
        <v>38</v>
      </c>
    </row>
    <row r="127" spans="5:8" x14ac:dyDescent="0.2">
      <c r="E127" s="59" t="s">
        <v>87</v>
      </c>
      <c r="F127" s="60">
        <v>100</v>
      </c>
      <c r="G127" s="62">
        <v>265824</v>
      </c>
      <c r="H127" s="61">
        <f t="shared" si="6"/>
        <v>2658.24</v>
      </c>
    </row>
    <row r="128" spans="5:8" x14ac:dyDescent="0.2">
      <c r="E128" s="59" t="s">
        <v>87</v>
      </c>
      <c r="F128" s="60">
        <v>100</v>
      </c>
      <c r="G128" s="62">
        <v>3800</v>
      </c>
      <c r="H128" s="61">
        <f t="shared" si="6"/>
        <v>38</v>
      </c>
    </row>
    <row r="129" spans="5:8" x14ac:dyDescent="0.2">
      <c r="E129" s="59" t="s">
        <v>87</v>
      </c>
      <c r="F129" s="60">
        <v>200</v>
      </c>
      <c r="G129" s="62">
        <v>531648</v>
      </c>
      <c r="H129" s="61">
        <f t="shared" si="6"/>
        <v>2658.24</v>
      </c>
    </row>
    <row r="130" spans="5:8" x14ac:dyDescent="0.2">
      <c r="E130" s="59" t="s">
        <v>87</v>
      </c>
      <c r="F130" s="60">
        <v>200</v>
      </c>
      <c r="G130" s="62">
        <v>7600</v>
      </c>
      <c r="H130" s="61">
        <f t="shared" ref="H130:H161" si="7">G130/F130</f>
        <v>38</v>
      </c>
    </row>
    <row r="131" spans="5:8" x14ac:dyDescent="0.2">
      <c r="E131" s="59" t="s">
        <v>87</v>
      </c>
      <c r="F131" s="60">
        <v>100</v>
      </c>
      <c r="G131" s="62">
        <v>265824</v>
      </c>
      <c r="H131" s="61">
        <f t="shared" si="7"/>
        <v>2658.24</v>
      </c>
    </row>
    <row r="132" spans="5:8" x14ac:dyDescent="0.2">
      <c r="E132" s="59" t="s">
        <v>87</v>
      </c>
      <c r="F132" s="60">
        <v>100</v>
      </c>
      <c r="G132" s="62">
        <v>3800</v>
      </c>
      <c r="H132" s="61">
        <f t="shared" si="7"/>
        <v>38</v>
      </c>
    </row>
    <row r="133" spans="5:8" x14ac:dyDescent="0.2">
      <c r="E133" s="59" t="s">
        <v>87</v>
      </c>
      <c r="F133" s="60">
        <v>100</v>
      </c>
      <c r="G133" s="62">
        <v>265824</v>
      </c>
      <c r="H133" s="61">
        <f t="shared" si="7"/>
        <v>2658.24</v>
      </c>
    </row>
    <row r="134" spans="5:8" x14ac:dyDescent="0.2">
      <c r="E134" s="59" t="s">
        <v>87</v>
      </c>
      <c r="F134" s="60">
        <v>100</v>
      </c>
      <c r="G134" s="62">
        <v>3800</v>
      </c>
      <c r="H134" s="61">
        <f t="shared" si="7"/>
        <v>38</v>
      </c>
    </row>
    <row r="135" spans="5:8" x14ac:dyDescent="0.2">
      <c r="E135" s="59" t="s">
        <v>87</v>
      </c>
      <c r="F135" s="60">
        <v>200</v>
      </c>
      <c r="G135" s="62">
        <v>531648</v>
      </c>
      <c r="H135" s="61">
        <f t="shared" si="7"/>
        <v>2658.24</v>
      </c>
    </row>
    <row r="136" spans="5:8" x14ac:dyDescent="0.2">
      <c r="E136" s="59" t="s">
        <v>87</v>
      </c>
      <c r="F136" s="60">
        <v>200</v>
      </c>
      <c r="G136" s="62">
        <v>7600</v>
      </c>
      <c r="H136" s="61">
        <f t="shared" si="7"/>
        <v>38</v>
      </c>
    </row>
    <row r="137" spans="5:8" x14ac:dyDescent="0.2">
      <c r="E137" s="59" t="s">
        <v>87</v>
      </c>
      <c r="F137" s="60">
        <v>100</v>
      </c>
      <c r="G137" s="62">
        <v>265824</v>
      </c>
      <c r="H137" s="61">
        <f t="shared" si="7"/>
        <v>2658.24</v>
      </c>
    </row>
    <row r="138" spans="5:8" x14ac:dyDescent="0.2">
      <c r="E138" s="59" t="s">
        <v>87</v>
      </c>
      <c r="F138" s="60">
        <v>100</v>
      </c>
      <c r="G138" s="62">
        <v>3800</v>
      </c>
      <c r="H138" s="61">
        <f t="shared" si="7"/>
        <v>38</v>
      </c>
    </row>
    <row r="139" spans="5:8" x14ac:dyDescent="0.2">
      <c r="E139" s="59" t="s">
        <v>87</v>
      </c>
      <c r="F139" s="60">
        <v>100</v>
      </c>
      <c r="G139" s="62">
        <v>265824</v>
      </c>
      <c r="H139" s="61">
        <f t="shared" si="7"/>
        <v>2658.24</v>
      </c>
    </row>
    <row r="140" spans="5:8" x14ac:dyDescent="0.2">
      <c r="E140" s="59" t="s">
        <v>87</v>
      </c>
      <c r="F140" s="60">
        <v>100</v>
      </c>
      <c r="G140" s="62">
        <v>3800</v>
      </c>
      <c r="H140" s="61">
        <f t="shared" si="7"/>
        <v>38</v>
      </c>
    </row>
    <row r="141" spans="5:8" x14ac:dyDescent="0.2">
      <c r="E141" s="59" t="s">
        <v>87</v>
      </c>
      <c r="F141" s="60">
        <v>100</v>
      </c>
      <c r="G141" s="62">
        <v>265824</v>
      </c>
      <c r="H141" s="61">
        <f t="shared" si="7"/>
        <v>2658.24</v>
      </c>
    </row>
    <row r="142" spans="5:8" x14ac:dyDescent="0.2">
      <c r="E142" s="59" t="s">
        <v>87</v>
      </c>
      <c r="F142" s="60">
        <v>100</v>
      </c>
      <c r="G142" s="62">
        <v>3800</v>
      </c>
      <c r="H142" s="61">
        <f t="shared" si="7"/>
        <v>38</v>
      </c>
    </row>
    <row r="143" spans="5:8" x14ac:dyDescent="0.2">
      <c r="E143" s="59" t="s">
        <v>87</v>
      </c>
      <c r="F143" s="60">
        <v>100</v>
      </c>
      <c r="G143" s="62">
        <v>265824</v>
      </c>
      <c r="H143" s="61">
        <f t="shared" si="7"/>
        <v>2658.24</v>
      </c>
    </row>
    <row r="144" spans="5:8" x14ac:dyDescent="0.2">
      <c r="E144" s="59" t="s">
        <v>87</v>
      </c>
      <c r="F144" s="60">
        <v>100</v>
      </c>
      <c r="G144" s="62">
        <v>3800</v>
      </c>
      <c r="H144" s="61">
        <f t="shared" si="7"/>
        <v>38</v>
      </c>
    </row>
    <row r="145" spans="5:8" x14ac:dyDescent="0.2">
      <c r="E145" s="59" t="s">
        <v>87</v>
      </c>
      <c r="F145" s="60">
        <v>100</v>
      </c>
      <c r="G145" s="62">
        <v>265824</v>
      </c>
      <c r="H145" s="61">
        <f t="shared" si="7"/>
        <v>2658.24</v>
      </c>
    </row>
    <row r="146" spans="5:8" x14ac:dyDescent="0.2">
      <c r="E146" s="59" t="s">
        <v>87</v>
      </c>
      <c r="F146" s="60">
        <v>100</v>
      </c>
      <c r="G146" s="62">
        <v>3800</v>
      </c>
      <c r="H146" s="61">
        <f t="shared" si="7"/>
        <v>38</v>
      </c>
    </row>
    <row r="147" spans="5:8" x14ac:dyDescent="0.2">
      <c r="E147" s="59" t="s">
        <v>87</v>
      </c>
      <c r="F147" s="60">
        <v>180</v>
      </c>
      <c r="G147" s="62">
        <v>478483.20000000001</v>
      </c>
      <c r="H147" s="61">
        <f t="shared" si="7"/>
        <v>2658.2400000000002</v>
      </c>
    </row>
    <row r="148" spans="5:8" x14ac:dyDescent="0.2">
      <c r="E148" s="59" t="s">
        <v>87</v>
      </c>
      <c r="F148" s="60">
        <v>180</v>
      </c>
      <c r="G148" s="62">
        <v>6840</v>
      </c>
      <c r="H148" s="61">
        <f t="shared" si="7"/>
        <v>38</v>
      </c>
    </row>
    <row r="149" spans="5:8" x14ac:dyDescent="0.2">
      <c r="E149" s="59" t="s">
        <v>87</v>
      </c>
      <c r="F149" s="60">
        <v>100</v>
      </c>
      <c r="G149" s="62">
        <v>265824</v>
      </c>
      <c r="H149" s="61">
        <f t="shared" si="7"/>
        <v>2658.24</v>
      </c>
    </row>
    <row r="150" spans="5:8" x14ac:dyDescent="0.2">
      <c r="E150" s="59" t="s">
        <v>87</v>
      </c>
      <c r="F150" s="60">
        <v>100</v>
      </c>
      <c r="G150" s="62">
        <v>3800</v>
      </c>
      <c r="H150" s="61">
        <f t="shared" si="7"/>
        <v>38</v>
      </c>
    </row>
    <row r="151" spans="5:8" x14ac:dyDescent="0.2">
      <c r="E151" s="59" t="s">
        <v>87</v>
      </c>
      <c r="F151" s="60">
        <v>100</v>
      </c>
      <c r="G151" s="62">
        <v>265824</v>
      </c>
      <c r="H151" s="61">
        <f t="shared" si="7"/>
        <v>2658.24</v>
      </c>
    </row>
    <row r="152" spans="5:8" x14ac:dyDescent="0.2">
      <c r="E152" s="59" t="s">
        <v>87</v>
      </c>
      <c r="F152" s="60">
        <v>100</v>
      </c>
      <c r="G152" s="62">
        <v>3800</v>
      </c>
      <c r="H152" s="61">
        <f t="shared" si="7"/>
        <v>38</v>
      </c>
    </row>
    <row r="153" spans="5:8" x14ac:dyDescent="0.2">
      <c r="E153" s="59" t="s">
        <v>87</v>
      </c>
      <c r="F153" s="60">
        <v>200</v>
      </c>
      <c r="G153" s="62">
        <v>531648</v>
      </c>
      <c r="H153" s="61">
        <f t="shared" si="7"/>
        <v>2658.24</v>
      </c>
    </row>
    <row r="154" spans="5:8" x14ac:dyDescent="0.2">
      <c r="E154" s="59" t="s">
        <v>87</v>
      </c>
      <c r="F154" s="60">
        <v>200</v>
      </c>
      <c r="G154" s="62">
        <v>7600</v>
      </c>
      <c r="H154" s="61">
        <f t="shared" si="7"/>
        <v>38</v>
      </c>
    </row>
    <row r="155" spans="5:8" x14ac:dyDescent="0.2">
      <c r="E155" s="59" t="s">
        <v>87</v>
      </c>
      <c r="F155" s="60">
        <v>200</v>
      </c>
      <c r="G155" s="62">
        <v>531648</v>
      </c>
      <c r="H155" s="61">
        <f t="shared" si="7"/>
        <v>2658.24</v>
      </c>
    </row>
    <row r="156" spans="5:8" x14ac:dyDescent="0.2">
      <c r="E156" s="59" t="s">
        <v>87</v>
      </c>
      <c r="F156" s="60">
        <v>200</v>
      </c>
      <c r="G156" s="62">
        <v>7600</v>
      </c>
      <c r="H156" s="61">
        <f t="shared" si="7"/>
        <v>38</v>
      </c>
    </row>
    <row r="157" spans="5:8" x14ac:dyDescent="0.2">
      <c r="E157" s="59" t="s">
        <v>87</v>
      </c>
      <c r="F157" s="60">
        <v>200</v>
      </c>
      <c r="G157" s="62">
        <v>531648</v>
      </c>
      <c r="H157" s="61">
        <f t="shared" si="7"/>
        <v>2658.24</v>
      </c>
    </row>
    <row r="158" spans="5:8" x14ac:dyDescent="0.2">
      <c r="E158" s="59" t="s">
        <v>87</v>
      </c>
      <c r="F158" s="60">
        <v>200</v>
      </c>
      <c r="G158" s="62">
        <v>7600</v>
      </c>
      <c r="H158" s="61">
        <f t="shared" si="7"/>
        <v>38</v>
      </c>
    </row>
    <row r="159" spans="5:8" x14ac:dyDescent="0.2">
      <c r="E159" s="59" t="s">
        <v>87</v>
      </c>
      <c r="F159" s="60">
        <v>200</v>
      </c>
      <c r="G159" s="62">
        <v>531648</v>
      </c>
      <c r="H159" s="61">
        <f t="shared" si="7"/>
        <v>2658.24</v>
      </c>
    </row>
    <row r="160" spans="5:8" x14ac:dyDescent="0.2">
      <c r="E160" s="59" t="s">
        <v>87</v>
      </c>
      <c r="F160" s="60">
        <v>200</v>
      </c>
      <c r="G160" s="62">
        <v>7600</v>
      </c>
      <c r="H160" s="61">
        <f t="shared" si="7"/>
        <v>38</v>
      </c>
    </row>
    <row r="161" spans="5:8" x14ac:dyDescent="0.2">
      <c r="E161" s="59" t="s">
        <v>87</v>
      </c>
      <c r="F161" s="60">
        <v>200</v>
      </c>
      <c r="G161" s="62">
        <v>531648</v>
      </c>
      <c r="H161" s="61">
        <f t="shared" si="7"/>
        <v>2658.24</v>
      </c>
    </row>
    <row r="162" spans="5:8" x14ac:dyDescent="0.2">
      <c r="E162" s="59" t="s">
        <v>87</v>
      </c>
      <c r="F162" s="60">
        <v>200</v>
      </c>
      <c r="G162" s="62">
        <v>7600</v>
      </c>
      <c r="H162" s="61">
        <f t="shared" ref="H162:H172" si="8">G162/F162</f>
        <v>38</v>
      </c>
    </row>
    <row r="163" spans="5:8" x14ac:dyDescent="0.2">
      <c r="E163" s="59" t="s">
        <v>87</v>
      </c>
      <c r="F163" s="60">
        <v>200</v>
      </c>
      <c r="G163" s="62">
        <v>531648</v>
      </c>
      <c r="H163" s="61">
        <f t="shared" si="8"/>
        <v>2658.24</v>
      </c>
    </row>
    <row r="164" spans="5:8" x14ac:dyDescent="0.2">
      <c r="E164" s="59" t="s">
        <v>87</v>
      </c>
      <c r="F164" s="60">
        <v>200</v>
      </c>
      <c r="G164" s="62">
        <v>7600</v>
      </c>
      <c r="H164" s="61">
        <f t="shared" si="8"/>
        <v>38</v>
      </c>
    </row>
    <row r="165" spans="5:8" x14ac:dyDescent="0.2">
      <c r="E165" s="59" t="s">
        <v>87</v>
      </c>
      <c r="F165" s="60">
        <v>200</v>
      </c>
      <c r="G165" s="62">
        <v>531648</v>
      </c>
      <c r="H165" s="61">
        <f t="shared" si="8"/>
        <v>2658.24</v>
      </c>
    </row>
    <row r="166" spans="5:8" x14ac:dyDescent="0.2">
      <c r="E166" s="59" t="s">
        <v>87</v>
      </c>
      <c r="F166" s="60">
        <v>200</v>
      </c>
      <c r="G166" s="62">
        <v>7600</v>
      </c>
      <c r="H166" s="61">
        <f t="shared" si="8"/>
        <v>38</v>
      </c>
    </row>
    <row r="167" spans="5:8" x14ac:dyDescent="0.2">
      <c r="E167" s="59" t="s">
        <v>87</v>
      </c>
      <c r="F167" s="60">
        <v>200</v>
      </c>
      <c r="G167" s="62">
        <v>531648</v>
      </c>
      <c r="H167" s="61">
        <f t="shared" si="8"/>
        <v>2658.24</v>
      </c>
    </row>
    <row r="168" spans="5:8" x14ac:dyDescent="0.2">
      <c r="E168" s="59" t="s">
        <v>87</v>
      </c>
      <c r="F168" s="60">
        <v>200</v>
      </c>
      <c r="G168" s="62">
        <v>7600</v>
      </c>
      <c r="H168" s="61">
        <f t="shared" si="8"/>
        <v>38</v>
      </c>
    </row>
    <row r="169" spans="5:8" x14ac:dyDescent="0.2">
      <c r="E169" s="59" t="s">
        <v>87</v>
      </c>
      <c r="F169" s="60">
        <v>100</v>
      </c>
      <c r="G169" s="62">
        <v>265824</v>
      </c>
      <c r="H169" s="61">
        <f t="shared" si="8"/>
        <v>2658.24</v>
      </c>
    </row>
    <row r="170" spans="5:8" x14ac:dyDescent="0.2">
      <c r="E170" s="59" t="s">
        <v>87</v>
      </c>
      <c r="F170" s="60">
        <v>100</v>
      </c>
      <c r="G170" s="62">
        <v>3800</v>
      </c>
      <c r="H170" s="61">
        <f t="shared" si="8"/>
        <v>38</v>
      </c>
    </row>
    <row r="171" spans="5:8" x14ac:dyDescent="0.2">
      <c r="E171" s="59" t="s">
        <v>87</v>
      </c>
      <c r="F171" s="60">
        <v>100</v>
      </c>
      <c r="G171" s="62">
        <v>265824</v>
      </c>
      <c r="H171" s="61">
        <f t="shared" si="8"/>
        <v>2658.24</v>
      </c>
    </row>
    <row r="172" spans="5:8" x14ac:dyDescent="0.2">
      <c r="E172" s="59" t="s">
        <v>87</v>
      </c>
      <c r="F172" s="60">
        <v>100</v>
      </c>
      <c r="G172" s="62">
        <v>3800</v>
      </c>
      <c r="H172" s="61">
        <f t="shared" si="8"/>
        <v>38</v>
      </c>
    </row>
  </sheetData>
  <sortState ref="E2:H172">
    <sortCondition ref="E2:E17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52FA20-0851-43AE-8C49-68474B48B8A5}"/>
</file>

<file path=customXml/itemProps2.xml><?xml version="1.0" encoding="utf-8"?>
<ds:datastoreItem xmlns:ds="http://schemas.openxmlformats.org/officeDocument/2006/customXml" ds:itemID="{9FB3A427-C1BF-4BA8-A9A9-92D95770ED06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2763d673-7b45-45da-9b2f-702f33aec4e6"/>
    <ds:schemaRef ds:uri="http://schemas.openxmlformats.org/package/2006/metadata/core-properties"/>
    <ds:schemaRef ds:uri="19b22dc6-87e6-4dbe-8744-e2116ed56044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636BEBC-EC18-488A-8D2F-87DEDD8476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 - OUTPUT</vt:lpstr>
      <vt:lpstr>MATERIAL</vt:lpstr>
      <vt:lpstr>PROCESS</vt:lpstr>
      <vt:lpstr>RM database</vt:lpstr>
      <vt:lpstr>Tool Life</vt:lpstr>
      <vt:lpstr>Machinery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K</dc:creator>
  <cp:lastModifiedBy>Parthiban C (Product Costing)</cp:lastModifiedBy>
  <cp:lastPrinted>2014-06-18T04:28:41Z</cp:lastPrinted>
  <dcterms:created xsi:type="dcterms:W3CDTF">2013-07-11T11:17:35Z</dcterms:created>
  <dcterms:modified xsi:type="dcterms:W3CDTF">2022-06-15T06:19:36Z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  <property fmtid="{D5CDD505-2E9C-101B-9397-08002B2CF9AE}" pid="3" name="MediaServiceImageTags">
    <vt:lpwstr/>
  </property>
</Properties>
</file>